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77" state="hidden" r:id="rId23"/>
    <sheet name="收益法-商业"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4">'收益法 (元)'!$A$1:$AK$69</definedName>
    <definedName name="_xlnm.Print_Area" localSheetId="22">'收益法-办公'!$A$1:$AK$69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Y3" i="3" l="1"/>
  <c r="F36" i="6"/>
  <c r="C16" i="74" l="1"/>
  <c r="B16" i="74"/>
  <c r="C15" i="74"/>
  <c r="B15" i="74"/>
  <c r="D16" i="74" l="1"/>
  <c r="G16" i="74" s="1"/>
  <c r="D15" i="74" l="1"/>
  <c r="G15" i="74" s="1"/>
  <c r="E9" i="6" l="1"/>
  <c r="K10" i="21" l="1"/>
  <c r="K23" i="21"/>
  <c r="K21" i="21"/>
  <c r="K19" i="21"/>
  <c r="K17" i="21"/>
  <c r="C38" i="39"/>
  <c r="I6" i="39"/>
  <c r="I7" i="6"/>
  <c r="I13" i="3"/>
  <c r="AD13" i="3"/>
  <c r="I37" i="35" l="1"/>
  <c r="M8" i="78"/>
  <c r="G37" i="35" s="1"/>
  <c r="M2" i="78"/>
  <c r="E37" i="35" s="1"/>
  <c r="L8" i="78"/>
  <c r="L2" i="78"/>
  <c r="I29" i="35"/>
  <c r="I5" i="35"/>
  <c r="G5" i="35"/>
  <c r="E5" i="35"/>
  <c r="Q72" i="77"/>
  <c r="Q59" i="77"/>
  <c r="F59" i="77"/>
  <c r="Q58" i="77"/>
  <c r="Q51" i="77"/>
  <c r="J50" i="77"/>
  <c r="M47" i="77"/>
  <c r="D46" i="77"/>
  <c r="F33" i="77"/>
  <c r="F61" i="77" s="1"/>
  <c r="F31" i="77"/>
  <c r="F23" i="77"/>
  <c r="D24" i="77" s="1"/>
  <c r="F21" i="77"/>
  <c r="F20" i="77"/>
  <c r="M19" i="77"/>
  <c r="F18" i="77"/>
  <c r="M17" i="77"/>
  <c r="F17" i="77"/>
  <c r="F15" i="77"/>
  <c r="G13" i="4"/>
  <c r="H13" i="4" s="1"/>
  <c r="D22" i="77" l="1"/>
  <c r="D23" i="77"/>
  <c r="J51" i="77"/>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9" i="76"/>
  <c r="B8" i="76"/>
  <c r="B11" i="76"/>
  <c r="B13" i="76"/>
  <c r="E8" i="76"/>
  <c r="B10" i="76"/>
  <c r="B12" i="76"/>
  <c r="E7" i="76"/>
  <c r="B7" i="76"/>
  <c r="B9" i="76"/>
  <c r="E13" i="76"/>
  <c r="E11" i="76"/>
  <c r="E10"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5" i="73"/>
  <c r="F3" i="73"/>
  <c r="F4" i="73"/>
  <c r="D6" i="73"/>
  <c r="I1" i="73" l="1"/>
  <c r="B39" i="1" s="1"/>
  <c r="D5" i="73"/>
  <c r="D4" i="73"/>
  <c r="D3" i="73"/>
  <c r="D7" i="73"/>
  <c r="M11" i="77" l="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10" i="1"/>
  <c r="AO13" i="1"/>
  <c r="AO11"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D124" i="39"/>
  <c r="E124" i="39" s="1"/>
  <c r="F124" i="39" s="1"/>
  <c r="G124" i="39" s="1"/>
  <c r="H124" i="39" s="1"/>
  <c r="I124" i="39" s="1"/>
  <c r="J124" i="39" s="1"/>
  <c r="K124" i="39" s="1"/>
  <c r="L124" i="39" s="1"/>
  <c r="M124" i="39" s="1"/>
  <c r="D120" i="39"/>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Q30" i="35"/>
  <c r="Z30" i="35" s="1"/>
  <c r="Q29" i="35"/>
  <c r="Z29" i="35" s="1"/>
  <c r="Q28" i="35"/>
  <c r="Z28" i="35" s="1"/>
  <c r="J28" i="35"/>
  <c r="AC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C8" i="12" s="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E21" i="6" s="1"/>
  <c r="N5" i="3"/>
  <c r="O5" i="3"/>
  <c r="P5" i="3"/>
  <c r="Q5" i="3"/>
  <c r="R5" i="3"/>
  <c r="S5" i="3"/>
  <c r="T5" i="3"/>
  <c r="U5" i="3"/>
  <c r="V5" i="3"/>
  <c r="W5" i="3"/>
  <c r="X5" i="3"/>
  <c r="Y5" i="3"/>
  <c r="Z5" i="3"/>
  <c r="AA5" i="3"/>
  <c r="AB5" i="3"/>
  <c r="H585" i="3"/>
  <c r="G585" i="3"/>
  <c r="H586" i="3"/>
  <c r="G586" i="3"/>
  <c r="H587" i="3"/>
  <c r="G587" i="3"/>
  <c r="F5" i="3"/>
  <c r="G27" i="6"/>
  <c r="F34" i="21"/>
  <c r="AA34" i="21" s="1"/>
  <c r="H34" i="2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AA41" i="21"/>
  <c r="J44" i="39"/>
  <c r="AC44" i="39" s="1"/>
  <c r="F36" i="39"/>
  <c r="S36" i="39" s="1"/>
  <c r="H36" i="39"/>
  <c r="AB36" i="39" s="1"/>
  <c r="F35" i="39"/>
  <c r="AA35" i="39" s="1"/>
  <c r="J36" i="39"/>
  <c r="AC36" i="39" s="1"/>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S34" i="35"/>
  <c r="W22" i="35"/>
  <c r="F36" i="34"/>
  <c r="J35" i="34"/>
  <c r="W9" i="34"/>
  <c r="U34" i="34"/>
  <c r="H39" i="33"/>
  <c r="AB39" i="33" s="1"/>
  <c r="F26" i="33"/>
  <c r="AA26" i="33" s="1"/>
  <c r="U33" i="33"/>
  <c r="U35" i="33"/>
  <c r="S40" i="33"/>
  <c r="W39" i="33"/>
  <c r="H39" i="37"/>
  <c r="AB39" i="37" s="1"/>
  <c r="S27" i="35"/>
  <c r="F11" i="40"/>
  <c r="AA11" i="40" s="1"/>
  <c r="H11" i="40"/>
  <c r="AB11" i="40" s="1"/>
  <c r="AA9" i="40"/>
  <c r="AC9" i="40"/>
  <c r="U9" i="40"/>
  <c r="U38" i="40"/>
  <c r="W31" i="40"/>
  <c r="U34" i="40"/>
  <c r="S38" i="40"/>
  <c r="U40" i="40"/>
  <c r="F42" i="39"/>
  <c r="AA42" i="39" s="1"/>
  <c r="F41" i="39"/>
  <c r="S41" i="39" s="1"/>
  <c r="H40" i="39"/>
  <c r="AB40" i="39" s="1"/>
  <c r="S34"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C21"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46" i="33"/>
  <c r="J36" i="37"/>
  <c r="AC36" i="37" s="1"/>
  <c r="G105" i="37"/>
  <c r="AB11" i="36"/>
  <c r="AB11" i="35"/>
  <c r="J10" i="36"/>
  <c r="AC10" i="36" s="1"/>
  <c r="AB26" i="33"/>
  <c r="AB30" i="21"/>
  <c r="AA14" i="37"/>
  <c r="W31" i="34"/>
  <c r="AC13" i="36"/>
  <c r="W13" i="36"/>
  <c r="S11" i="36"/>
  <c r="W11" i="36"/>
  <c r="AB46" i="34"/>
  <c r="AA14" i="34"/>
  <c r="AB45" i="33"/>
  <c r="U31" i="33"/>
  <c r="U13" i="33"/>
  <c r="S44" i="34"/>
  <c r="BA586" i="3"/>
  <c r="BA585" i="3"/>
  <c r="F17" i="21"/>
  <c r="AA17" i="21" s="1"/>
  <c r="H17" i="21"/>
  <c r="AB17" i="21" s="1"/>
  <c r="F15" i="21"/>
  <c r="S15" i="21" s="1"/>
  <c r="AB11" i="21"/>
  <c r="J41" i="39"/>
  <c r="W41" i="39" s="1"/>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G101" i="39"/>
  <c r="H37" i="39"/>
  <c r="AB37" i="39" s="1"/>
  <c r="AC37" i="39"/>
  <c r="W37" i="39"/>
  <c r="H25" i="39"/>
  <c r="AB25" i="39" s="1"/>
  <c r="J25" i="39"/>
  <c r="F25" i="39"/>
  <c r="AA25" i="39" s="1"/>
  <c r="F15" i="39"/>
  <c r="AA15" i="39" s="1"/>
  <c r="H15" i="39"/>
  <c r="U15" i="39" s="1"/>
  <c r="J15" i="39"/>
  <c r="W15" i="39" s="1"/>
  <c r="H41" i="39"/>
  <c r="W27" i="39"/>
  <c r="AB34" i="39"/>
  <c r="U40"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75" i="3"/>
  <c r="AZ136" i="3"/>
  <c r="AZ144" i="3"/>
  <c r="AZ152" i="3"/>
  <c r="AZ168" i="3"/>
  <c r="AZ176" i="3"/>
  <c r="AZ184" i="3"/>
  <c r="AZ200"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BJ5" i="3"/>
  <c r="BH5" i="3"/>
  <c r="BF5" i="3"/>
  <c r="BD5" i="3"/>
  <c r="BQ5" i="3"/>
  <c r="AC5" i="3"/>
  <c r="AZ549" i="3"/>
  <c r="AZ506" i="3"/>
  <c r="AZ496" i="3"/>
  <c r="G548" i="3"/>
  <c r="G538" i="3"/>
  <c r="G520" i="3"/>
  <c r="G502" i="3"/>
  <c r="BS5" i="3"/>
  <c r="BP5" i="3"/>
  <c r="BN5" i="3"/>
  <c r="AZ343" i="3"/>
  <c r="BK5" i="3"/>
  <c r="BI5" i="3"/>
  <c r="BG5" i="3"/>
  <c r="BE5" i="3"/>
  <c r="G17" i="3"/>
  <c r="BA17" i="3"/>
  <c r="BT5" i="3"/>
  <c r="AZ350" i="3"/>
  <c r="AZ352" i="3"/>
  <c r="AZ356" i="3"/>
  <c r="AZ364" i="3"/>
  <c r="AZ368" i="3"/>
  <c r="BA15" i="3"/>
  <c r="BB5" i="3"/>
  <c r="BR5" i="3"/>
  <c r="G28" i="6" s="1"/>
  <c r="AZ384" i="3"/>
  <c r="AZ388" i="3"/>
  <c r="AZ392" i="3"/>
  <c r="AZ394"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35" i="21"/>
  <c r="AC35" i="21"/>
  <c r="U10" i="21"/>
  <c r="G8" i="1"/>
  <c r="G9" i="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32" i="3"/>
  <c r="AZ235" i="3"/>
  <c r="AZ248" i="3"/>
  <c r="AZ251" i="3"/>
  <c r="AZ268" i="3"/>
  <c r="AZ271" i="3"/>
  <c r="AZ288" i="3"/>
  <c r="AZ117" i="3"/>
  <c r="AZ130" i="3"/>
  <c r="AZ29" i="3"/>
  <c r="AZ31" i="3"/>
  <c r="AZ33" i="3"/>
  <c r="AZ45" i="3"/>
  <c r="AZ50" i="3"/>
  <c r="AZ61" i="3"/>
  <c r="AZ66" i="3"/>
  <c r="AZ72" i="3"/>
  <c r="AZ74" i="3"/>
  <c r="AZ77" i="3"/>
  <c r="AZ86" i="3"/>
  <c r="AZ94"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D93" i="9"/>
  <c r="J51" i="15"/>
  <c r="AE9" i="1"/>
  <c r="AZ326" i="3" l="1"/>
  <c r="AZ311" i="3"/>
  <c r="AZ372" i="3"/>
  <c r="AZ347" i="3"/>
  <c r="AZ344" i="3"/>
  <c r="AZ337" i="3"/>
  <c r="AZ320" i="3"/>
  <c r="AZ313" i="3"/>
  <c r="AZ305" i="3"/>
  <c r="AZ362" i="3"/>
  <c r="U35" i="35"/>
  <c r="AZ569" i="3"/>
  <c r="AZ577" i="3"/>
  <c r="AZ557" i="3"/>
  <c r="AZ516" i="3"/>
  <c r="AZ524" i="3"/>
  <c r="AZ532" i="3"/>
  <c r="AZ536" i="3"/>
  <c r="AZ544" i="3"/>
  <c r="AZ554" i="3"/>
  <c r="AZ558" i="3"/>
  <c r="AZ582" i="3"/>
  <c r="AC28" i="21"/>
  <c r="W29" i="33"/>
  <c r="S45" i="33"/>
  <c r="AC30" i="34"/>
  <c r="W11" i="35"/>
  <c r="AA14" i="33"/>
  <c r="U31" i="34"/>
  <c r="AB17" i="34"/>
  <c r="AC34" i="36"/>
  <c r="AA39" i="37"/>
  <c r="E125" i="21"/>
  <c r="F125" i="21" s="1"/>
  <c r="G125" i="21" s="1"/>
  <c r="J43" i="21"/>
  <c r="AC43" i="21" s="1"/>
  <c r="F43" i="21"/>
  <c r="S43" i="21" s="1"/>
  <c r="H43" i="21"/>
  <c r="AA9" i="33"/>
  <c r="S9" i="33"/>
  <c r="F9" i="34"/>
  <c r="E84" i="35"/>
  <c r="F84" i="35" s="1"/>
  <c r="G84" i="35" s="1"/>
  <c r="H84" i="35" s="1"/>
  <c r="I84" i="35" s="1"/>
  <c r="J84" i="35" s="1"/>
  <c r="K84" i="35" s="1"/>
  <c r="L84" i="35" s="1"/>
  <c r="M84" i="35" s="1"/>
  <c r="H28" i="35"/>
  <c r="AB28" i="35" s="1"/>
  <c r="J12" i="34"/>
  <c r="F12" i="34"/>
  <c r="J12" i="35"/>
  <c r="W12" i="35" s="1"/>
  <c r="F12" i="35"/>
  <c r="AB34" i="35"/>
  <c r="U34" i="35"/>
  <c r="H36" i="35"/>
  <c r="AB36" i="35" s="1"/>
  <c r="J36" i="35"/>
  <c r="J12" i="36"/>
  <c r="H12" i="36"/>
  <c r="AA40" i="39"/>
  <c r="S40" i="39"/>
  <c r="E120" i="39"/>
  <c r="F120" i="39" s="1"/>
  <c r="G120" i="39" s="1"/>
  <c r="H120" i="39" s="1"/>
  <c r="I120" i="39" s="1"/>
  <c r="J120" i="39" s="1"/>
  <c r="K120" i="39" s="1"/>
  <c r="L120" i="39" s="1"/>
  <c r="M120" i="39" s="1"/>
  <c r="H39" i="39"/>
  <c r="U39" i="39" s="1"/>
  <c r="AC8" i="40"/>
  <c r="W8" i="40"/>
  <c r="AA30" i="36"/>
  <c r="S30" i="36"/>
  <c r="H35" i="39"/>
  <c r="AB35" i="39" s="1"/>
  <c r="J35" i="39"/>
  <c r="AZ521" i="3"/>
  <c r="AZ581" i="3"/>
  <c r="AB34" i="21"/>
  <c r="U34" i="21"/>
  <c r="I4" i="6"/>
  <c r="G3" i="43" s="1"/>
  <c r="F20" i="6"/>
  <c r="E20" i="6" s="1"/>
  <c r="D7" i="12" s="1"/>
  <c r="F12" i="21"/>
  <c r="H12" i="21"/>
  <c r="F81" i="21"/>
  <c r="G81" i="21" s="1"/>
  <c r="F19" i="21"/>
  <c r="AA19" i="21" s="1"/>
  <c r="U12" i="33"/>
  <c r="AB12" i="33"/>
  <c r="AC33" i="33"/>
  <c r="W33" i="33"/>
  <c r="AA34" i="34"/>
  <c r="S34" i="34"/>
  <c r="AC34" i="35"/>
  <c r="W34" i="35"/>
  <c r="F64" i="35"/>
  <c r="G64" i="35" s="1"/>
  <c r="J14" i="35"/>
  <c r="AB9" i="36"/>
  <c r="U9" i="36"/>
  <c r="J24" i="36"/>
  <c r="H24" i="36"/>
  <c r="AB24" i="36" s="1"/>
  <c r="AB31" i="36"/>
  <c r="U31" i="36"/>
  <c r="AB14" i="37"/>
  <c r="U14" i="37"/>
  <c r="H45" i="39"/>
  <c r="F45" i="39"/>
  <c r="S45" i="39" s="1"/>
  <c r="AA34" i="40"/>
  <c r="S34" i="40"/>
  <c r="AA40" i="40"/>
  <c r="S40" i="40"/>
  <c r="W40" i="40"/>
  <c r="AC40" i="40"/>
  <c r="J39" i="40"/>
  <c r="H39" i="40"/>
  <c r="K8" i="1"/>
  <c r="D3" i="35"/>
  <c r="BL586" i="3"/>
  <c r="BL585" i="3"/>
  <c r="AZ585" i="3" s="1"/>
  <c r="G582" i="3"/>
  <c r="G566" i="3"/>
  <c r="G552" i="3"/>
  <c r="BA551" i="3"/>
  <c r="G551" i="3"/>
  <c r="BL550" i="3"/>
  <c r="BA550" i="3"/>
  <c r="BL548" i="3"/>
  <c r="AZ548" i="3" s="1"/>
  <c r="G526" i="3"/>
  <c r="M20" i="15"/>
  <c r="F34" i="77"/>
  <c r="F62" i="77" s="1"/>
  <c r="M20" i="77"/>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AZ277" i="3" s="1"/>
  <c r="BA278" i="3"/>
  <c r="AZ278" i="3" s="1"/>
  <c r="BA279" i="3"/>
  <c r="AZ279" i="3" s="1"/>
  <c r="BA280" i="3"/>
  <c r="AZ280" i="3" s="1"/>
  <c r="G283" i="3"/>
  <c r="G284" i="3"/>
  <c r="BL284" i="3"/>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AZ399" i="3"/>
  <c r="AZ403" i="3"/>
  <c r="AZ405" i="3"/>
  <c r="AZ406" i="3"/>
  <c r="AZ415" i="3"/>
  <c r="AZ419" i="3"/>
  <c r="AZ421" i="3"/>
  <c r="AZ422" i="3"/>
  <c r="AZ425" i="3"/>
  <c r="AZ431" i="3"/>
  <c r="AZ435" i="3"/>
  <c r="AZ438" i="3"/>
  <c r="AZ442" i="3"/>
  <c r="AZ451" i="3"/>
  <c r="AZ453" i="3"/>
  <c r="AZ454" i="3"/>
  <c r="AZ458" i="3"/>
  <c r="AZ468" i="3"/>
  <c r="AZ469" i="3"/>
  <c r="AZ487" i="3"/>
  <c r="AZ270" i="3"/>
  <c r="AZ274" i="3"/>
  <c r="AZ284" i="3"/>
  <c r="AZ293" i="3"/>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30" i="3"/>
  <c r="AZ49" i="3"/>
  <c r="AZ65"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77"/>
  <c r="M100" i="43"/>
  <c r="I100" i="43"/>
  <c r="E100" i="43"/>
  <c r="I20" i="66"/>
  <c r="W40" i="39"/>
  <c r="G14" i="3"/>
  <c r="BC5" i="3"/>
  <c r="E13" i="6" s="1"/>
  <c r="M8" i="1"/>
  <c r="O8" i="1" s="1"/>
  <c r="P8" i="1" s="1"/>
  <c r="F3" i="35"/>
  <c r="M6" i="1"/>
  <c r="O6" i="1" s="1"/>
  <c r="P6" i="1" s="1"/>
  <c r="BL15" i="3"/>
  <c r="AZ15" i="3" s="1"/>
  <c r="E8" i="6"/>
  <c r="F27" i="6" s="1"/>
  <c r="G7" i="1"/>
  <c r="S14" i="35"/>
  <c r="W16" i="35"/>
  <c r="AA29" i="35"/>
  <c r="W28" i="35"/>
  <c r="U33" i="35"/>
  <c r="U8" i="35"/>
  <c r="J23" i="39"/>
  <c r="U17" i="39"/>
  <c r="S42" i="39"/>
  <c r="S31" i="39"/>
  <c r="U9" i="39"/>
  <c r="AC43" i="39"/>
  <c r="W43" i="39"/>
  <c r="U45" i="39"/>
  <c r="AB45" i="39"/>
  <c r="AB44" i="39"/>
  <c r="U44" i="39"/>
  <c r="W44" i="39"/>
  <c r="H43" i="39"/>
  <c r="J45" i="39"/>
  <c r="C15" i="39"/>
  <c r="C25" i="39"/>
  <c r="E15" i="6"/>
  <c r="E60" i="40" s="1"/>
  <c r="G29" i="6"/>
  <c r="F29" i="6"/>
  <c r="E29" i="6" s="1"/>
  <c r="A15" i="62"/>
  <c r="B61" i="72"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C11" i="21"/>
  <c r="AA14" i="21"/>
  <c r="AB8" i="21"/>
  <c r="S8" i="21"/>
  <c r="M3" i="43"/>
  <c r="N10" i="43"/>
  <c r="M1" i="43"/>
  <c r="M8" i="43"/>
  <c r="N8" i="43"/>
  <c r="N9" i="43"/>
  <c r="D120" i="9"/>
  <c r="C18" i="9"/>
  <c r="D18" i="9" s="1"/>
  <c r="F34" i="67"/>
  <c r="F62" i="67" s="1"/>
  <c r="M20" i="67"/>
  <c r="F34" i="15"/>
  <c r="F62" i="15" s="1"/>
  <c r="G13" i="3"/>
  <c r="G5"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06" i="43"/>
  <c r="K106" i="43"/>
  <c r="K105" i="43"/>
  <c r="F103" i="43"/>
  <c r="J106" i="43"/>
  <c r="N104" i="43"/>
  <c r="N107" i="43"/>
  <c r="AQ13" i="1"/>
  <c r="AR12" i="1"/>
  <c r="AQ12" i="1"/>
  <c r="T12" i="1"/>
  <c r="AR10" i="1"/>
  <c r="T10" i="1"/>
  <c r="E19" i="69"/>
  <c r="E19" i="68"/>
  <c r="E19" i="11"/>
  <c r="F52" i="9"/>
  <c r="F30" i="11"/>
  <c r="F31" i="12"/>
  <c r="F30" i="68"/>
  <c r="F28" i="67"/>
  <c r="C28" i="67" s="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E30" i="6"/>
  <c r="L20" i="6"/>
  <c r="K15" i="1"/>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M6" i="15"/>
  <c r="L47" i="15"/>
  <c r="F43" i="67"/>
  <c r="M22" i="15"/>
  <c r="M6" i="67"/>
  <c r="C76" i="67"/>
  <c r="F13" i="15"/>
  <c r="F43" i="15"/>
  <c r="F8" i="67"/>
  <c r="M29" i="77"/>
  <c r="M29" i="67"/>
  <c r="M29" i="15"/>
  <c r="L48" i="15"/>
  <c r="F36" i="67"/>
  <c r="F13" i="67"/>
  <c r="J15" i="67"/>
  <c r="F7" i="77"/>
  <c r="M8" i="67"/>
  <c r="M24" i="67"/>
  <c r="F26" i="67"/>
  <c r="M26" i="15"/>
  <c r="M26" i="67"/>
  <c r="M24" i="15"/>
  <c r="F16" i="67"/>
  <c r="F6" i="15"/>
  <c r="F9" i="67"/>
  <c r="F37" i="67"/>
  <c r="F42" i="15"/>
  <c r="M28" i="67"/>
  <c r="F36" i="15"/>
  <c r="M9" i="15"/>
  <c r="F38" i="67"/>
  <c r="M28" i="15"/>
  <c r="J15" i="15"/>
  <c r="F26" i="15"/>
  <c r="F7" i="15"/>
  <c r="F40" i="67"/>
  <c r="C76" i="15"/>
  <c r="F8" i="15"/>
  <c r="F38" i="15"/>
  <c r="G1" i="73"/>
  <c r="F9" i="15"/>
  <c r="M9" i="67"/>
  <c r="F6" i="67"/>
  <c r="F7" i="67"/>
  <c r="F16" i="15"/>
  <c r="F43" i="77"/>
  <c r="L47" i="67"/>
  <c r="F40" i="15"/>
  <c r="M23" i="67"/>
  <c r="M23" i="15"/>
  <c r="M22" i="67"/>
  <c r="L48" i="67"/>
  <c r="F42" i="67"/>
  <c r="F37" i="15"/>
  <c r="C109" i="43" l="1"/>
  <c r="F105" i="43"/>
  <c r="C102" i="43"/>
  <c r="D115" i="43"/>
  <c r="E115" i="43" s="1"/>
  <c r="F115" i="43" s="1"/>
  <c r="G115" i="43" s="1"/>
  <c r="H115" i="43" s="1"/>
  <c r="B117" i="43"/>
  <c r="C117" i="43" s="1"/>
  <c r="B118" i="43"/>
  <c r="C118" i="43" s="1"/>
  <c r="G118" i="43"/>
  <c r="H118" i="43" s="1"/>
  <c r="D116" i="43"/>
  <c r="E116" i="43" s="1"/>
  <c r="F116" i="43" s="1"/>
  <c r="G116" i="43" s="1"/>
  <c r="H116" i="43" s="1"/>
  <c r="C103" i="43"/>
  <c r="C107" i="43"/>
  <c r="F102" i="43"/>
  <c r="AA29" i="21"/>
  <c r="C7" i="43"/>
  <c r="F32" i="39"/>
  <c r="F53" i="9"/>
  <c r="F32" i="77"/>
  <c r="F60" i="77" s="1"/>
  <c r="F28" i="77"/>
  <c r="C28" i="77" s="1"/>
  <c r="M18" i="77"/>
  <c r="E12" i="6"/>
  <c r="AC24" i="36"/>
  <c r="W24" i="36"/>
  <c r="S12" i="21"/>
  <c r="AA12" i="21"/>
  <c r="W12" i="36"/>
  <c r="AC12" i="36"/>
  <c r="W12" i="34"/>
  <c r="AC12" i="34"/>
  <c r="AB43" i="21"/>
  <c r="U43" i="21"/>
  <c r="B3" i="3"/>
  <c r="C31" i="35"/>
  <c r="U39" i="40"/>
  <c r="AB39" i="40"/>
  <c r="W14" i="35"/>
  <c r="AC14" i="35"/>
  <c r="AB12" i="21"/>
  <c r="U12" i="21"/>
  <c r="AC35" i="39"/>
  <c r="W35" i="39"/>
  <c r="U12" i="36"/>
  <c r="AB12" i="36"/>
  <c r="AC36" i="35"/>
  <c r="W36" i="35"/>
  <c r="S12" i="35"/>
  <c r="AA12" i="35"/>
  <c r="S12" i="34"/>
  <c r="AA12" i="34"/>
  <c r="AA9" i="34"/>
  <c r="S9" i="34"/>
  <c r="C4" i="4"/>
  <c r="E4" i="4"/>
  <c r="W17" i="21"/>
  <c r="AC15" i="21"/>
  <c r="E58" i="40"/>
  <c r="E63" i="39"/>
  <c r="AZ13" i="3"/>
  <c r="M7" i="77"/>
  <c r="F50" i="77"/>
  <c r="F71" i="77"/>
  <c r="AC23" i="39"/>
  <c r="W23" i="39"/>
  <c r="W45" i="39"/>
  <c r="AC45" i="39"/>
  <c r="M18" i="67"/>
  <c r="F32" i="67"/>
  <c r="F60" i="67" s="1"/>
  <c r="F30" i="69"/>
  <c r="F32" i="15"/>
  <c r="F60" i="15" s="1"/>
  <c r="M18" i="15"/>
  <c r="F28" i="15"/>
  <c r="D22" i="43"/>
  <c r="AR11" i="1"/>
  <c r="AQ9" i="1"/>
  <c r="T13" i="1"/>
  <c r="E59" i="40"/>
  <c r="T11" i="1"/>
  <c r="D9" i="69"/>
  <c r="C9" i="69" s="1"/>
  <c r="D19" i="12"/>
  <c r="C19" i="12" s="1"/>
  <c r="E56" i="40"/>
  <c r="T9" i="1"/>
  <c r="E16" i="6"/>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C48" i="6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59" i="67"/>
  <c r="M17" i="15"/>
  <c r="M17" i="67"/>
  <c r="F59" i="15"/>
  <c r="F31" i="67"/>
  <c r="F9" i="77"/>
  <c r="F38" i="77"/>
  <c r="F16" i="77"/>
  <c r="F6" i="77"/>
  <c r="M27" i="77"/>
  <c r="F26" i="77"/>
  <c r="F8" i="77"/>
  <c r="J15" i="77"/>
  <c r="C16" i="15"/>
  <c r="F42" i="77"/>
  <c r="F36" i="77"/>
  <c r="L47" i="77"/>
  <c r="M6" i="77"/>
  <c r="F40" i="77"/>
  <c r="M22" i="77"/>
  <c r="C17" i="15"/>
  <c r="M8" i="77"/>
  <c r="C76" i="77"/>
  <c r="M24" i="77"/>
  <c r="M26" i="77"/>
  <c r="F13" i="77"/>
  <c r="M28" i="77"/>
  <c r="C16" i="67"/>
  <c r="L48" i="77"/>
  <c r="M23" i="77"/>
  <c r="F37" i="77"/>
  <c r="M9" i="77"/>
  <c r="C17" i="77"/>
  <c r="F65" i="77" l="1"/>
  <c r="F51" i="77"/>
  <c r="Q71" i="77"/>
  <c r="C27" i="77"/>
  <c r="J57" i="77"/>
  <c r="J55" i="77" s="1"/>
  <c r="J58" i="77" s="1"/>
  <c r="Q50" i="77" s="1"/>
  <c r="J53" i="77"/>
  <c r="L56" i="77"/>
  <c r="K53" i="77"/>
  <c r="F68" i="77"/>
  <c r="C10" i="77"/>
  <c r="C6" i="77"/>
  <c r="L59" i="77"/>
  <c r="L58" i="77"/>
  <c r="F66" i="77"/>
  <c r="F64" i="77"/>
  <c r="C49" i="77"/>
  <c r="C48" i="77" s="1"/>
  <c r="C66" i="77" s="1"/>
  <c r="H31" i="35"/>
  <c r="F31" i="35"/>
  <c r="J31" i="35"/>
  <c r="E57" i="40"/>
  <c r="E62" i="39"/>
  <c r="E66" i="39" s="1"/>
  <c r="K4" i="4"/>
  <c r="B46" i="48" s="1"/>
  <c r="B4" i="72" s="1"/>
  <c r="B5" i="62"/>
  <c r="B73" i="72" s="1"/>
  <c r="K16" i="1"/>
  <c r="B29" i="1" s="1"/>
  <c r="C8" i="68" s="1"/>
  <c r="M20" i="6"/>
  <c r="I20" i="6" s="1"/>
  <c r="AQ7" i="1"/>
  <c r="J6" i="77"/>
  <c r="J10" i="77"/>
  <c r="O7" i="1"/>
  <c r="P7" i="1" s="1"/>
  <c r="AQ6" i="1"/>
  <c r="E6" i="70"/>
  <c r="AR7" i="1"/>
  <c r="C60" i="77"/>
  <c r="C24" i="77"/>
  <c r="T7" i="1"/>
  <c r="M19" i="6"/>
  <c r="I19" i="6" s="1"/>
  <c r="M21" i="6"/>
  <c r="I21" i="6" s="1"/>
  <c r="S21" i="6" s="1"/>
  <c r="S8" i="1"/>
  <c r="K27" i="6"/>
  <c r="S5" i="43"/>
  <c r="T5" i="43" s="1"/>
  <c r="V5" i="43" s="1"/>
  <c r="S3" i="43"/>
  <c r="T3" i="43" s="1"/>
  <c r="V3" i="43" s="1"/>
  <c r="C23" i="43"/>
  <c r="C21" i="43" s="1"/>
  <c r="C29" i="43" s="1"/>
  <c r="S2" i="43"/>
  <c r="T2" i="43" s="1"/>
  <c r="V2" i="43" s="1"/>
  <c r="S7" i="43"/>
  <c r="T7" i="43" s="1"/>
  <c r="V7" i="43" s="1"/>
  <c r="S4" i="43"/>
  <c r="S6" i="43"/>
  <c r="A18" i="62"/>
  <c r="B64" i="72"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Q61" i="15"/>
  <c r="C49" i="15"/>
  <c r="Q60" i="15"/>
  <c r="M16" i="1"/>
  <c r="N16" i="1" s="1"/>
  <c r="Q60" i="67"/>
  <c r="Q73" i="67"/>
  <c r="F27" i="11"/>
  <c r="Q61" i="67"/>
  <c r="Q74" i="67"/>
  <c r="C49" i="67"/>
  <c r="F1" i="67"/>
  <c r="Q52" i="67"/>
  <c r="C16" i="77"/>
  <c r="C14" i="77"/>
  <c r="C5" i="77" l="1"/>
  <c r="C38" i="77" s="1"/>
  <c r="W31" i="35"/>
  <c r="AC31" i="35"/>
  <c r="U31" i="35"/>
  <c r="AB31" i="35"/>
  <c r="Q60" i="77"/>
  <c r="Q73" i="77"/>
  <c r="F1" i="77"/>
  <c r="Q52" i="77"/>
  <c r="AA31" i="35"/>
  <c r="S31" i="35"/>
  <c r="Q74" i="77"/>
  <c r="Q61" i="77"/>
  <c r="J5" i="77"/>
  <c r="J26" i="77" s="1"/>
  <c r="C18" i="77"/>
  <c r="C15" i="77"/>
  <c r="C32" i="77"/>
  <c r="H38" i="39"/>
  <c r="J38" i="39"/>
  <c r="F38" i="39"/>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M21" i="77"/>
  <c r="F35" i="77"/>
  <c r="C19" i="77" l="1"/>
  <c r="C20" i="77" s="1"/>
  <c r="C23" i="77" s="1"/>
  <c r="J24" i="77"/>
  <c r="C34" i="11"/>
  <c r="C38" i="11" s="1"/>
  <c r="J18" i="77"/>
  <c r="W38" i="39"/>
  <c r="AC38" i="39"/>
  <c r="AA38" i="39"/>
  <c r="S38" i="39"/>
  <c r="AB38" i="39"/>
  <c r="U38" i="39"/>
  <c r="F63" i="77"/>
  <c r="C62" i="77" s="1"/>
  <c r="C34" i="77"/>
  <c r="J20" i="77"/>
  <c r="J59" i="77"/>
  <c r="J60" i="77"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C35" i="11" l="1"/>
  <c r="C26" i="77"/>
  <c r="C29" i="77" s="1"/>
  <c r="Q48" i="77"/>
  <c r="D31" i="6"/>
  <c r="I6" i="6" s="1"/>
  <c r="E2" i="76"/>
  <c r="B2" i="43"/>
  <c r="R49" i="21"/>
  <c r="C48" i="21" s="1"/>
  <c r="D6" i="12" s="1"/>
  <c r="D8" i="12"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B6" i="76"/>
  <c r="M21" i="67"/>
  <c r="F35" i="15"/>
  <c r="M21" i="15"/>
  <c r="C33" i="77" l="1"/>
  <c r="C31" i="77" s="1"/>
  <c r="C36" i="77"/>
  <c r="J14" i="77"/>
  <c r="Q49" i="77"/>
  <c r="C57" i="77"/>
  <c r="J19" i="77"/>
  <c r="J17" i="77" s="1"/>
  <c r="C13" i="77"/>
  <c r="H11" i="39"/>
  <c r="F11" i="39"/>
  <c r="J11" i="39"/>
  <c r="I5" i="6"/>
  <c r="B2" i="76"/>
  <c r="B3" i="76" s="1"/>
  <c r="B3" i="43"/>
  <c r="C49" i="21"/>
  <c r="F63" i="67"/>
  <c r="C62" i="67" s="1"/>
  <c r="C34" i="67"/>
  <c r="J20" i="67"/>
  <c r="C24" i="68"/>
  <c r="J20" i="15"/>
  <c r="F63" i="15"/>
  <c r="C62" i="15" s="1"/>
  <c r="C34" i="15"/>
  <c r="R16" i="1"/>
  <c r="C22" i="12"/>
  <c r="C33" i="68"/>
  <c r="I63" i="40"/>
  <c r="H65" i="40"/>
  <c r="C39" i="11"/>
  <c r="C43" i="11" s="1"/>
  <c r="C41" i="11" s="1"/>
  <c r="I70" i="39"/>
  <c r="C75" i="77" l="1"/>
  <c r="Q70" i="77"/>
  <c r="C56" i="77"/>
  <c r="C65" i="77" s="1"/>
  <c r="C37" i="77"/>
  <c r="C30" i="77" s="1"/>
  <c r="C39" i="77" s="1"/>
  <c r="C64" i="77"/>
  <c r="C61" i="77"/>
  <c r="C59" i="77" s="1"/>
  <c r="J22" i="77"/>
  <c r="J13" i="77"/>
  <c r="J23" i="77" s="1"/>
  <c r="AA11" i="39"/>
  <c r="S11" i="39"/>
  <c r="W11" i="39"/>
  <c r="AC11" i="39"/>
  <c r="AB11" i="39"/>
  <c r="U11" i="39"/>
  <c r="L57" i="77"/>
  <c r="L60" i="77" s="1"/>
  <c r="L46" i="77" s="1"/>
  <c r="C39" i="68"/>
  <c r="C43" i="68" s="1"/>
  <c r="C42" i="68"/>
  <c r="J63" i="40"/>
  <c r="I65" i="40"/>
  <c r="C46" i="11"/>
  <c r="C45" i="11" s="1"/>
  <c r="C49" i="11" s="1"/>
  <c r="C51" i="11" s="1"/>
  <c r="C52" i="11" s="1"/>
  <c r="B2" i="11" s="1"/>
  <c r="B3" i="11" s="1"/>
  <c r="J70" i="39"/>
  <c r="L51" i="77"/>
  <c r="C80" i="77" l="1"/>
  <c r="C79" i="77" s="1"/>
  <c r="C58" i="77"/>
  <c r="C67" i="77" s="1"/>
  <c r="Q67" i="77"/>
  <c r="Q69" i="77"/>
  <c r="Q68" i="77" s="1"/>
  <c r="J16" i="77"/>
  <c r="J25" i="77" s="1"/>
  <c r="Q57" i="77"/>
  <c r="Q66" i="77"/>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F41" i="77"/>
  <c r="J29" i="77" l="1"/>
  <c r="F69" i="77"/>
  <c r="C68" i="77" s="1"/>
  <c r="C71" i="77" s="1"/>
  <c r="C40" i="77"/>
  <c r="Q66" i="67"/>
  <c r="Q57" i="67"/>
  <c r="C58" i="67"/>
  <c r="C67" i="67" s="1"/>
  <c r="C19" i="15"/>
  <c r="Q56" i="77" l="1"/>
  <c r="Q62" i="77" s="1"/>
  <c r="C46" i="77"/>
  <c r="C83" i="77"/>
  <c r="C82" i="77" s="1"/>
  <c r="C43" i="77"/>
  <c r="Q47" i="77"/>
  <c r="Q53" i="77" s="1"/>
  <c r="B2" i="77"/>
  <c r="B3" i="77" s="1"/>
  <c r="Q65" i="77"/>
  <c r="Q75"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67"/>
  <c r="M27" i="15"/>
  <c r="F41" i="15"/>
  <c r="L51" i="15"/>
  <c r="F41" i="67"/>
  <c r="Q67" i="15" l="1"/>
  <c r="J26" i="15"/>
  <c r="J29" i="15" s="1"/>
  <c r="J26" i="67"/>
  <c r="J29" i="67" s="1"/>
  <c r="C58" i="15"/>
  <c r="C67" i="15" s="1"/>
  <c r="F69" i="15"/>
  <c r="C40" i="15"/>
  <c r="L46" i="15"/>
  <c r="Q57" i="15"/>
  <c r="Q66" i="15"/>
  <c r="F69" i="67"/>
  <c r="C68" i="67" s="1"/>
  <c r="C71" i="67" s="1"/>
  <c r="C40" i="67"/>
  <c r="C83" i="67" s="1"/>
  <c r="C82" i="67" s="1"/>
  <c r="C43" i="15" l="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B8" i="70" l="1"/>
  <c r="B7" i="70"/>
  <c r="B6" i="70"/>
  <c r="C46" i="15"/>
  <c r="B2" i="69"/>
  <c r="B3" i="69" s="1"/>
  <c r="B3" i="67"/>
  <c r="D2" i="33"/>
  <c r="D2" i="37"/>
  <c r="D2" i="34"/>
  <c r="D2" i="21"/>
  <c r="F20" i="31"/>
  <c r="E2" i="68"/>
  <c r="D2" i="36"/>
  <c r="D2" i="35"/>
  <c r="B20" i="31" l="1"/>
  <c r="B2" i="36"/>
  <c r="B3" i="36" s="1"/>
  <c r="B2" i="35"/>
  <c r="B2" i="37"/>
  <c r="B3" i="37" s="1"/>
  <c r="B2" i="34"/>
  <c r="B3" i="34" s="1"/>
  <c r="B2" i="21"/>
  <c r="B3" i="21" s="1"/>
  <c r="B2" i="70"/>
  <c r="B3" i="70" s="1"/>
  <c r="B3" i="35" l="1"/>
  <c r="E6" i="12" s="1"/>
  <c r="E8" i="12"/>
  <c r="C4" i="12" s="1"/>
  <c r="C23" i="12" l="1"/>
  <c r="C31" i="12"/>
  <c r="C30" i="12" l="1"/>
  <c r="C28" i="12" s="1"/>
  <c r="C27" i="12"/>
  <c r="C25" i="12" s="1"/>
  <c r="H109" i="9"/>
  <c r="C32" i="12" l="1"/>
  <c r="B2" i="12" s="1"/>
  <c r="B3" i="12" s="1"/>
  <c r="H110" i="9"/>
  <c r="D18" i="53" s="1"/>
  <c r="B35" i="72" s="1"/>
  <c r="D124" i="9"/>
  <c r="D16" i="53"/>
  <c r="B34" i="72" s="1"/>
  <c r="D20" i="9"/>
  <c r="D19" i="9"/>
  <c r="G25" i="9" l="1"/>
  <c r="D21" i="9"/>
  <c r="D102" i="9"/>
  <c r="D103" i="9"/>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C6" i="68" s="1"/>
  <c r="C7" i="68" l="1"/>
  <c r="C5" i="68" s="1"/>
  <c r="B3" i="39"/>
  <c r="C23" i="68" l="1"/>
  <c r="C20" i="68"/>
  <c r="C28" i="68" l="1"/>
  <c r="C27" i="68" s="1"/>
  <c r="C25" i="68"/>
  <c r="C22" i="68" s="1"/>
  <c r="H112" i="9"/>
  <c r="D21" i="53" s="1"/>
  <c r="B39" i="72" s="1"/>
  <c r="H111" i="9"/>
  <c r="D126" i="9" s="1"/>
  <c r="D19" i="53"/>
  <c r="D59" i="9"/>
  <c r="M55" i="9"/>
  <c r="C31" i="68" l="1"/>
  <c r="C52" i="68" s="1"/>
  <c r="B38" i="72"/>
  <c r="D20" i="53"/>
  <c r="B40" i="72" s="1"/>
  <c r="I14" i="74"/>
  <c r="B8" i="74" s="1"/>
  <c r="D127" i="9"/>
  <c r="D13" i="52" s="1"/>
  <c r="D12" i="52"/>
  <c r="C57" i="68" l="1"/>
  <c r="C56" i="68" s="1"/>
  <c r="B2" i="68"/>
  <c r="D8" i="74"/>
  <c r="C8" i="74"/>
  <c r="C19" i="9"/>
  <c r="F25" i="9" l="1"/>
  <c r="C21" i="9"/>
  <c r="G19" i="9"/>
  <c r="H25" i="9" s="1"/>
  <c r="C102" i="9"/>
  <c r="D22" i="9"/>
  <c r="B3" i="68"/>
  <c r="D34" i="9"/>
  <c r="D35" i="9"/>
  <c r="C20" i="9"/>
  <c r="G20" i="9" l="1"/>
  <c r="C103" i="9"/>
  <c r="E40" i="9"/>
  <c r="G21" i="9"/>
  <c r="C32" i="9"/>
  <c r="C35" i="9" l="1"/>
  <c r="F118" i="9" s="1"/>
  <c r="H118" i="9"/>
  <c r="C34" i="9" l="1"/>
  <c r="D118" i="9" s="1"/>
  <c r="D119" i="9" s="1"/>
  <c r="D5" i="52" s="1"/>
  <c r="B49" i="72" s="1"/>
  <c r="C104" i="9"/>
  <c r="I118" i="9"/>
  <c r="D14" i="74"/>
  <c r="H101" i="9"/>
  <c r="H119" i="9"/>
  <c r="H5" i="52" s="1"/>
  <c r="H4" i="52"/>
  <c r="G118" i="9"/>
  <c r="G4" i="52" s="1"/>
  <c r="B52" i="72" s="1"/>
  <c r="F4" i="52"/>
  <c r="B51" i="72" s="1"/>
  <c r="F119" i="9"/>
  <c r="F5" i="52" s="1"/>
  <c r="B53" i="72" s="1"/>
  <c r="D4" i="52" l="1"/>
  <c r="B47" i="72" s="1"/>
  <c r="M48" i="9"/>
  <c r="D45" i="9"/>
  <c r="D5" i="53"/>
  <c r="H107" i="9"/>
  <c r="C105" i="9"/>
  <c r="I4" i="52"/>
  <c r="H102" i="9"/>
  <c r="D7" i="53" s="1"/>
  <c r="B21" i="72" s="1"/>
  <c r="E118" i="9"/>
  <c r="E4" i="52" s="1"/>
  <c r="B48" i="72" s="1"/>
  <c r="B5" i="74"/>
  <c r="E14" i="74"/>
  <c r="F14" i="74"/>
  <c r="M49" i="9" l="1"/>
  <c r="D122" i="9"/>
  <c r="H108" i="9"/>
  <c r="D15" i="53" s="1"/>
  <c r="B31" i="72" s="1"/>
  <c r="D13" i="53"/>
  <c r="D53" i="9"/>
  <c r="D52" i="9"/>
  <c r="C93" i="9"/>
  <c r="C86" i="9" s="1"/>
  <c r="C78" i="9"/>
  <c r="C73" i="9" s="1"/>
  <c r="C72" i="9"/>
  <c r="C64" i="9"/>
  <c r="C63" i="9" s="1"/>
  <c r="C67" i="9" s="1"/>
  <c r="C68" i="9" s="1"/>
  <c r="D54" i="9" s="1"/>
  <c r="C85" i="9"/>
  <c r="D55" i="9"/>
  <c r="M53" i="9" s="1"/>
  <c r="C5" i="74"/>
  <c r="D5" i="74"/>
  <c r="B20" i="72"/>
  <c r="D6" i="53"/>
  <c r="B22" i="72" s="1"/>
  <c r="C95" i="9" l="1"/>
  <c r="C96" i="9" s="1"/>
  <c r="E96" i="9" s="1"/>
  <c r="E97" i="9" s="1"/>
  <c r="C79" i="9"/>
  <c r="C80" i="9" s="1"/>
  <c r="E80" i="9" s="1"/>
  <c r="E81" i="9" s="1"/>
  <c r="B30" i="72"/>
  <c r="D14" i="53"/>
  <c r="B32" i="72" s="1"/>
  <c r="G14" i="74"/>
  <c r="B6" i="74" s="1"/>
  <c r="D123" i="9"/>
  <c r="D9" i="52" s="1"/>
  <c r="D8" i="52"/>
  <c r="L68" i="9"/>
  <c r="M68" i="9" s="1"/>
  <c r="L67" i="9"/>
  <c r="M67" i="9" s="1"/>
  <c r="L65" i="9"/>
  <c r="M65" i="9" s="1"/>
  <c r="L64" i="9"/>
  <c r="M64" i="9" s="1"/>
  <c r="L63" i="9"/>
  <c r="M63" i="9" s="1"/>
  <c r="L66" i="9"/>
  <c r="M66" i="9" s="1"/>
  <c r="M69" i="9" l="1"/>
  <c r="N69" i="9" s="1"/>
  <c r="C81" i="9"/>
  <c r="C97" i="9"/>
  <c r="D58" i="9" s="1"/>
  <c r="D56" i="9" s="1"/>
  <c r="M54" i="9" s="1"/>
  <c r="N57" i="9" s="1"/>
  <c r="D6" i="74"/>
  <c r="C6" i="74"/>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<sst xmlns="http://schemas.openxmlformats.org/spreadsheetml/2006/main" count="7958" uniqueCount="3218">
  <si>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</si>
  <si>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</si>
  <si>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</si>
  <si>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</si>
  <si>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</si>
  <si>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</si>
  <si>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</si>
  <si>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</si>
  <si>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</si>
  <si>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</si>
  <si>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</si>
  <si>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</si>
  <si>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</si>
  <si>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</si>
  <si>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</si>
  <si>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</si>
  <si>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</si>
  <si>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</si>
  <si>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</si>
  <si>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</si>
  <si>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</si>
  <si>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</si>
  <si>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</si>
  <si>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</si>
  <si>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</si>
  <si>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</si>
  <si>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</si>
  <si>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</si>
  <si>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</si>
  <si>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</si>
  <si>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</si>
  <si>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</si>
  <si>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</si>
  <si>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</si>
  <si>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</si>
  <si>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</si>
  <si>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</si>
  <si>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</si>
  <si>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</si>
  <si>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</si>
  <si>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</si>
  <si>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</si>
  <si>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</si>
  <si>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</si>
  <si>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</si>
  <si>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</si>
  <si>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</si>
  <si>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</si>
  <si>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</si>
  <si>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</si>
  <si>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</si>
  <si>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</si>
  <si>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</si>
  <si>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</si>
  <si>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</si>
  <si>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</si>
  <si>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</si>
  <si>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</si>
  <si>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</si>
  <si>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</si>
  <si>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</si>
  <si>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</si>
  <si>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</si>
  <si>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</si>
  <si>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</si>
  <si>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</si>
  <si>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</si>
  <si>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</si>
  <si>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</si>
  <si>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</si>
  <si>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</si>
  <si>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</si>
  <si>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</si>
  <si>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</si>
  <si>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</si>
  <si>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</si>
  <si>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</si>
  <si>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</si>
  <si>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</si>
  <si>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</si>
  <si>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</si>
  <si>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</si>
  <si>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</si>
  <si>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</si>
  <si>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</si>
  <si>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</si>
  <si>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</si>
  <si>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</si>
  <si>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</si>
  <si>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</si>
  <si>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</si>
  <si>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</si>
  <si>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</si>
  <si>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</si>
  <si>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</si>
  <si>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</si>
  <si>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</si>
  <si>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</si>
  <si>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</si>
  <si>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</si>
  <si>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</si>
  <si>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</si>
  <si>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</si>
  <si>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</si>
  <si>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</si>
  <si>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</si>
  <si>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</si>
  <si>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</si>
  <si>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</si>
  <si>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</si>
  <si>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</si>
  <si>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</si>
  <si>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</si>
  <si>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</si>
  <si>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</si>
  <si>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</si>
  <si>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</si>
  <si>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</si>
  <si>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</si>
  <si>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</si>
  <si>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</si>
  <si>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</si>
  <si>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</si>
  <si>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</si>
  <si>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</si>
  <si>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</si>
  <si>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</si>
  <si>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</si>
  <si>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</si>
  <si>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</si>
  <si>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</si>
  <si>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</si>
  <si>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</si>
  <si>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</si>
  <si>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</si>
  <si>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</si>
  <si>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</si>
  <si>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</si>
  <si>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</si>
  <si>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</si>
  <si>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</si>
  <si>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</si>
  <si>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</si>
  <si>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</si>
  <si>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</si>
  <si>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</si>
  <si>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</si>
  <si>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</si>
  <si>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</si>
  <si>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</si>
  <si>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</si>
  <si>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</si>
  <si>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</si>
  <si>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</si>
  <si>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</si>
  <si>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</si>
  <si>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</si>
  <si>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</si>
  <si>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</si>
  <si>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</si>
  <si>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</si>
  <si>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</si>
  <si>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</si>
  <si>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</si>
  <si>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</si>
  <si>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</si>
  <si>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</si>
  <si>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</si>
  <si>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</si>
  <si>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</si>
  <si>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</si>
  <si>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</si>
  <si>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</si>
  <si>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</si>
  <si>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</si>
  <si>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</si>
  <si>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</si>
  <si>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</si>
  <si>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</si>
  <si>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</si>
  <si>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</si>
  <si>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</si>
  <si>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</si>
  <si>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</si>
  <si>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</si>
  <si>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</si>
  <si>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</si>
  <si>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</si>
  <si>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</si>
  <si>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</si>
  <si>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</si>
  <si>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</si>
  <si>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</si>
  <si>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</si>
  <si>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</si>
  <si>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</si>
  <si>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</si>
  <si>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</si>
  <si>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</si>
  <si>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</si>
  <si>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</si>
  <si>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</si>
  <si>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</si>
  <si>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</si>
  <si>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</si>
  <si>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</si>
  <si>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</si>
  <si>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</si>
  <si>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</si>
  <si>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</si>
  <si>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</si>
  <si>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</si>
  <si>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</si>
  <si>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</si>
  <si>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</si>
  <si>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</si>
  <si>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</si>
  <si>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</si>
  <si>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</si>
  <si>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</si>
  <si>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</si>
  <si>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</si>
  <si>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</si>
  <si>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</si>
  <si>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</si>
  <si>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</si>
  <si>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</si>
  <si>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</si>
  <si>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</si>
  <si>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</si>
  <si>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</si>
  <si>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</si>
  <si>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</si>
  <si>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</si>
  <si>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</si>
  <si>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</si>
  <si>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</si>
  <si>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</si>
  <si>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</si>
  <si>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</si>
  <si>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</si>
  <si>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</si>
  <si>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</si>
  <si>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</si>
  <si>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</si>
  <si>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</si>
  <si>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</si>
  <si>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</si>
  <si>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</si>
  <si>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</si>
  <si>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</si>
  <si>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</si>
  <si>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</si>
  <si>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</si>
  <si>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</si>
  <si>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</si>
  <si>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</si>
  <si>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</si>
  <si>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</si>
  <si>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</si>
  <si>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</si>
  <si>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</si>
  <si>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</si>
  <si>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</si>
  <si>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</si>
  <si>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</si>
  <si>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</si>
  <si>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</si>
  <si>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</si>
  <si>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</si>
  <si>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</si>
  <si>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</si>
  <si>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</si>
  <si>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</si>
  <si>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</si>
  <si>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</si>
  <si>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</si>
  <si>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</si>
  <si>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</si>
  <si>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</si>
  <si>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</si>
  <si>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</si>
  <si>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</si>
  <si>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</si>
  <si>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</si>
  <si>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</si>
  <si>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</si>
  <si>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</si>
  <si>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</si>
  <si>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</si>
  <si>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</si>
  <si>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</si>
  <si>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</si>
  <si>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</si>
  <si>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</si>
  <si>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</si>
  <si>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</si>
  <si>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</si>
  <si>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</si>
  <si>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</si>
  <si>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</si>
  <si>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</si>
  <si>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</si>
  <si>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</si>
  <si>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</si>
  <si>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</si>
  <si>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</si>
  <si>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</si>
  <si>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</si>
  <si>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</si>
  <si>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</si>
  <si>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</si>
  <si>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</si>
  <si>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</si>
  <si>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</si>
  <si>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</si>
  <si>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</si>
  <si>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</si>
  <si>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</si>
  <si>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</si>
  <si>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</si>
  <si>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</si>
  <si>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</si>
  <si>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</si>
  <si>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</si>
  <si>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</si>
  <si>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</si>
  <si>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</si>
  <si>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</si>
  <si>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</si>
  <si>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</si>
  <si>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</si>
  <si>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</si>
  <si>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</si>
  <si>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</si>
  <si>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</si>
  <si>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</si>
  <si>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</si>
  <si>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</si>
  <si>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</si>
  <si>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</si>
  <si>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</si>
  <si>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</si>
  <si>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</si>
  <si>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</si>
  <si>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</si>
  <si>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</si>
  <si>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</si>
  <si>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</si>
  <si>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</si>
  <si>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</si>
  <si>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</si>
  <si>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</si>
  <si>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</si>
  <si>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</si>
  <si>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</si>
  <si>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</si>
  <si>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</si>
  <si>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</si>
  <si>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</si>
  <si>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</si>
  <si>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</si>
  <si>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</si>
  <si>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</si>
  <si>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</si>
  <si>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</si>
  <si>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</si>
  <si>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</si>
  <si>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</si>
  <si>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</si>
  <si>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</si>
  <si>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</si>
  <si>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</si>
  <si>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</si>
  <si>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</si>
  <si>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</si>
  <si>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</si>
  <si>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</si>
  <si>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</si>
  <si>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</si>
  <si>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</si>
  <si>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</si>
  <si>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</si>
  <si>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</si>
  <si>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</si>
  <si>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</si>
  <si>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</si>
  <si>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</si>
  <si>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</si>
  <si>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</si>
  <si>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</si>
  <si>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</si>
  <si>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</si>
  <si>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</si>
  <si>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</si>
  <si>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</si>
  <si>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</si>
  <si>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</si>
  <si>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</si>
  <si>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</si>
  <si>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</si>
  <si>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</si>
  <si>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</si>
  <si>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</si>
  <si>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</si>
  <si>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</si>
  <si>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</si>
  <si>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</si>
  <si>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</si>
  <si>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</si>
  <si>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</si>
  <si>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</si>
  <si>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</si>
  <si>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</si>
  <si>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</si>
  <si>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</si>
  <si>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</si>
  <si>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</si>
  <si>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</si>
  <si>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</si>
  <si>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</si>
  <si>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</si>
  <si>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</si>
  <si>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</si>
  <si>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</si>
  <si>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</si>
  <si>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</si>
  <si>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</si>
  <si>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</si>
  <si>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</si>
  <si>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</si>
  <si>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</si>
  <si>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</si>
  <si>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</si>
  <si>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</si>
  <si>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</si>
  <si>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</si>
  <si>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</si>
  <si>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</si>
  <si>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</si>
  <si>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</si>
  <si>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</si>
  <si>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</si>
  <si>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</si>
  <si>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</si>
  <si>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</si>
  <si>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</si>
  <si>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</si>
  <si>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</si>
  <si>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</si>
  <si>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</si>
  <si>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</si>
  <si>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</si>
  <si>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</si>
  <si>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</si>
  <si>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</si>
  <si>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</si>
  <si>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</si>
  <si>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</si>
  <si>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</si>
  <si>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</si>
  <si>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</si>
  <si>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</si>
  <si>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</si>
  <si>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</si>
  <si>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</si>
  <si>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</si>
  <si>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</si>
  <si>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</si>
  <si>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</si>
  <si>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</si>
  <si>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</si>
  <si>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</si>
  <si>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</si>
  <si>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</si>
  <si>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</si>
  <si>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</si>
  <si>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</si>
  <si>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</si>
  <si>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</si>
  <si>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</si>
  <si>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</si>
  <si>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</si>
  <si>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</si>
  <si>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</si>
  <si>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</si>
  <si>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</si>
  <si>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</si>
  <si>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</si>
  <si>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</si>
  <si>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</si>
  <si>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</si>
  <si>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</si>
  <si>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</si>
  <si>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</si>
  <si>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</si>
  <si>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</si>
  <si>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</si>
  <si>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</si>
  <si>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</si>
  <si>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</si>
  <si>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</si>
  <si>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</si>
  <si>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</si>
  <si>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</si>
  <si>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</si>
  <si>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</si>
  <si>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</si>
  <si>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</si>
  <si>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</si>
  <si>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</si>
  <si>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</si>
  <si>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</si>
  <si>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</si>
  <si>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</si>
  <si>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</si>
  <si>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</si>
  <si>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</si>
  <si>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</si>
  <si>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</si>
  <si>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</si>
  <si>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</si>
  <si>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</si>
  <si>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</si>
  <si>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</si>
  <si>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</si>
  <si>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</si>
  <si>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</si>
  <si>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</si>
  <si>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</si>
  <si>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</si>
  <si>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</si>
  <si>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</si>
  <si>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</si>
  <si>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</si>
  <si>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</si>
  <si>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</si>
  <si>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</si>
  <si>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</si>
  <si>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</si>
  <si>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</si>
  <si>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</si>
  <si>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</si>
  <si>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</si>
  <si>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</si>
  <si>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</si>
  <si>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</si>
  <si>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</si>
  <si>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</si>
  <si>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</si>
  <si>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</si>
  <si>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</si>
  <si>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</si>
  <si>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</si>
  <si>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</si>
  <si>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</si>
  <si>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</si>
  <si>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</si>
  <si>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</si>
  <si>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</si>
  <si>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</si>
  <si>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</si>
  <si>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</si>
  <si>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</si>
  <si>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</si>
  <si>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</si>
  <si>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</si>
  <si>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</si>
  <si>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</si>
  <si>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</si>
  <si>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</si>
  <si>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</si>
  <si>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</si>
  <si>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</si>
  <si>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</si>
  <si>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</si>
  <si>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</si>
  <si>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</si>
  <si>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</si>
  <si>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</si>
  <si>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</si>
  <si>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</si>
  <si>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</si>
  <si>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</si>
  <si>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</si>
  <si>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</si>
  <si>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</si>
  <si>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</si>
  <si>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</si>
  <si>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</si>
  <si>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</si>
  <si>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</si>
  <si>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</si>
  <si>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</si>
  <si>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</si>
  <si>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</si>
  <si>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</si>
  <si>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</si>
  <si>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</si>
  <si>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</si>
  <si>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</si>
  <si>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</si>
  <si>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</si>
  <si>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</si>
  <si>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</si>
  <si>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</si>
  <si>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</si>
  <si>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</si>
  <si>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</si>
  <si>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</si>
  <si>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</si>
  <si>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</si>
  <si>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</si>
  <si>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</si>
  <si>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</si>
  <si>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</si>
  <si>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</si>
  <si>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</si>
  <si>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</si>
  <si>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</si>
  <si>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</si>
  <si>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</si>
  <si>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</si>
  <si>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</si>
  <si>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</si>
  <si>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</si>
  <si>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</si>
  <si>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</si>
  <si>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</si>
  <si>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</si>
  <si>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</si>
  <si>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</si>
  <si>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</si>
  <si>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</si>
  <si>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</si>
  <si>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</si>
  <si>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</si>
  <si>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</si>
  <si>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</si>
  <si>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</si>
  <si>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</si>
  <si>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</si>
  <si>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</si>
  <si>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</si>
  <si>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</si>
  <si>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</si>
  <si>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</si>
  <si>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</si>
  <si>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</si>
  <si>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</si>
  <si>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</si>
  <si>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</si>
  <si>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</si>
  <si>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</si>
  <si>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</si>
  <si>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</si>
  <si>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</si>
  <si>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</si>
  <si>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</si>
  <si>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</si>
  <si>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</si>
  <si>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</si>
  <si>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</si>
  <si>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</si>
  <si>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</si>
  <si>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</si>
  <si>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</si>
  <si>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</si>
  <si>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</si>
  <si>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</si>
  <si>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</si>
  <si>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</si>
  <si>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</si>
  <si>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</si>
  <si>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</si>
  <si>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</si>
  <si>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</si>
  <si>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</si>
  <si>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</si>
  <si>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</si>
  <si>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</si>
  <si>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</si>
  <si>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</si>
  <si>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</si>
  <si>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</si>
  <si>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</si>
  <si>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</si>
  <si>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</si>
  <si>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</si>
  <si>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</si>
  <si>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</si>
  <si>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</si>
  <si>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</si>
  <si>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</si>
  <si>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</si>
  <si>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</si>
  <si>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</si>
  <si>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</si>
  <si>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</si>
  <si>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</si>
  <si>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</si>
  <si>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</si>
  <si>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</si>
  <si>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</si>
  <si>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</si>
  <si>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</si>
  <si>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</si>
  <si>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</si>
  <si>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</si>
  <si>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</si>
  <si>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</si>
  <si>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</si>
  <si>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</si>
  <si>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</si>
  <si>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</si>
  <si>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</si>
  <si>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</si>
  <si>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</si>
  <si>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</si>
  <si>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</si>
  <si>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</si>
  <si>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</si>
  <si>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</si>
  <si>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</si>
  <si>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</si>
  <si>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</si>
  <si>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</si>
  <si>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</si>
  <si>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</si>
  <si>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</si>
  <si>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</si>
  <si>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</si>
  <si>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</si>
  <si>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</si>
  <si>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</si>
  <si>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</si>
  <si>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</si>
  <si>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</si>
  <si>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</si>
  <si>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</si>
  <si>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</si>
  <si>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</si>
  <si>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</si>
  <si>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</si>
  <si>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</si>
  <si>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</si>
  <si>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</si>
  <si>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</si>
  <si>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</si>
  <si>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</si>
  <si>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</si>
  <si>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</si>
  <si>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</si>
  <si>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</si>
  <si>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</si>
  <si>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</si>
  <si>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</si>
  <si>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</si>
  <si>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</si>
  <si>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</si>
  <si>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</si>
  <si>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</si>
  <si>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</si>
  <si>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</si>
  <si>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</si>
  <si>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</si>
  <si>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</si>
  <si>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</si>
  <si>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</si>
  <si>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</si>
  <si>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</si>
  <si>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</si>
  <si>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</si>
  <si>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</si>
  <si>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</si>
  <si>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</si>
  <si>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</si>
  <si>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</si>
  <si>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</si>
  <si>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</si>
  <si>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</si>
  <si>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</si>
  <si>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</si>
  <si>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</si>
  <si>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</si>
  <si>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</si>
  <si>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</si>
  <si>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</si>
  <si>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</si>
  <si>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</si>
  <si>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</si>
  <si>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</si>
  <si>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</si>
  <si>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</si>
  <si>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</si>
  <si>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</si>
  <si>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</si>
  <si>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</si>
  <si>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</si>
  <si>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</si>
  <si>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</si>
  <si>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</si>
  <si>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</si>
  <si>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</si>
  <si>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</si>
  <si>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</si>
  <si>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</si>
  <si>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</si>
  <si>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</si>
  <si>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</si>
  <si>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</si>
  <si>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</si>
  <si>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</si>
  <si>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</si>
  <si>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</si>
  <si>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</si>
  <si>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</si>
  <si>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</si>
  <si>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</si>
  <si>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</si>
  <si>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</si>
  <si>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</si>
  <si>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</si>
  <si>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</si>
  <si>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</si>
  <si>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</si>
  <si>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</si>
  <si>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</si>
  <si>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</si>
  <si>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</si>
  <si>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</si>
  <si>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</si>
  <si>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</si>
  <si>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</si>
  <si>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</si>
  <si>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</si>
  <si>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</si>
  <si>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</si>
  <si>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</si>
  <si>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</si>
  <si>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</si>
  <si>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</si>
  <si>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</si>
  <si>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</si>
  <si>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</si>
  <si>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</si>
  <si>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</si>
  <si>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</si>
  <si>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</si>
  <si>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</si>
  <si>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</si>
  <si>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</si>
  <si>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</si>
  <si>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</si>
  <si>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</si>
  <si>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</si>
  <si>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</si>
  <si>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</si>
  <si>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</si>
  <si>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</si>
  <si>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</si>
  <si>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</si>
  <si>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</si>
  <si>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</si>
  <si>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</si>
  <si>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</si>
  <si>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</si>
  <si>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</si>
  <si>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</si>
  <si>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</si>
  <si>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</si>
  <si>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</si>
  <si>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</si>
  <si>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</si>
  <si>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</si>
  <si>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</si>
  <si>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</si>
  <si>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</si>
  <si>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</si>
  <si>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</si>
  <si>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</si>
  <si>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</si>
  <si>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</si>
  <si>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</si>
  <si>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</si>
  <si>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</si>
  <si>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</si>
  <si>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</si>
  <si>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</si>
  <si>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</si>
  <si>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</si>
  <si>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</si>
  <si>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</si>
  <si>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</si>
  <si>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</si>
  <si>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</si>
  <si>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</si>
  <si>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</si>
  <si>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</si>
  <si>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</si>
  <si>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</si>
  <si>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</si>
  <si>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</si>
  <si>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</si>
  <si>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</si>
  <si>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</si>
  <si>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</si>
  <si>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</si>
  <si>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</si>
  <si>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</si>
  <si>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</si>
  <si>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</si>
  <si>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</si>
  <si>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</si>
  <si>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</si>
  <si>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</si>
  <si>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</si>
  <si>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</si>
  <si>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</si>
  <si>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</si>
  <si>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</si>
  <si>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</si>
  <si>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</si>
  <si>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</si>
  <si>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</si>
  <si>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</si>
  <si>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</si>
  <si>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</si>
  <si>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</si>
  <si>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</si>
  <si>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</si>
  <si>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</si>
  <si>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</si>
  <si>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</si>
  <si>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</si>
  <si>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</si>
  <si>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</si>
  <si>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</si>
  <si>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</si>
  <si>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</si>
  <si>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</si>
  <si>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</si>
  <si>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</si>
  <si>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</si>
  <si>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</si>
  <si>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</si>
  <si>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</si>
  <si>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</si>
  <si>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</si>
  <si>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</si>
  <si>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</si>
  <si>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</si>
  <si>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</si>
  <si>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</si>
  <si>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</si>
  <si>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</si>
  <si>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</si>
  <si>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</si>
  <si>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</si>
  <si>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</si>
  <si>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</si>
  <si>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</si>
  <si>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</si>
  <si>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</si>
  <si>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</si>
  <si>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</si>
  <si>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</si>
  <si>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</si>
  <si>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</si>
  <si>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</si>
  <si>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</si>
  <si>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</si>
  <si>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</si>
  <si>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</si>
  <si>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</si>
  <si>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</si>
  <si>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</si>
  <si>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</si>
  <si>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</si>
  <si>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</si>
  <si>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</si>
  <si>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</si>
  <si>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</si>
  <si>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</si>
  <si>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</si>
  <si>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</si>
  <si>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</si>
  <si>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</si>
  <si>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</si>
  <si>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</si>
  <si>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</si>
  <si>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</si>
  <si>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</si>
  <si>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</si>
  <si>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</si>
  <si>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</si>
  <si>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</si>
  <si>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</si>
  <si>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</si>
  <si>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</si>
  <si>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</si>
  <si>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</si>
  <si>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</si>
  <si>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</si>
  <si>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</si>
  <si>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</si>
  <si>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</si>
  <si>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</si>
  <si>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</si>
  <si>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</si>
  <si>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</si>
  <si>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</si>
  <si>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</si>
  <si>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</si>
  <si>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</si>
  <si>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</si>
  <si>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</si>
  <si>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</si>
  <si>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</si>
  <si>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</si>
  <si>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</si>
  <si>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</si>
  <si>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</si>
  <si>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</si>
  <si>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</si>
  <si>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</si>
  <si>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</si>
  <si>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</si>
  <si>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</si>
  <si>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</si>
  <si>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</si>
  <si>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</si>
  <si>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</si>
  <si>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</si>
  <si>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</si>
  <si>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</si>
  <si>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</si>
  <si>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</si>
  <si>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</si>
  <si>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</si>
  <si>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</si>
  <si>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</si>
  <si>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</si>
  <si>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</si>
  <si>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</si>
  <si>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</si>
  <si>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</si>
  <si>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</si>
  <si>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</si>
  <si>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</si>
  <si>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</si>
  <si>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</si>
  <si>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</si>
  <si>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</si>
  <si>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</si>
  <si>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</si>
  <si>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</si>
  <si>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</si>
  <si>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</si>
  <si>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</si>
  <si>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</si>
  <si>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</si>
  <si>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</si>
  <si>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</si>
  <si>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</si>
  <si>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</si>
  <si>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</si>
  <si>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</si>
  <si>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</si>
  <si>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</si>
  <si>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</si>
  <si>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</si>
  <si>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</si>
  <si>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</si>
  <si>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</si>
  <si>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</si>
  <si>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</si>
  <si>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</si>
  <si>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</si>
  <si>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</si>
  <si>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</si>
  <si>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</si>
  <si>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</si>
  <si>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</si>
  <si>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</si>
  <si>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</si>
  <si>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</si>
  <si>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</si>
  <si>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</si>
  <si>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</si>
  <si>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</si>
  <si>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</si>
  <si>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</si>
  <si>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</si>
  <si>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</si>
  <si>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</si>
  <si>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</si>
  <si>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</si>
  <si>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</si>
  <si>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</si>
  <si>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</si>
  <si>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</si>
  <si>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</si>
  <si>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</si>
  <si>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</si>
  <si>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</si>
  <si>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</si>
  <si>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</si>
  <si>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</si>
  <si>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</si>
  <si>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</si>
  <si>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</si>
  <si>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</si>
  <si>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</si>
  <si>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</si>
  <si>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</si>
  <si>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</si>
  <si>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</si>
  <si>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</si>
  <si>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</si>
  <si>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</si>
  <si>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</si>
  <si>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</si>
  <si>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</si>
  <si>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</si>
  <si>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</si>
  <si>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</si>
  <si>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</si>
  <si>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</si>
  <si>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</si>
  <si>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</si>
  <si>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</si>
  <si>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</si>
  <si>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</si>
  <si>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</si>
  <si>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</si>
  <si>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</si>
  <si>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</si>
  <si>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</si>
  <si>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</si>
  <si>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</si>
  <si>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</si>
  <si>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</si>
  <si>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</si>
  <si>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</si>
  <si>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</si>
  <si>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</si>
  <si>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</si>
  <si>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</si>
  <si>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</si>
  <si>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</si>
  <si>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</si>
  <si>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</si>
  <si>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</si>
  <si>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</si>
  <si>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</si>
  <si>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</si>
  <si>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</si>
  <si>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</si>
  <si>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</si>
  <si>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</si>
  <si>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</si>
  <si>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</si>
  <si>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</si>
  <si>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</si>
  <si>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</si>
  <si>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</si>
  <si>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</si>
  <si>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</si>
  <si>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</si>
  <si>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</si>
  <si>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</si>
  <si>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</si>
  <si>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</si>
  <si>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</si>
  <si>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</si>
  <si>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</si>
  <si>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</si>
  <si>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</si>
  <si>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</si>
  <si>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</si>
  <si>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</si>
  <si>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</si>
  <si>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</si>
  <si>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</si>
  <si>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</si>
  <si>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</si>
  <si>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</si>
  <si>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</si>
  <si>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</si>
  <si>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</si>
  <si>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</si>
  <si>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</si>
  <si>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</si>
  <si>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</si>
  <si>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</si>
  <si>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</si>
  <si>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</si>
  <si>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</si>
  <si>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</si>
  <si>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</si>
  <si>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</si>
  <si>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</si>
  <si>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</si>
  <si>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</si>
  <si>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</si>
  <si>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</si>
  <si>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</si>
  <si>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</si>
  <si>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</si>
  <si>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</si>
  <si>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</si>
  <si>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</si>
  <si>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</si>
  <si>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</si>
  <si>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</si>
  <si>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</si>
  <si>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</si>
  <si>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</si>
  <si>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</si>
  <si>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</si>
  <si>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</si>
  <si>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</si>
  <si>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</si>
  <si>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</si>
  <si>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</si>
  <si>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</si>
  <si>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</si>
  <si>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</si>
  <si>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</si>
  <si>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</si>
  <si>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</si>
  <si>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</si>
  <si>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</si>
  <si>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</si>
  <si>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</si>
  <si>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</si>
  <si>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</si>
  <si>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</si>
  <si>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</si>
  <si>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</si>
  <si>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</si>
  <si>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</si>
  <si>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</si>
  <si>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</si>
  <si>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</si>
  <si>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</si>
  <si>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</si>
  <si>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</si>
  <si>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</si>
  <si>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</si>
  <si>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</si>
  <si>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</si>
  <si>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</si>
  <si>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</si>
  <si>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</si>
  <si>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</si>
  <si>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</si>
  <si>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</si>
  <si>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</si>
  <si>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</si>
  <si>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</si>
  <si>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</si>
  <si>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</si>
  <si>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</si>
  <si>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</si>
  <si>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</si>
  <si>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</si>
  <si>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</si>
  <si>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</si>
  <si>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</si>
  <si>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</si>
  <si>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</si>
  <si>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</si>
  <si>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</si>
  <si>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</si>
  <si>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</si>
  <si>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</si>
  <si>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</si>
  <si>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</si>
  <si>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</si>
  <si>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</si>
  <si>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</si>
  <si>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</si>
  <si>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</si>
  <si>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</si>
  <si>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</si>
  <si>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</si>
  <si>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</si>
  <si>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</si>
  <si>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</si>
  <si>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</si>
  <si>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</si>
  <si>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</si>
  <si>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</si>
  <si>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</si>
  <si>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</si>
  <si>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</si>
  <si>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</si>
  <si>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</si>
  <si>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</si>
  <si>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</si>
  <si>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</si>
  <si>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</si>
  <si>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</si>
  <si>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</si>
  <si>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</si>
  <si>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</si>
  <si>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</si>
  <si>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</si>
  <si>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</si>
  <si>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</si>
  <si>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</si>
  <si>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</si>
  <si>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</si>
  <si>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</si>
  <si>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</si>
  <si>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</si>
  <si>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</si>
  <si>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</si>
  <si>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</si>
  <si>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</si>
  <si>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</si>
  <si>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</si>
  <si>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</si>
  <si>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</si>
  <si>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</si>
  <si>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</si>
  <si>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</si>
  <si>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</si>
  <si>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</si>
  <si>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</si>
  <si>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</si>
  <si>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</si>
  <si>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</si>
  <si>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</si>
  <si>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</si>
  <si>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</si>
  <si>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</si>
  <si>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</si>
  <si>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</si>
  <si>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</si>
  <si>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</si>
  <si>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</si>
  <si>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</si>
  <si>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</si>
  <si>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</si>
  <si>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</si>
  <si>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</si>
  <si>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</si>
  <si>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</si>
  <si>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</si>
  <si>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</si>
  <si>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</si>
  <si>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</si>
  <si>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</si>
  <si>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</si>
  <si>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</si>
  <si>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</si>
  <si>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</si>
  <si>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</si>
  <si>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</si>
  <si>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</si>
  <si>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</si>
  <si>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</si>
  <si>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</si>
  <si>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</si>
  <si>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</si>
  <si>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</si>
  <si>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</si>
  <si>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</si>
  <si>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</si>
  <si>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</si>
  <si>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</si>
  <si>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</si>
  <si>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</si>
  <si>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</si>
  <si>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</si>
  <si>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</si>
  <si>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</si>
  <si>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</si>
  <si>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</si>
  <si>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</si>
  <si>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</si>
  <si>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</si>
  <si>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</si>
  <si>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</si>
  <si>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</si>
  <si>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</si>
  <si>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</si>
  <si>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</si>
  <si>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</si>
  <si>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</si>
  <si>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</si>
  <si>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</si>
  <si>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</si>
  <si>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</si>
  <si>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</si>
  <si>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</si>
  <si>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</si>
  <si>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</si>
  <si>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</si>
  <si>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</si>
  <si>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</si>
  <si>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</si>
  <si>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</si>
  <si>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</si>
  <si>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</si>
  <si>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</si>
  <si>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</si>
  <si>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</si>
  <si>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</si>
  <si>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</si>
  <si>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</si>
  <si>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</si>
  <si>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</si>
  <si>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</si>
  <si>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</si>
  <si>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</si>
  <si>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</si>
  <si>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</si>
  <si>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</si>
  <si>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</si>
  <si>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</si>
  <si>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</si>
  <si>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</si>
  <si>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</si>
  <si>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</si>
  <si>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</si>
  <si>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</si>
  <si>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</si>
  <si>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</si>
  <si>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</si>
  <si>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</si>
  <si>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</si>
  <si>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</si>
  <si>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</si>
  <si>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</si>
  <si>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</si>
  <si>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</si>
  <si>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</si>
  <si>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</si>
  <si>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</si>
  <si>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</si>
  <si>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</si>
  <si>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</si>
  <si>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</si>
  <si>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</si>
  <si>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</si>
  <si>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</si>
  <si>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</si>
  <si>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</si>
  <si>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</si>
  <si>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</si>
  <si>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</si>
  <si>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</si>
  <si>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</si>
  <si>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</si>
  <si>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</si>
  <si>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</si>
  <si>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</si>
  <si>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</si>
  <si>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</si>
  <si>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</si>
  <si>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</si>
  <si>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</si>
  <si>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</si>
  <si>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</si>
  <si>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</si>
  <si>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</si>
  <si>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</si>
  <si>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</si>
  <si>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</si>
  <si>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</si>
  <si>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</si>
  <si>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</si>
  <si>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</si>
  <si>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</si>
  <si>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</si>
  <si>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</si>
  <si>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</si>
  <si>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</si>
  <si>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</si>
  <si>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</si>
  <si>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</si>
  <si>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</si>
  <si>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</si>
  <si>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</si>
  <si>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</si>
  <si>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</si>
  <si>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</si>
  <si>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</si>
  <si>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</si>
  <si>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</si>
  <si>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</si>
  <si>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</si>
  <si>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</si>
  <si>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</si>
  <si>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</si>
  <si>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</si>
  <si>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</si>
  <si>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</si>
  <si>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</si>
  <si>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</si>
  <si>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</si>
  <si>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</si>
  <si>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</si>
  <si>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</si>
  <si>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</si>
  <si>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</si>
  <si>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</si>
  <si>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</si>
  <si>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</si>
  <si>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</si>
  <si>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</si>
  <si>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</si>
  <si>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</si>
  <si>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</si>
  <si>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</si>
  <si>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</si>
  <si>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</si>
  <si>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</si>
  <si>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</si>
  <si>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</si>
  <si>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</si>
  <si>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</si>
  <si>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</si>
  <si>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</si>
  <si>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</si>
  <si>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</si>
  <si>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</si>
  <si>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</si>
  <si>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</si>
  <si>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</si>
  <si>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</si>
  <si>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</si>
  <si>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</si>
  <si>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</si>
  <si>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</si>
  <si>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</si>
  <si>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</si>
  <si>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</si>
  <si>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</si>
  <si>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</si>
  <si>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</si>
  <si>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</si>
  <si>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</si>
  <si>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</si>
  <si>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</si>
  <si>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</si>
  <si>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</si>
  <si>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</si>
  <si>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</si>
  <si>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</si>
  <si>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</si>
  <si>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</si>
  <si>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</si>
  <si>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</si>
  <si>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</si>
  <si>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</si>
  <si>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</si>
  <si>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</si>
  <si>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</si>
  <si>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</si>
  <si>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</si>
  <si>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</si>
  <si>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</si>
  <si>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</si>
  <si>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</si>
  <si>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</si>
  <si>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</si>
  <si>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</si>
  <si>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</si>
  <si>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</si>
  <si>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</si>
  <si>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</si>
  <si>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</si>
  <si>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</si>
  <si>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</si>
  <si>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</si>
  <si>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</si>
  <si>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</si>
  <si>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</si>
  <si>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</si>
  <si>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</si>
  <si>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</si>
  <si>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</si>
  <si>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</si>
  <si>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</si>
  <si>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</si>
  <si>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</si>
  <si>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</si>
  <si>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</si>
  <si>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</si>
  <si>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</si>
  <si>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</si>
  <si>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</si>
  <si>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</si>
  <si>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</si>
  <si>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</si>
  <si>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</si>
  <si>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</si>
  <si>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</si>
  <si>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</si>
  <si>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</si>
  <si>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</si>
  <si>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</si>
  <si>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</si>
  <si>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</si>
  <si>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</si>
  <si>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</si>
  <si>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</si>
  <si>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</si>
  <si>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</si>
  <si>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</si>
  <si>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</si>
  <si>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</si>
  <si>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</si>
  <si>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</si>
  <si>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</si>
  <si>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</si>
  <si>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</si>
  <si>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</si>
  <si>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</si>
  <si>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</si>
  <si>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</si>
  <si>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</si>
  <si>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</si>
  <si>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</si>
  <si>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</si>
  <si>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</si>
  <si>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</si>
  <si>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</si>
  <si>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</si>
  <si>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</si>
  <si>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</si>
  <si>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</si>
  <si>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</si>
  <si>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</si>
  <si>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</si>
  <si>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</si>
  <si>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</si>
  <si>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</si>
  <si>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</si>
  <si>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</si>
  <si>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</si>
  <si>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</si>
  <si>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</si>
  <si>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</si>
  <si>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</si>
  <si>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</si>
  <si>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</si>
  <si>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</si>
  <si>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</si>
  <si>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</si>
  <si>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</si>
  <si>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</si>
  <si>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</si>
  <si>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</si>
  <si>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</si>
  <si>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</si>
  <si>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</si>
  <si>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</si>
  <si>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</si>
  <si>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</si>
  <si>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</si>
  <si>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</si>
  <si>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</si>
  <si>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</si>
  <si>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</si>
  <si>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</si>
  <si>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</si>
  <si>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</si>
  <si>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</si>
  <si>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</si>
  <si>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</si>
  <si>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</si>
  <si>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</si>
  <si>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</si>
  <si>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</si>
  <si>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</si>
  <si>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</si>
  <si>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</si>
  <si>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</si>
  <si>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</si>
  <si>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</si>
  <si>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</si>
  <si>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</si>
  <si>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</si>
  <si>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</si>
  <si>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</si>
  <si>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</si>
  <si>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</si>
  <si>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</si>
  <si>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</si>
  <si>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</si>
  <si>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</si>
  <si>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</si>
  <si>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</si>
  <si>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</si>
  <si>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</si>
  <si>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</si>
  <si>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</si>
  <si>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</si>
  <si>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</si>
  <si>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</si>
  <si>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</si>
  <si>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</si>
  <si>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</si>
  <si>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</si>
  <si>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</si>
  <si>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</si>
  <si>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</si>
  <si>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</si>
  <si>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</si>
  <si>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</si>
  <si>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</si>
  <si>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</si>
  <si>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</si>
  <si>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</si>
  <si>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</si>
  <si>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</si>
  <si>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</si>
  <si>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</si>
  <si>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</si>
  <si>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</si>
  <si>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</si>
  <si>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</si>
  <si>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</si>
  <si>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</si>
  <si>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</si>
  <si>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</si>
  <si>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</si>
  <si>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</si>
  <si>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</si>
  <si>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</si>
  <si>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</si>
  <si>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</si>
  <si>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</si>
  <si>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</si>
  <si>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</si>
  <si>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</si>
  <si>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</si>
  <si>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</si>
  <si>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</si>
  <si>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</si>
  <si>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</si>
  <si>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</si>
  <si>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</si>
  <si>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</si>
  <si>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</si>
  <si>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</si>
  <si>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</si>
  <si>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</si>
  <si>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</si>
  <si>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</si>
  <si>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</si>
  <si>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</si>
  <si>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</si>
  <si>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</si>
  <si>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</si>
  <si>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</si>
  <si>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</si>
  <si>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</si>
  <si>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</si>
  <si>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</si>
  <si>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</si>
  <si>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</si>
  <si>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</si>
  <si>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</si>
  <si>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</si>
  <si>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</si>
  <si>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</si>
  <si>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</si>
  <si>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</si>
  <si>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</si>
  <si>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</si>
  <si>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</si>
  <si>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</si>
  <si>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</si>
  <si>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</si>
  <si>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</si>
  <si>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</si>
  <si>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</si>
  <si>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</si>
  <si>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</si>
  <si>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</si>
  <si>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</si>
  <si>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</si>
  <si>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</si>
  <si>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</si>
  <si>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</si>
  <si>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</si>
  <si>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</si>
  <si>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</si>
  <si>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</si>
  <si>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</si>
  <si>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</si>
  <si>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</si>
  <si>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</si>
  <si>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</si>
  <si>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</si>
  <si>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</si>
  <si>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</si>
  <si>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</si>
  <si>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</si>
  <si>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</si>
  <si>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</si>
  <si>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</si>
  <si>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</si>
  <si>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</si>
  <si>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</si>
  <si>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</si>
  <si>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</si>
  <si>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</si>
  <si>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</si>
  <si>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</si>
  <si>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</si>
  <si>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</si>
  <si>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</si>
  <si>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</si>
  <si>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</si>
  <si>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</si>
  <si>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</si>
  <si>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</si>
  <si>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</si>
  <si>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</si>
  <si>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</si>
  <si>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</si>
  <si>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</si>
  <si>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</si>
  <si>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</si>
  <si>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</si>
  <si>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</si>
  <si>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</si>
  <si>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</si>
  <si>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</si>
  <si>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</si>
  <si>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</si>
  <si>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</si>
  <si>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</si>
  <si>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</si>
  <si>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</si>
  <si>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</si>
  <si>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</si>
  <si>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</si>
  <si>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</si>
  <si>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</si>
  <si>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</si>
  <si>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</si>
  <si>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</si>
  <si>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</si>
  <si>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</si>
  <si>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</si>
  <si>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</si>
  <si>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</si>
  <si>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</si>
  <si>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</si>
  <si>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</si>
  <si>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</si>
  <si>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</si>
  <si>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</si>
  <si>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</si>
  <si>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</si>
  <si>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</si>
  <si>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</si>
  <si>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</si>
  <si>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</si>
  <si>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</si>
  <si>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</si>
  <si>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</si>
  <si>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</si>
  <si>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</si>
  <si>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</si>
  <si>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</si>
  <si>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</si>
  <si>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</si>
  <si>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</si>
  <si>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</si>
  <si>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</si>
  <si>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</si>
  <si>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</si>
  <si>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</si>
  <si>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</si>
  <si>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</si>
  <si>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</si>
  <si>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</si>
  <si>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</si>
  <si>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</si>
  <si>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</si>
  <si>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</si>
  <si>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</si>
  <si>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</si>
  <si>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</si>
  <si>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</si>
  <si>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</si>
  <si>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</si>
  <si>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</si>
  <si>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</si>
  <si>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</si>
  <si>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</si>
  <si>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</si>
  <si>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</si>
  <si>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</si>
  <si>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</si>
  <si>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</si>
  <si>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</si>
  <si>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</si>
  <si>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</si>
  <si>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</si>
  <si>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</si>
  <si>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</si>
  <si>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</si>
  <si>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</si>
  <si>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</si>
  <si>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</si>
  <si>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</si>
  <si>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</si>
  <si>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</si>
  <si>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</si>
  <si>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</si>
  <si>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</si>
  <si>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</si>
  <si>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</si>
  <si>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</si>
  <si>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</si>
  <si>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</si>
  <si>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</si>
  <si>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</si>
  <si>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</si>
  <si>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</si>
  <si>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</si>
  <si>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</si>
  <si>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</si>
  <si>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</si>
  <si>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</si>
  <si>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</si>
  <si>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</si>
  <si>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</si>
  <si>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</si>
  <si>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</si>
  <si>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</si>
  <si>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</si>
  <si>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</si>
  <si>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</si>
  <si>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</si>
  <si>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</si>
  <si>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</si>
  <si>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</si>
  <si>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</si>
  <si>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</si>
  <si>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</si>
  <si>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</si>
  <si>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</si>
  <si>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</si>
  <si>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</si>
  <si>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</si>
  <si>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</si>
  <si>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</si>
  <si>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</si>
  <si>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</si>
  <si>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</si>
  <si>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</si>
  <si>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</si>
  <si>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</si>
  <si>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</si>
  <si>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</si>
  <si>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</si>
  <si>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</si>
  <si>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</si>
  <si>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</si>
  <si>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</si>
  <si>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</si>
  <si>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</si>
  <si>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</si>
  <si>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</si>
  <si>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</si>
  <si>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</si>
  <si>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</si>
  <si>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</si>
  <si>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</si>
  <si>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</si>
  <si>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</si>
  <si>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</si>
  <si>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</si>
  <si>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</si>
  <si>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</si>
  <si>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</si>
  <si>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</si>
  <si>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</si>
  <si>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</si>
  <si>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</si>
  <si>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</si>
  <si>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</si>
  <si>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</si>
  <si>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</si>
  <si>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</si>
  <si>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</si>
  <si>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</si>
  <si>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</si>
  <si>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</si>
  <si>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</si>
  <si>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</si>
  <si>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</si>
  <si>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</si>
  <si>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</si>
  <si>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</si>
  <si>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</si>
  <si>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</si>
  <si>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</si>
  <si>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</si>
  <si>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</si>
  <si>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</si>
  <si>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</si>
  <si>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</si>
  <si>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</si>
  <si>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</si>
  <si>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</si>
  <si>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</si>
  <si>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</si>
  <si>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</si>
  <si>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</si>
  <si>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</si>
  <si>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</si>
  <si>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</si>
  <si>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</si>
  <si>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</si>
  <si>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</si>
  <si>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</si>
  <si>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</si>
  <si>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</si>
  <si>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</si>
  <si>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</si>
  <si>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</si>
  <si>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</si>
  <si>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</si>
  <si>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</si>
  <si>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</si>
  <si>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</si>
  <si>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</si>
  <si>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</si>
  <si>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</si>
  <si>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</si>
  <si>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</si>
  <si>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</si>
  <si>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</si>
  <si>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</si>
  <si>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</si>
  <si>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</si>
  <si>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</si>
  <si>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</si>
  <si>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</si>
  <si>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</si>
  <si>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</si>
  <si>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</si>
  <si>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</si>
  <si>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</si>
  <si>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</si>
  <si>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</si>
  <si>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</si>
  <si>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</si>
  <si>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</si>
  <si>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</si>
  <si>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</si>
  <si>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</si>
  <si>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</si>
  <si>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</si>
  <si>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</si>
  <si>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</si>
  <si>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</si>
  <si>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</si>
  <si>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</si>
  <si>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</si>
  <si>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</si>
  <si>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</si>
  <si>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</si>
  <si>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</si>
  <si>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</si>
  <si>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</si>
  <si>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</si>
  <si>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</si>
  <si>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</si>
  <si>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</si>
  <si>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</si>
  <si>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</si>
  <si>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</si>
  <si>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</si>
  <si>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</si>
  <si>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</si>
  <si>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</si>
  <si>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</si>
  <si>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</si>
  <si>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</si>
  <si>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</si>
  <si>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</si>
  <si>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</si>
  <si>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</si>
  <si>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</si>
  <si>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</si>
  <si>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</si>
  <si>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</si>
  <si>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</si>
  <si>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</si>
  <si>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</si>
  <si>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</si>
  <si>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</si>
  <si>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</si>
  <si>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</si>
  <si>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</si>
  <si>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</si>
  <si>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</si>
  <si>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</si>
  <si>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</si>
  <si>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</si>
  <si>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</si>
  <si>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</si>
  <si>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</si>
  <si>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</si>
  <si>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</si>
  <si>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</si>
  <si>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</si>
  <si>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</si>
  <si>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</si>
  <si>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</si>
  <si>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</si>
  <si>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</si>
  <si>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</si>
  <si>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</si>
  <si>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</si>
  <si>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</si>
  <si>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</si>
  <si>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</si>
  <si>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</si>
  <si>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</si>
  <si>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</si>
  <si>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</si>
  <si>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</si>
  <si>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</si>
  <si>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</si>
  <si>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</si>
  <si>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</si>
  <si>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</si>
  <si>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</si>
  <si>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</si>
  <si>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</si>
  <si>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</si>
  <si>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</si>
  <si>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</si>
  <si>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</si>
  <si>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</si>
  <si>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</si>
  <si>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</si>
  <si>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</si>
  <si>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</si>
  <si>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</si>
  <si>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</si>
  <si>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</si>
  <si>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</si>
  <si>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</si>
  <si>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</si>
  <si>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</si>
  <si>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</si>
  <si>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</si>
  <si>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</si>
  <si>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</si>
  <si>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</si>
  <si>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</si>
  <si>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</si>
  <si>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</si>
  <si>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</si>
  <si>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</si>
  <si>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</si>
  <si>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</si>
  <si>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</si>
  <si>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</si>
  <si>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</si>
  <si>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</si>
  <si>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</si>
  <si>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</si>
  <si>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</si>
  <si>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</si>
  <si>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</si>
  <si>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</si>
  <si>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</si>
  <si>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</si>
  <si>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</si>
  <si>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</si>
  <si>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</si>
  <si>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</si>
  <si>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</si>
  <si>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</si>
  <si>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</si>
  <si>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</si>
  <si>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</si>
  <si>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</si>
  <si>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</si>
  <si>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</si>
  <si>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</si>
  <si>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</si>
  <si>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</si>
  <si>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</si>
  <si>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</si>
  <si>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</si>
  <si>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</si>
  <si>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</si>
  <si>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</si>
  <si>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</si>
  <si>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</si>
  <si>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</si>
  <si>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</si>
  <si>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</si>
  <si>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</si>
  <si>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</si>
  <si>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</si>
  <si>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</si>
  <si>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</si>
  <si>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</si>
  <si>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</si>
  <si>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</si>
  <si>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</si>
  <si>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</si>
  <si>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</si>
  <si>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</si>
  <si>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</si>
  <si>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</si>
  <si>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</si>
  <si>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</si>
  <si>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</si>
  <si>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</si>
  <si>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</si>
  <si>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</si>
  <si>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</si>
  <si>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</si>
  <si>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</si>
  <si>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</si>
  <si>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</si>
  <si>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</si>
  <si>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</si>
  <si>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</si>
  <si>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</si>
  <si>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</si>
  <si>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</si>
  <si>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</si>
  <si>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</si>
  <si>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</si>
  <si>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</si>
  <si>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</si>
  <si>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</si>
  <si>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</si>
  <si>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</si>
  <si>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</si>
  <si>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</si>
  <si>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</si>
  <si>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</si>
  <si>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</si>
  <si>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</si>
  <si>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</si>
  <si>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</si>
  <si>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</si>
  <si>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</si>
  <si>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</si>
  <si>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</si>
  <si>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</si>
  <si>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</si>
  <si>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</si>
  <si>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</si>
  <si>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</si>
  <si>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</si>
  <si>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</si>
  <si>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</si>
  <si>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</si>
  <si>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</si>
  <si>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</si>
  <si>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</si>
  <si>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</si>
  <si>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</si>
  <si>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</si>
  <si>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</si>
  <si>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</si>
  <si>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</si>
  <si>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</si>
  <si>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</si>
  <si>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</si>
  <si>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</si>
  <si>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</si>
  <si>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</si>
  <si>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</si>
  <si>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</si>
  <si>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</si>
  <si>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</si>
  <si>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</si>
  <si>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</si>
  <si>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</si>
  <si>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</si>
  <si>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</si>
  <si>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</si>
  <si>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</si>
  <si>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</si>
  <si>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</si>
  <si>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</si>
  <si>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</si>
  <si>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</si>
  <si>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</si>
  <si>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</si>
  <si>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</si>
  <si>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</si>
  <si>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</si>
  <si>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</si>
  <si>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</si>
  <si>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</si>
  <si>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</si>
  <si>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</si>
  <si>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</si>
  <si>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</si>
  <si>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</si>
  <si>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</si>
  <si>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</si>
  <si>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</si>
  <si>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</si>
  <si>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</si>
  <si>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</si>
  <si>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</si>
  <si>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</si>
  <si>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</si>
  <si>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</si>
  <si>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</si>
  <si>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</si>
  <si>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</si>
  <si>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</si>
  <si>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</si>
  <si>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</si>
  <si>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</si>
  <si>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</si>
  <si>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</si>
  <si>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</si>
  <si>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</si>
  <si>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</si>
  <si>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</si>
  <si>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</si>
  <si>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</si>
  <si>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</si>
  <si>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</si>
  <si>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</si>
  <si>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</si>
  <si>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</si>
  <si>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</si>
  <si>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</si>
  <si>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</si>
  <si>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</si>
  <si>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</si>
  <si>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</si>
  <si>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</si>
  <si>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</si>
  <si>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</si>
  <si>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</si>
  <si>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</si>
  <si>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</si>
  <si>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</si>
  <si>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</si>
  <si>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</si>
  <si>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</si>
  <si>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</si>
  <si>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</si>
  <si>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</si>
  <si>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</si>
  <si>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</si>
  <si>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</si>
  <si>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</si>
  <si>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</si>
  <si>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</si>
  <si>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</si>
  <si>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</si>
  <si>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</si>
  <si>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</si>
  <si>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</si>
  <si>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</si>
  <si>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</si>
  <si>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</si>
  <si>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</si>
  <si>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</si>
  <si>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</si>
  <si>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</si>
  <si>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</si>
  <si>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</si>
  <si>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</si>
  <si>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</si>
  <si>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</si>
  <si>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</si>
  <si>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</si>
  <si>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</si>
  <si>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</si>
  <si>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</si>
  <si>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</si>
  <si>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</si>
  <si>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</si>
  <si>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</si>
  <si>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</si>
  <si>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</si>
  <si>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</si>
  <si>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</si>
  <si>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</si>
  <si>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</si>
  <si>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</si>
  <si>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</si>
  <si>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</si>
  <si>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</si>
  <si>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</si>
  <si>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</si>
  <si>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</si>
  <si>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</si>
  <si>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</si>
  <si>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</si>
  <si>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</si>
  <si>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</si>
  <si>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</si>
  <si>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</si>
  <si>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</si>
  <si>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</si>
  <si>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</si>
  <si>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</si>
  <si>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</si>
  <si>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</si>
  <si>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</si>
  <si>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</si>
  <si>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</si>
  <si>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</si>
  <si>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</si>
  <si>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</si>
  <si>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</si>
  <si>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</si>
  <si>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</si>
  <si>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</si>
  <si>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</si>
  <si>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</si>
  <si>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</si>
  <si>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</si>
  <si>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</si>
  <si>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</si>
  <si>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</si>
  <si>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</si>
  <si>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</si>
  <si>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</si>
  <si>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</si>
  <si>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</si>
  <si>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</si>
  <si>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</si>
  <si>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</si>
  <si>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</si>
  <si>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</si>
  <si>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</si>
  <si>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</si>
  <si>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</si>
  <si>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</si>
  <si>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</si>
  <si>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</si>
  <si>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</si>
  <si>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</si>
  <si>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</si>
  <si>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</si>
  <si>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</si>
  <si>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</si>
  <si>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</si>
  <si>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</si>
  <si>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</si>
  <si>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</si>
  <si>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</si>
  <si>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</si>
  <si>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</si>
  <si>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</si>
  <si>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</si>
  <si>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</si>
  <si>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</si>
  <si>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</si>
  <si>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</si>
  <si>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</si>
  <si>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</si>
  <si>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</si>
  <si>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</si>
  <si>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</si>
  <si>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</si>
  <si>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</si>
  <si>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</si>
  <si>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</si>
  <si>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</si>
  <si>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</si>
  <si>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</si>
  <si>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</si>
  <si>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</si>
  <si>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</si>
  <si>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</si>
  <si>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</si>
  <si>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</si>
  <si>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</si>
  <si>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</si>
  <si>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</si>
  <si>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</si>
  <si>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</si>
  <si>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</si>
  <si>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</si>
  <si>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</si>
  <si>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</si>
  <si>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</si>
  <si>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</si>
  <si>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</si>
  <si>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</si>
  <si>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</si>
  <si>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</si>
  <si>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</si>
  <si>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</si>
  <si>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</si>
  <si>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</si>
  <si>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</si>
  <si>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</si>
  <si>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</si>
  <si>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</si>
  <si>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</si>
  <si>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</si>
  <si>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</si>
  <si>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</si>
  <si>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</si>
  <si>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</si>
  <si>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</si>
  <si>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</si>
  <si>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</si>
  <si>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</si>
  <si>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</si>
  <si>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</si>
  <si>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</si>
  <si>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</si>
  <si>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</si>
  <si>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</si>
  <si>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</si>
  <si>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</si>
  <si>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</si>
  <si>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</si>
  <si>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</si>
  <si>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</si>
  <si>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</si>
  <si>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</si>
  <si>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</si>
  <si>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</si>
  <si>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</si>
  <si>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</si>
  <si>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</si>
  <si>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</si>
  <si>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</si>
  <si>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</si>
  <si>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</si>
  <si>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</si>
  <si>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</si>
  <si>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</si>
  <si>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</si>
  <si>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</si>
  <si>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</si>
  <si>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</si>
  <si>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</si>
  <si>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</si>
  <si>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</si>
  <si>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</si>
  <si>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</si>
  <si>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</si>
  <si>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</si>
  <si>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</si>
  <si>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</si>
  <si>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</si>
  <si>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</si>
  <si>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</si>
  <si>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</si>
  <si>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</si>
  <si>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</si>
  <si>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</si>
  <si>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</si>
  <si>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</si>
  <si>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</si>
  <si>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</si>
  <si>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</si>
  <si>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</si>
  <si>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</si>
  <si>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</si>
  <si>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</si>
  <si>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</si>
  <si>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</si>
  <si>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</si>
  <si>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</si>
  <si>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</si>
  <si>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</si>
  <si>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</si>
  <si>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</si>
  <si>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</si>
  <si>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</si>
  <si>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</si>
  <si>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</si>
  <si>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</si>
  <si>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</si>
  <si>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</si>
  <si>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</si>
  <si>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</si>
  <si>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</si>
  <si>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</si>
  <si>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</si>
  <si>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</si>
  <si>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</si>
  <si>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</si>
  <si>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</si>
  <si>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</si>
  <si>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</si>
  <si>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</si>
  <si>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</si>
  <si>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</si>
  <si>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</si>
  <si>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</si>
  <si>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</si>
  <si>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</si>
  <si>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</si>
  <si>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</si>
  <si>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</si>
  <si>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</si>
  <si>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</si>
  <si>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</si>
  <si>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</si>
  <si>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</si>
  <si>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</si>
  <si>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</si>
  <si>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</si>
  <si>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</si>
  <si>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</si>
  <si>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</si>
  <si>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</si>
  <si>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</si>
  <si>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</si>
  <si>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</si>
  <si>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</si>
  <si>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</si>
  <si>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</si>
  <si>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</si>
  <si>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</si>
  <si>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</si>
  <si>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</si>
  <si>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</si>
  <si>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</si>
  <si>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</si>
  <si>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</si>
  <si>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</si>
  <si>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</si>
  <si>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</si>
  <si>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</si>
  <si>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</si>
  <si>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</si>
  <si>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</si>
  <si>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</si>
  <si>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</si>
  <si>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</si>
  <si>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</si>
  <si>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</si>
  <si>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</si>
  <si>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</si>
  <si>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</si>
  <si>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</si>
  <si>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</si>
  <si>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</si>
  <si>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</si>
  <si>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</si>
  <si>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</si>
  <si>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</si>
  <si>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</si>
  <si>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</si>
  <si>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</si>
  <si>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</si>
  <si>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</si>
  <si>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</si>
  <si>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</si>
  <si>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</si>
  <si>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</si>
  <si>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</si>
  <si>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</si>
  <si>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</si>
  <si>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</si>
  <si>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</si>
  <si>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</si>
  <si>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</si>
  <si>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</si>
  <si>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</si>
  <si>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</si>
  <si>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</si>
  <si>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</si>
  <si>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</si>
  <si>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</si>
  <si>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</si>
  <si>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</si>
  <si>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</si>
  <si>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</si>
  <si>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</si>
  <si>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</si>
  <si>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</si>
  <si>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</si>
  <si>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</si>
  <si>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</si>
  <si>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</si>
  <si>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</si>
  <si>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</si>
  <si>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</si>
  <si>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</si>
  <si>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</si>
  <si>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</si>
  <si>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</si>
  <si>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</si>
  <si>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</si>
  <si>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</si>
  <si>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</si>
  <si>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</si>
  <si>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</si>
  <si>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</si>
  <si>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</si>
  <si>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</si>
  <si>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</si>
  <si>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</si>
  <si>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</si>
  <si>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</si>
  <si>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</si>
  <si>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</si>
  <si>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</si>
  <si>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</si>
  <si>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</si>
  <si>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</si>
  <si>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</si>
  <si>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</si>
  <si>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</si>
  <si>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</si>
  <si>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</si>
  <si>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</si>
  <si>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</si>
  <si>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</si>
  <si>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</si>
  <si>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</si>
  <si>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</si>
  <si>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</si>
  <si>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</si>
  <si>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</si>
  <si>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</si>
  <si>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</si>
  <si>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</si>
  <si>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</si>
  <si>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</si>
  <si>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</si>
  <si>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</si>
  <si>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</si>
  <si>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</si>
  <si>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</si>
  <si>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</si>
  <si>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</si>
  <si>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</si>
  <si>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</si>
  <si>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</si>
  <si>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</si>
  <si>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</si>
  <si>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</si>
  <si>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</si>
  <si>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</si>
  <si>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</si>
  <si>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</si>
  <si>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</si>
  <si>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</si>
  <si>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</si>
  <si>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</si>
  <si>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</si>
  <si>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</si>
  <si>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</si>
  <si>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</si>
  <si>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</si>
  <si>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</si>
  <si>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</si>
  <si>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</si>
  <si>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</si>
  <si>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</si>
  <si>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</si>
  <si>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</si>
  <si>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</si>
  <si>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</si>
  <si>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</si>
  <si>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</si>
  <si>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</si>
  <si>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</si>
  <si>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</si>
  <si>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</si>
  <si>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</si>
  <si>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</si>
  <si>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</si>
  <si>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</si>
  <si>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</si>
  <si>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</si>
  <si>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</si>
  <si>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</si>
  <si>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</si>
  <si>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</si>
  <si>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</si>
  <si>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</si>
  <si>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</si>
  <si>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</si>
  <si>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</si>
  <si>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</si>
  <si>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</si>
  <si>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</si>
  <si>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</si>
  <si>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</si>
  <si>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</si>
  <si>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</si>
  <si>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</si>
  <si>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</si>
  <si>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</si>
  <si>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</si>
  <si>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</si>
  <si>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</si>
  <si>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</si>
  <si>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</si>
  <si>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</si>
  <si>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</si>
  <si>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</si>
  <si>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</si>
  <si>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</si>
  <si>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</si>
  <si>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</si>
  <si>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</si>
  <si>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</si>
  <si>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</si>
  <si>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</si>
  <si>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</si>
  <si>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</si>
  <si>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</si>
  <si>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</si>
  <si>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</si>
  <si>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</si>
  <si>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</si>
  <si>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</si>
  <si>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</si>
  <si>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</si>
  <si>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</si>
  <si>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</si>
  <si>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</si>
  <si>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</si>
  <si>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</si>
  <si>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</si>
  <si>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</si>
  <si>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</si>
  <si>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</si>
  <si>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</si>
  <si>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</si>
  <si>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</si>
  <si>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</si>
  <si>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</si>
  <si>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</si>
  <si>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</si>
  <si>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</si>
  <si>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</si>
  <si>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</si>
  <si>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</si>
  <si>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</si>
  <si>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</si>
  <si>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</si>
  <si>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</si>
  <si>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</si>
  <si>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</si>
  <si>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</si>
  <si>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</si>
  <si>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</si>
  <si>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</si>
  <si>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</si>
  <si>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</si>
  <si>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</si>
  <si>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</si>
  <si>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</si>
  <si>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</si>
  <si>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</si>
  <si>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</si>
  <si>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</si>
  <si>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</si>
  <si>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</si>
  <si>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</si>
  <si>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</si>
  <si>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</si>
  <si>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</si>
  <si>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</si>
  <si>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</si>
  <si>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</si>
  <si>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</si>
  <si>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</si>
  <si>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</si>
  <si>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</si>
  <si>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</si>
  <si>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</si>
  <si>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</si>
  <si>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</si>
  <si>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</si>
  <si>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</si>
  <si>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</si>
  <si>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</si>
  <si>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</si>
  <si>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</si>
  <si>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</si>
  <si>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</si>
  <si>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</si>
  <si>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</si>
  <si>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</si>
  <si>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</si>
  <si>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</si>
  <si>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</si>
  <si>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</si>
  <si>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</si>
  <si>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</si>
  <si>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</si>
  <si>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</si>
  <si>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</si>
  <si>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</si>
  <si>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</si>
  <si>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</si>
  <si>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</si>
  <si>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</si>
  <si>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</si>
  <si>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</si>
  <si>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</si>
  <si>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</si>
  <si>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</si>
  <si>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</si>
  <si>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</si>
  <si>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</si>
  <si>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</si>
  <si>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</si>
  <si>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</si>
  <si>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</si>
  <si>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</si>
  <si>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</si>
  <si>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</si>
  <si>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</si>
  <si>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</si>
  <si>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</si>
  <si>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</si>
  <si>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</si>
  <si>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</si>
  <si>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</si>
  <si>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</si>
  <si>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</si>
  <si>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</si>
  <si>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</si>
  <si>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</si>
  <si>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</si>
  <si>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</si>
  <si>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</si>
  <si>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</si>
  <si>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</si>
  <si>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</si>
  <si>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</si>
  <si>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</si>
  <si>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</si>
  <si>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</si>
  <si>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</si>
  <si>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</si>
  <si>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</si>
  <si>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</si>
  <si>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</si>
  <si>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</si>
  <si>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</si>
  <si>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</si>
  <si>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</si>
  <si>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</si>
  <si>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</si>
  <si>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</si>
  <si>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</si>
  <si>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</si>
  <si>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</si>
  <si>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</si>
  <si>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</si>
  <si>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</si>
  <si>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</si>
  <si>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</si>
  <si>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</si>
  <si>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</si>
  <si>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</si>
  <si>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</si>
  <si>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</si>
  <si>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</si>
  <si>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</si>
  <si>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</si>
  <si>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</si>
  <si>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</si>
  <si>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</si>
  <si>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</si>
  <si>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</si>
  <si>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</si>
  <si>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</si>
  <si>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</si>
  <si>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</si>
  <si>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</si>
  <si>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</si>
  <si>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</si>
  <si>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</si>
  <si>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</si>
  <si>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</si>
  <si>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</si>
  <si>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</si>
  <si>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</si>
  <si>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</si>
  <si>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</si>
  <si>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</si>
  <si>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</si>
  <si>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</si>
  <si>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</si>
  <si>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</si>
  <si>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</si>
  <si>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</si>
  <si>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</si>
  <si>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</si>
  <si>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</si>
  <si>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</si>
  <si>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</si>
  <si>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</si>
  <si>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</si>
  <si>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</si>
  <si>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</si>
  <si>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</si>
  <si>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</si>
  <si>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</si>
  <si>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</si>
  <si>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</si>
  <si>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</si>
  <si>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</si>
  <si>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</si>
  <si>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</si>
  <si>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</si>
  <si>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</si>
  <si>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</si>
  <si>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</si>
  <si>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</si>
  <si>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</si>
  <si>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</si>
  <si>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</si>
  <si>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</si>
  <si>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</si>
  <si>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</si>
  <si>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</si>
  <si>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</si>
  <si>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</si>
  <si>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</si>
  <si>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</si>
  <si>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</si>
  <si>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</si>
  <si>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</si>
  <si>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</si>
  <si>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</si>
  <si>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</si>
  <si>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</si>
  <si>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</si>
  <si>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</si>
  <si>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</si>
  <si>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</si>
  <si>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</si>
  <si>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</si>
  <si>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抵押</t>
  </si>
  <si>
    <t>Ⅷ-兴1</t>
  </si>
  <si>
    <t>通路</t>
  </si>
  <si>
    <t>通电</t>
  </si>
  <si>
    <t>通上水</t>
  </si>
  <si>
    <t>通下水</t>
  </si>
  <si>
    <t>通讯</t>
  </si>
  <si>
    <t>燃气</t>
  </si>
  <si>
    <t>土地</t>
  </si>
  <si>
    <t>房地产抵押价值</t>
  </si>
  <si>
    <t>北京市</t>
  </si>
  <si>
    <t>企业</t>
  </si>
  <si>
    <t>地上</t>
  </si>
  <si>
    <t>地下</t>
  </si>
  <si>
    <t>车库</t>
  </si>
  <si>
    <t>车库</t>
    <phoneticPr fontId="7" type="noConversion"/>
  </si>
  <si>
    <t>工程进度</t>
  </si>
  <si>
    <t>估价对象周边有新安里、双河北里等住宅小区，综合评价居住社区成熟度较好</t>
    <phoneticPr fontId="3" type="noConversion"/>
  </si>
  <si>
    <t>估价对象周边2公里有帝园商城、星城商厦等商业项目，估价对象周边多为住宅配套商业，人流量一般，商业繁华度一般</t>
    <phoneticPr fontId="3" type="noConversion"/>
  </si>
  <si>
    <t>估价对象周边办公楼项目较少，办公集聚程度较差</t>
    <phoneticPr fontId="3" type="noConversion"/>
  </si>
  <si>
    <t>估价对象周边有849、兴23路等公交线路，综合评价交通便捷度一般</t>
    <phoneticPr fontId="3" type="noConversion"/>
  </si>
  <si>
    <t>估价对象所在区域公共配套设施齐备较齐备</t>
    <phoneticPr fontId="62" type="noConversion"/>
  </si>
  <si>
    <t>区域基础设施水平达七通</t>
    <phoneticPr fontId="34" type="noConversion"/>
  </si>
  <si>
    <t>周边有北京广播电视大学、康庄公园；综合评价环境状况较好</t>
    <phoneticPr fontId="3" type="noConversion"/>
  </si>
  <si>
    <t>城市次干道——清源东路</t>
    <phoneticPr fontId="3" type="noConversion"/>
  </si>
  <si>
    <t>一般</t>
  </si>
  <si>
    <t>较好</t>
  </si>
  <si>
    <t>七通</t>
  </si>
  <si>
    <t>多面临街</t>
  </si>
  <si>
    <t>高速路</t>
    <phoneticPr fontId="45" type="noConversion"/>
  </si>
  <si>
    <t>快速路</t>
    <phoneticPr fontId="45" type="noConversion"/>
  </si>
  <si>
    <t>主干道</t>
    <phoneticPr fontId="45" type="noConversion"/>
  </si>
  <si>
    <t>次干道</t>
  </si>
  <si>
    <t>次干道</t>
    <phoneticPr fontId="45" type="noConversion"/>
  </si>
  <si>
    <t>支路</t>
  </si>
  <si>
    <t>支路</t>
    <phoneticPr fontId="45" type="noConversion"/>
  </si>
  <si>
    <t>规则</t>
    <phoneticPr fontId="45" type="noConversion"/>
  </si>
  <si>
    <t>较规则</t>
  </si>
  <si>
    <t>较规则</t>
    <phoneticPr fontId="45" type="noConversion"/>
  </si>
  <si>
    <t>一般</t>
    <phoneticPr fontId="45" type="noConversion"/>
  </si>
  <si>
    <t>较不规则</t>
    <phoneticPr fontId="45" type="noConversion"/>
  </si>
  <si>
    <t>不规则</t>
    <phoneticPr fontId="45" type="noConversion"/>
  </si>
  <si>
    <t>七通</t>
    <phoneticPr fontId="45" type="noConversion"/>
  </si>
  <si>
    <t>六通</t>
  </si>
  <si>
    <t>六通</t>
    <phoneticPr fontId="45" type="noConversion"/>
  </si>
  <si>
    <t>五通</t>
    <phoneticPr fontId="45" type="noConversion"/>
  </si>
  <si>
    <t>四通</t>
    <phoneticPr fontId="45" type="noConversion"/>
  </si>
  <si>
    <t>三通</t>
  </si>
  <si>
    <t>三通</t>
    <phoneticPr fontId="45" type="noConversion"/>
  </si>
  <si>
    <t>好</t>
    <phoneticPr fontId="45" type="noConversion"/>
  </si>
  <si>
    <t>较好</t>
    <phoneticPr fontId="45" type="noConversion"/>
  </si>
  <si>
    <t>单面临街</t>
  </si>
  <si>
    <t>假设开发法</t>
  </si>
  <si>
    <t>收益法-商业</t>
    <phoneticPr fontId="17" type="noConversion"/>
  </si>
  <si>
    <t>收益法-办公</t>
    <phoneticPr fontId="17" type="noConversion"/>
  </si>
  <si>
    <t>钢混</t>
  </si>
  <si>
    <t>押一</t>
  </si>
  <si>
    <t>鸿坤林语墅</t>
    <phoneticPr fontId="205" type="noConversion"/>
  </si>
  <si>
    <t xml:space="preserve">首开保利·熙悦诚郡 </t>
    <phoneticPr fontId="205" type="noConversion"/>
  </si>
  <si>
    <t>枫丹一号</t>
    <phoneticPr fontId="205" type="noConversion"/>
  </si>
  <si>
    <t>车库</t>
    <phoneticPr fontId="46" type="noConversion"/>
  </si>
  <si>
    <t>40-50（含）</t>
  </si>
  <si>
    <t>住宅</t>
    <phoneticPr fontId="46" type="noConversion"/>
  </si>
  <si>
    <t>精装</t>
    <phoneticPr fontId="46" type="noConversion"/>
  </si>
  <si>
    <t>简装</t>
  </si>
  <si>
    <t>简装</t>
    <phoneticPr fontId="46" type="noConversion"/>
  </si>
  <si>
    <t>专业</t>
  </si>
  <si>
    <t>专业</t>
    <phoneticPr fontId="46" type="noConversion"/>
  </si>
  <si>
    <t>平面车位</t>
  </si>
  <si>
    <t>平面车位</t>
    <phoneticPr fontId="46" type="noConversion"/>
  </si>
  <si>
    <t>否</t>
    <phoneticPr fontId="46" type="noConversion"/>
  </si>
  <si>
    <t>居住项目</t>
  </si>
  <si>
    <t>含保障性住房</t>
  </si>
  <si>
    <t>自住型商品房</t>
  </si>
  <si>
    <t>自住型商品房</t>
    <phoneticPr fontId="6" type="noConversion"/>
  </si>
  <si>
    <t>在建</t>
  </si>
  <si>
    <t>1#自住型商品房住宅楼</t>
    <phoneticPr fontId="3" type="noConversion"/>
  </si>
  <si>
    <t>2#商品房住宅楼</t>
    <phoneticPr fontId="3" type="noConversion"/>
  </si>
  <si>
    <t>3#商品房住宅楼</t>
    <phoneticPr fontId="3" type="noConversion"/>
  </si>
  <si>
    <t>5#商品房住宅楼</t>
    <phoneticPr fontId="3" type="noConversion"/>
  </si>
  <si>
    <t>南区地下车库</t>
    <phoneticPr fontId="3" type="noConversion"/>
  </si>
  <si>
    <t>平层住宅</t>
  </si>
  <si>
    <t>自住型商品房</t>
    <phoneticPr fontId="7" type="noConversion"/>
  </si>
  <si>
    <t>普通商品住房</t>
  </si>
  <si>
    <t>普通商品住房</t>
    <phoneticPr fontId="7" type="noConversion"/>
  </si>
  <si>
    <t>住宅</t>
    <phoneticPr fontId="3" type="noConversion"/>
  </si>
  <si>
    <t>住宅</t>
    <phoneticPr fontId="3" type="noConversion"/>
  </si>
  <si>
    <t>大兴区瀛海镇DX08-0002-0301地块</t>
    <phoneticPr fontId="3" type="noConversion"/>
  </si>
  <si>
    <t>丰台区南苑乡槐房村和新宫村1404-657、659、1401-607地块</t>
    <phoneticPr fontId="3" type="noConversion"/>
  </si>
  <si>
    <t>丰台区南苑乡槐房村和新宫村1404-669、670、665、666、668地块</t>
    <phoneticPr fontId="3" type="noConversion"/>
  </si>
  <si>
    <t>瀛海镇</t>
    <phoneticPr fontId="3" type="noConversion"/>
  </si>
  <si>
    <t>南苑乡</t>
    <phoneticPr fontId="3" type="noConversion"/>
  </si>
  <si>
    <t>二类居住用地</t>
  </si>
  <si>
    <t>二类居住用地</t>
    <phoneticPr fontId="45" type="noConversion"/>
  </si>
  <si>
    <t>F1住宅混合公建用地</t>
  </si>
  <si>
    <t>F1住宅混合公建用地</t>
    <phoneticPr fontId="45" type="noConversion"/>
  </si>
  <si>
    <r>
      <t>68.53</t>
    </r>
    <r>
      <rPr>
        <sz val="11"/>
        <color indexed="8"/>
        <rFont val="宋体"/>
        <family val="3"/>
        <charset val="134"/>
      </rPr>
      <t>、</t>
    </r>
    <r>
      <rPr>
        <sz val="11"/>
        <color indexed="8"/>
        <rFont val="Arial"/>
        <family val="2"/>
      </rPr>
      <t>48.52</t>
    </r>
    <phoneticPr fontId="45" type="noConversion"/>
  </si>
  <si>
    <t>配建</t>
    <phoneticPr fontId="45" type="noConversion"/>
  </si>
  <si>
    <t>自住型商品房</t>
    <phoneticPr fontId="45" type="noConversion"/>
  </si>
  <si>
    <t>70</t>
    <phoneticPr fontId="45" type="noConversion"/>
  </si>
  <si>
    <t>无配建</t>
    <phoneticPr fontId="3" type="noConversion"/>
  </si>
  <si>
    <t>无配建</t>
    <phoneticPr fontId="3" type="noConversion"/>
  </si>
  <si>
    <t>周边有瀛海家园、兴海园等住宅小区，综合评价居住社区成熟度一般</t>
    <phoneticPr fontId="3" type="noConversion"/>
  </si>
  <si>
    <t>周边有翠海明苑、南庭新苑等住宅小区，综合评价居住社区成熟度一般</t>
    <phoneticPr fontId="3" type="noConversion"/>
  </si>
  <si>
    <r>
      <rPr>
        <sz val="11"/>
        <rFont val="宋体"/>
        <family val="3"/>
        <charset val="134"/>
      </rPr>
      <t>周边有兴</t>
    </r>
    <r>
      <rPr>
        <sz val="11"/>
        <rFont val="Arial"/>
        <family val="2"/>
      </rPr>
      <t>15</t>
    </r>
    <r>
      <rPr>
        <sz val="11"/>
        <rFont val="宋体"/>
        <family val="3"/>
        <charset val="134"/>
      </rPr>
      <t>、兴</t>
    </r>
    <r>
      <rPr>
        <sz val="11"/>
        <rFont val="Arial"/>
        <family val="2"/>
      </rPr>
      <t>29</t>
    </r>
    <r>
      <rPr>
        <sz val="11"/>
        <rFont val="宋体"/>
        <family val="3"/>
        <charset val="134"/>
      </rPr>
      <t>路等公交线路，综合评价交通便捷度一般</t>
    </r>
    <phoneticPr fontId="3" type="noConversion"/>
  </si>
  <si>
    <t>周边有南海子公园，无高等教育机构；综合评价环境状况一般</t>
    <phoneticPr fontId="3" type="noConversion"/>
  </si>
  <si>
    <t>S329</t>
    <phoneticPr fontId="3" type="noConversion"/>
  </si>
  <si>
    <r>
      <rPr>
        <sz val="11"/>
        <rFont val="宋体"/>
        <family val="3"/>
        <charset val="134"/>
      </rPr>
      <t>周边有</t>
    </r>
    <r>
      <rPr>
        <sz val="11"/>
        <rFont val="Arial"/>
        <family val="2"/>
      </rPr>
      <t>353</t>
    </r>
    <r>
      <rPr>
        <sz val="11"/>
        <rFont val="宋体"/>
        <family val="3"/>
        <charset val="134"/>
      </rPr>
      <t>、</t>
    </r>
    <r>
      <rPr>
        <sz val="11"/>
        <rFont val="Arial"/>
        <family val="2"/>
      </rPr>
      <t>529</t>
    </r>
    <r>
      <rPr>
        <sz val="11"/>
        <rFont val="宋体"/>
        <family val="3"/>
        <charset val="134"/>
      </rPr>
      <t>路等公交线路及地铁</t>
    </r>
    <r>
      <rPr>
        <sz val="11"/>
        <rFont val="Arial"/>
        <family val="2"/>
      </rPr>
      <t>4</t>
    </r>
    <r>
      <rPr>
        <sz val="11"/>
        <rFont val="宋体"/>
        <family val="3"/>
        <charset val="134"/>
      </rPr>
      <t>号线</t>
    </r>
    <r>
      <rPr>
        <sz val="11"/>
        <rFont val="宋体"/>
        <family val="3"/>
        <charset val="134"/>
      </rPr>
      <t>，综合评价交通便捷度较好</t>
    </r>
    <phoneticPr fontId="3" type="noConversion"/>
  </si>
  <si>
    <t>周边有新发地公园，无高等教育机构；综合评价环境状况一般</t>
    <phoneticPr fontId="3" type="noConversion"/>
  </si>
  <si>
    <t>未命名</t>
    <phoneticPr fontId="3" type="noConversion"/>
  </si>
  <si>
    <r>
      <rPr>
        <sz val="11"/>
        <rFont val="宋体"/>
        <family val="3"/>
        <charset val="134"/>
      </rPr>
      <t>周边有</t>
    </r>
    <r>
      <rPr>
        <sz val="11"/>
        <rFont val="Arial"/>
        <family val="2"/>
      </rPr>
      <t>353</t>
    </r>
    <r>
      <rPr>
        <sz val="11"/>
        <rFont val="宋体"/>
        <family val="3"/>
        <charset val="134"/>
      </rPr>
      <t>、</t>
    </r>
    <r>
      <rPr>
        <sz val="11"/>
        <rFont val="Arial"/>
        <family val="2"/>
      </rPr>
      <t>529</t>
    </r>
    <r>
      <rPr>
        <sz val="11"/>
        <rFont val="宋体"/>
        <family val="3"/>
        <charset val="134"/>
      </rPr>
      <t>路等公交线路及地铁</t>
    </r>
    <r>
      <rPr>
        <sz val="11"/>
        <rFont val="Arial"/>
        <family val="2"/>
      </rPr>
      <t>4</t>
    </r>
    <r>
      <rPr>
        <sz val="11"/>
        <rFont val="宋体"/>
        <family val="3"/>
        <charset val="134"/>
      </rPr>
      <t>号线</t>
    </r>
    <r>
      <rPr>
        <sz val="11"/>
        <rFont val="宋体"/>
        <family val="3"/>
        <charset val="134"/>
      </rPr>
      <t>，综合评价交通便捷度较好</t>
    </r>
    <phoneticPr fontId="3" type="noConversion"/>
  </si>
  <si>
    <t>周边有新发地公园，无高等教育机构；综合评价环境状况一般</t>
    <phoneticPr fontId="3" type="noConversion"/>
  </si>
  <si>
    <r>
      <rPr>
        <sz val="11"/>
        <color indexed="8"/>
        <rFont val="仿宋_GB2312"/>
        <family val="3"/>
        <charset val="134"/>
      </rPr>
      <t>无配建</t>
    </r>
    <phoneticPr fontId="3" type="noConversion"/>
  </si>
  <si>
    <t>自住型商品房</t>
    <phoneticPr fontId="3" type="noConversion"/>
  </si>
  <si>
    <t>未包含在土地购买价格中</t>
  </si>
  <si>
    <t>已包含在土地取得成本中</t>
  </si>
  <si>
    <t>成本法</t>
  </si>
  <si>
    <t>全部缴纳</t>
  </si>
  <si>
    <t>已全部缴纳</t>
  </si>
  <si>
    <t>住宅</t>
    <phoneticPr fontId="34" type="noConversion"/>
  </si>
  <si>
    <t>60-70（含）</t>
  </si>
  <si>
    <t>高层板楼</t>
  </si>
  <si>
    <t>高层板楼</t>
    <phoneticPr fontId="34" type="noConversion"/>
  </si>
  <si>
    <t>钢混</t>
    <phoneticPr fontId="34" type="noConversion"/>
  </si>
  <si>
    <t>高档</t>
  </si>
  <si>
    <t>高档</t>
    <phoneticPr fontId="34" type="noConversion"/>
  </si>
  <si>
    <t>中档</t>
    <phoneticPr fontId="34" type="noConversion"/>
  </si>
  <si>
    <t>精装</t>
  </si>
  <si>
    <t>精装</t>
    <phoneticPr fontId="34" type="noConversion"/>
  </si>
  <si>
    <t>专业</t>
    <phoneticPr fontId="34"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</si>
  <si>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</si>
  <si>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</si>
  <si>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</si>
  <si>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</si>
  <si>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</si>
  <si>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</si>
  <si>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</si>
  <si>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</si>
  <si>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</si>
  <si>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精装修</t>
  </si>
  <si>
    <t>国韵村</t>
    <phoneticPr fontId="3" type="noConversion"/>
  </si>
  <si>
    <t>大兴区南海子公园西侧</t>
    <phoneticPr fontId="3" type="noConversion"/>
  </si>
  <si>
    <t>大兴南四环榴乡桥南</t>
    <phoneticPr fontId="3" type="noConversion"/>
  </si>
  <si>
    <r>
      <rPr>
        <sz val="11"/>
        <color indexed="8"/>
        <rFont val="仿宋_GB2312"/>
        <family val="3"/>
        <charset val="134"/>
      </rPr>
      <t>正常</t>
    </r>
    <phoneticPr fontId="3" type="noConversion"/>
  </si>
  <si>
    <r>
      <rPr>
        <sz val="11"/>
        <color indexed="8"/>
        <rFont val="仿宋_GB2312"/>
        <family val="3"/>
        <charset val="134"/>
      </rPr>
      <t>住宅</t>
    </r>
  </si>
  <si>
    <r>
      <t>60-70</t>
    </r>
    <r>
      <rPr>
        <sz val="11"/>
        <color indexed="8"/>
        <rFont val="仿宋_GB2312"/>
        <family val="3"/>
        <charset val="134"/>
      </rPr>
      <t>（含）</t>
    </r>
  </si>
  <si>
    <r>
      <rPr>
        <sz val="11"/>
        <color indexed="8"/>
        <rFont val="仿宋_GB2312"/>
        <family val="3"/>
        <charset val="134"/>
      </rPr>
      <t>住宅</t>
    </r>
    <phoneticPr fontId="3" type="noConversion"/>
  </si>
  <si>
    <t>周边有上林苑等住宅小区，综合评价居住社区成熟度一般</t>
    <phoneticPr fontId="3" type="noConversion"/>
  </si>
  <si>
    <r>
      <rPr>
        <sz val="11"/>
        <rFont val="宋体"/>
        <family val="3"/>
        <charset val="134"/>
      </rPr>
      <t>周边有</t>
    </r>
    <r>
      <rPr>
        <sz val="11"/>
        <rFont val="Arial"/>
        <family val="2"/>
      </rPr>
      <t>680</t>
    </r>
    <r>
      <rPr>
        <sz val="11"/>
        <rFont val="宋体"/>
        <family val="3"/>
        <charset val="134"/>
      </rPr>
      <t>、</t>
    </r>
    <r>
      <rPr>
        <sz val="11"/>
        <rFont val="Arial"/>
        <family val="2"/>
      </rPr>
      <t>953</t>
    </r>
    <r>
      <rPr>
        <sz val="11"/>
        <rFont val="宋体"/>
        <family val="3"/>
        <charset val="134"/>
      </rPr>
      <t>路等公交线路，综合评价交通便捷度一般</t>
    </r>
    <phoneticPr fontId="3" type="noConversion"/>
  </si>
  <si>
    <r>
      <rPr>
        <sz val="11"/>
        <rFont val="仿宋_GB2312"/>
        <family val="3"/>
        <charset val="134"/>
      </rPr>
      <t>钢混</t>
    </r>
  </si>
  <si>
    <r>
      <rPr>
        <sz val="11"/>
        <rFont val="仿宋_GB2312"/>
        <family val="3"/>
        <charset val="134"/>
      </rPr>
      <t>专业</t>
    </r>
  </si>
  <si>
    <r>
      <rPr>
        <sz val="11"/>
        <rFont val="仿宋_GB2312"/>
        <family val="3"/>
        <charset val="134"/>
      </rPr>
      <t>平层</t>
    </r>
  </si>
  <si>
    <r>
      <rPr>
        <sz val="11"/>
        <rFont val="仿宋_GB2312"/>
        <family val="3"/>
        <charset val="134"/>
      </rPr>
      <t>毛坯</t>
    </r>
  </si>
  <si>
    <t>周边有庑殿家苑等住宅小区，综合评价居住社区成熟度一般</t>
    <phoneticPr fontId="3" type="noConversion"/>
  </si>
  <si>
    <r>
      <rPr>
        <sz val="11"/>
        <rFont val="宋体"/>
        <family val="3"/>
        <charset val="134"/>
      </rPr>
      <t>周边有</t>
    </r>
    <r>
      <rPr>
        <sz val="11"/>
        <rFont val="宋体"/>
        <family val="3"/>
        <charset val="134"/>
      </rPr>
      <t>599、622</t>
    </r>
    <r>
      <rPr>
        <sz val="11"/>
        <rFont val="宋体"/>
        <family val="3"/>
        <charset val="134"/>
      </rPr>
      <t>路等公交线路，综合评价交通便捷度一般</t>
    </r>
    <phoneticPr fontId="3" type="noConversion"/>
  </si>
  <si>
    <t>周边有旺兴湖公园，无高等教育机构；综合评价环境状况一般</t>
    <phoneticPr fontId="3" type="noConversion"/>
  </si>
  <si>
    <r>
      <rPr>
        <sz val="11"/>
        <rFont val="仿宋_GB2312"/>
        <family val="3"/>
        <charset val="134"/>
      </rPr>
      <t>一般</t>
    </r>
  </si>
  <si>
    <t>平层</t>
    <phoneticPr fontId="34" type="noConversion"/>
  </si>
  <si>
    <t>欧红伟</t>
  </si>
  <si>
    <t>梁津</t>
  </si>
  <si>
    <t>中国铁建花语金郡</t>
    <phoneticPr fontId="3" type="noConversion"/>
  </si>
  <si>
    <t>首开保利熙悦诚郡</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</si>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</sst>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7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49" fontId="240" fillId="5" borderId="1" xfId="0" applyNumberFormat="1" applyFont="1" applyFill="1" applyBorder="1" applyAlignment="1" applyProtection="1">
      <alignment horizontal="center" vertical="center" wrapText="1"/>
      <protection locked="0"/>
    </xf>
    <xf numFmtId="0" fontId="240" fillId="5" borderId="1" xfId="0" applyFont="1" applyFill="1" applyBorder="1" applyAlignment="1" applyProtection="1">
      <alignment horizontal="center" vertical="center" wrapText="1"/>
      <protection locked="0"/>
    </xf>
    <xf numFmtId="0" fontId="230" fillId="5" borderId="1" xfId="0" applyFont="1" applyFill="1" applyBorder="1" applyAlignment="1" applyProtection="1">
      <alignment horizontal="center" vertical="center" wrapText="1"/>
      <protection locked="0"/>
    </xf>
    <xf numFmtId="181" fontId="137" fillId="0" borderId="1" xfId="0" applyNumberFormat="1" applyFont="1" applyFill="1" applyBorder="1" applyAlignment="1" applyProtection="1">
      <alignment horizontal="center" vertical="center"/>
      <protection locked="0"/>
    </xf>
    <xf numFmtId="181" fontId="68" fillId="0" borderId="5" xfId="0" applyNumberFormat="1" applyFont="1" applyBorder="1" applyAlignment="1" applyProtection="1">
      <alignment horizontal="center" vertical="center"/>
      <protection locked="0"/>
    </xf>
    <xf numFmtId="0" fontId="77" fillId="7" borderId="10" xfId="1" applyNumberFormat="1" applyFont="1" applyFill="1" applyBorder="1" applyAlignment="1" applyProtection="1">
      <alignment horizontal="center" vertical="center"/>
      <protection locked="0"/>
    </xf>
    <xf numFmtId="0" fontId="77" fillId="7" borderId="24" xfId="1" applyNumberFormat="1" applyFont="1" applyFill="1" applyBorder="1" applyAlignment="1" applyProtection="1">
      <alignment horizontal="center" vertical="center"/>
      <protection locked="0"/>
    </xf>
    <xf numFmtId="0" fontId="77" fillId="7" borderId="49" xfId="1" applyNumberFormat="1" applyFont="1" applyFill="1" applyBorder="1" applyAlignment="1" applyProtection="1">
      <alignment horizontal="center" vertical="center"/>
      <protection locked="0"/>
    </xf>
    <xf numFmtId="49" fontId="112" fillId="0" borderId="10" xfId="0" applyNumberFormat="1" applyFont="1" applyFill="1" applyBorder="1" applyAlignment="1" applyProtection="1">
      <alignment horizontal="center" vertical="center" wrapText="1"/>
      <protection locked="0"/>
    </xf>
    <xf numFmtId="49" fontId="112" fillId="0" borderId="24" xfId="0" applyNumberFormat="1" applyFont="1" applyFill="1" applyBorder="1" applyAlignment="1" applyProtection="1">
      <alignment horizontal="center" vertical="center" wrapText="1"/>
      <protection locked="0"/>
    </xf>
    <xf numFmtId="0" fontId="112" fillId="0" borderId="24" xfId="0" applyFont="1" applyBorder="1" applyAlignment="1" applyProtection="1">
      <alignment horizontal="center" vertical="center" wrapText="1"/>
      <protection locked="0"/>
    </xf>
    <xf numFmtId="0" fontId="112" fillId="0" borderId="49" xfId="0" applyFont="1" applyBorder="1" applyAlignment="1" applyProtection="1">
      <alignment horizontal="center" vertical="center"/>
      <protection locked="0"/>
    </xf>
    <xf numFmtId="0" fontId="30" fillId="0" borderId="24" xfId="0" applyFont="1" applyBorder="1" applyAlignment="1" applyProtection="1">
      <alignment horizontal="center" vertical="center" wrapText="1"/>
      <protection locked="0"/>
    </xf>
    <xf numFmtId="49" fontId="220" fillId="0" borderId="24" xfId="0" applyNumberFormat="1" applyFont="1" applyFill="1" applyBorder="1" applyAlignment="1" applyProtection="1">
      <alignment horizontal="center" vertical="center" wrapText="1"/>
      <protection locked="0"/>
    </xf>
    <xf numFmtId="0" fontId="130" fillId="0" borderId="0" xfId="0" applyFont="1">
      <alignment vertical="center"/>
    </xf>
    <xf numFmtId="0" fontId="194" fillId="0" borderId="51"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184" fontId="68" fillId="0" borderId="26" xfId="0" applyNumberFormat="1" applyFont="1" applyFill="1" applyBorder="1" applyAlignment="1" applyProtection="1">
      <alignment horizontal="center" vertical="center" wrapText="1"/>
      <protection locked="0"/>
    </xf>
    <xf numFmtId="49" fontId="112" fillId="0" borderId="41" xfId="0" applyNumberFormat="1" applyFont="1" applyFill="1" applyBorder="1" applyAlignment="1" applyProtection="1">
      <alignment horizontal="center" vertical="center" wrapText="1"/>
      <protection locked="0"/>
    </xf>
    <xf numFmtId="49" fontId="194" fillId="0" borderId="7"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75" fillId="2" borderId="7" xfId="0" applyNumberFormat="1" applyFont="1" applyFill="1" applyBorder="1" applyAlignment="1" applyProtection="1">
      <alignment horizontal="center" vertical="center" wrapText="1"/>
      <protection locked="0"/>
    </xf>
    <xf numFmtId="49" fontId="75" fillId="2" borderId="41"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49" fontId="75" fillId="2" borderId="23" xfId="0" applyNumberFormat="1" applyFont="1" applyFill="1" applyBorder="1" applyAlignment="1" applyProtection="1">
      <alignment horizontal="center" vertical="center" wrapText="1"/>
      <protection locked="0"/>
    </xf>
    <xf numFmtId="9" fontId="68" fillId="2" borderId="37"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112" fillId="0" borderId="44" xfId="0" applyNumberFormat="1" applyFont="1" applyFill="1" applyBorder="1" applyAlignment="1" applyProtection="1">
      <alignment horizontal="center" vertical="center" wrapText="1"/>
      <protection locked="0"/>
    </xf>
    <xf numFmtId="49" fontId="68" fillId="2" borderId="70"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49" fontId="75" fillId="2" borderId="35" xfId="0" applyNumberFormat="1" applyFont="1" applyFill="1" applyBorder="1" applyAlignment="1" applyProtection="1">
      <alignment horizontal="center" vertical="center" wrapText="1"/>
      <protection locked="0"/>
    </xf>
    <xf numFmtId="0" fontId="75" fillId="2" borderId="3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49" fontId="75" fillId="5" borderId="3" xfId="0" applyNumberFormat="1" applyFont="1" applyFill="1" applyBorder="1" applyAlignment="1" applyProtection="1">
      <alignment horizontal="center" vertical="center" wrapText="1"/>
      <protection locked="0"/>
    </xf>
    <xf numFmtId="49" fontId="75" fillId="2" borderId="14" xfId="0" applyNumberFormat="1" applyFont="1" applyFill="1" applyBorder="1" applyAlignment="1" applyProtection="1">
      <alignment horizontal="center" vertical="center" wrapText="1"/>
      <protection locked="0"/>
    </xf>
    <xf numFmtId="0" fontId="75" fillId="2" borderId="6" xfId="0" applyFont="1" applyFill="1" applyBorder="1" applyAlignment="1" applyProtection="1">
      <alignment horizontal="center" vertical="center" wrapText="1"/>
      <protection locked="0"/>
    </xf>
    <xf numFmtId="0" fontId="75" fillId="2" borderId="23" xfId="0" applyFont="1" applyFill="1" applyBorder="1" applyAlignment="1" applyProtection="1">
      <alignment horizontal="center" vertical="center" wrapText="1"/>
      <protection locked="0"/>
    </xf>
    <xf numFmtId="49" fontId="75" fillId="5" borderId="23" xfId="0" applyNumberFormat="1" applyFont="1" applyFill="1" applyBorder="1" applyAlignment="1" applyProtection="1">
      <alignment horizontal="center" vertical="center" wrapText="1"/>
      <protection locked="0"/>
    </xf>
    <xf numFmtId="0" fontId="25" fillId="0" borderId="0" xfId="0" applyNumberFormat="1" applyFo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220" fillId="7" borderId="11" xfId="0" applyFont="1" applyFill="1" applyBorder="1" applyAlignment="1" applyProtection="1">
      <alignment horizontal="center" vertical="center" wrapText="1"/>
      <protection locked="0"/>
    </xf>
    <xf numFmtId="0" fontId="75" fillId="7" borderId="61" xfId="0" applyFont="1" applyFill="1" applyBorder="1" applyAlignment="1" applyProtection="1">
      <alignment horizontal="center" vertical="center" wrapText="1"/>
      <protection locked="0"/>
    </xf>
    <xf numFmtId="0" fontId="220" fillId="7" borderId="23" xfId="0" applyFont="1" applyFill="1" applyBorder="1" applyAlignment="1" applyProtection="1">
      <alignment horizontal="center" vertical="center" wrapText="1"/>
      <protection locked="0"/>
    </xf>
    <xf numFmtId="0" fontId="75" fillId="7"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220" fillId="7" borderId="25" xfId="0" applyFont="1" applyFill="1" applyBorder="1" applyAlignment="1" applyProtection="1">
      <alignment horizontal="center" vertical="center" wrapText="1"/>
      <protection locked="0"/>
    </xf>
    <xf numFmtId="0" fontId="75" fillId="7" borderId="49"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20"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220"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208753</xdr:colOff>
      <xdr:row>4</xdr:row>
      <xdr:rowOff>9438</xdr:rowOff>
    </xdr:to>
    <xdr:pic>
      <xdr:nvPicPr>
        <xdr:cNvPr id="2" name="图片 1"/>
        <xdr:cNvPicPr>
          <a:picLocks noChangeAspect="1"/>
        </xdr:cNvPicPr>
      </xdr:nvPicPr>
      <xdr:blipFill>
        <a:blip xmlns:r="http://schemas.openxmlformats.org/officeDocument/2006/relationships" r:embed="rId1"/>
        <a:stretch>
          <a:fillRect/>
        </a:stretch>
      </xdr:blipFill>
      <xdr:spPr>
        <a:xfrm>
          <a:off x="971550" y="0"/>
          <a:ext cx="6380953" cy="695238"/>
        </a:xfrm>
        <a:prstGeom prst="rect">
          <a:avLst/>
        </a:prstGeom>
      </xdr:spPr>
    </xdr:pic>
    <xdr:clientData/>
  </xdr:twoCellAnchor>
  <xdr:twoCellAnchor editAs="oneCell">
    <xdr:from>
      <xdr:col>1</xdr:col>
      <xdr:colOff>0</xdr:colOff>
      <xdr:row>5</xdr:row>
      <xdr:rowOff>0</xdr:rowOff>
    </xdr:from>
    <xdr:to>
      <xdr:col>10</xdr:col>
      <xdr:colOff>437324</xdr:colOff>
      <xdr:row>9</xdr:row>
      <xdr:rowOff>9438</xdr:rowOff>
    </xdr:to>
    <xdr:pic>
      <xdr:nvPicPr>
        <xdr:cNvPr id="3" name="图片 2"/>
        <xdr:cNvPicPr>
          <a:picLocks noChangeAspect="1"/>
        </xdr:cNvPicPr>
      </xdr:nvPicPr>
      <xdr:blipFill>
        <a:blip xmlns:r="http://schemas.openxmlformats.org/officeDocument/2006/relationships" r:embed="rId2"/>
        <a:stretch>
          <a:fillRect/>
        </a:stretch>
      </xdr:blipFill>
      <xdr:spPr>
        <a:xfrm>
          <a:off x="971550" y="857250"/>
          <a:ext cx="6609524" cy="695238"/>
        </a:xfrm>
        <a:prstGeom prst="rect">
          <a:avLst/>
        </a:prstGeom>
      </xdr:spPr>
    </xdr:pic>
    <xdr:clientData/>
  </xdr:twoCellAnchor>
  <xdr:twoCellAnchor editAs="oneCell">
    <xdr:from>
      <xdr:col>1</xdr:col>
      <xdr:colOff>0</xdr:colOff>
      <xdr:row>9</xdr:row>
      <xdr:rowOff>0</xdr:rowOff>
    </xdr:from>
    <xdr:to>
      <xdr:col>10</xdr:col>
      <xdr:colOff>313515</xdr:colOff>
      <xdr:row>12</xdr:row>
      <xdr:rowOff>142793</xdr:rowOff>
    </xdr:to>
    <xdr:pic>
      <xdr:nvPicPr>
        <xdr:cNvPr id="4" name="图片 3"/>
        <xdr:cNvPicPr>
          <a:picLocks noChangeAspect="1"/>
        </xdr:cNvPicPr>
      </xdr:nvPicPr>
      <xdr:blipFill>
        <a:blip xmlns:r="http://schemas.openxmlformats.org/officeDocument/2006/relationships" r:embed="rId3"/>
        <a:stretch>
          <a:fillRect/>
        </a:stretch>
      </xdr:blipFill>
      <xdr:spPr>
        <a:xfrm>
          <a:off x="971550" y="1543050"/>
          <a:ext cx="6485715" cy="657143"/>
        </a:xfrm>
        <a:prstGeom prst="rect">
          <a:avLst/>
        </a:prstGeom>
      </xdr:spPr>
    </xdr:pic>
    <xdr:clientData/>
  </xdr:twoCellAnchor>
  <xdr:twoCellAnchor editAs="oneCell">
    <xdr:from>
      <xdr:col>0</xdr:col>
      <xdr:colOff>0</xdr:colOff>
      <xdr:row>15</xdr:row>
      <xdr:rowOff>0</xdr:rowOff>
    </xdr:from>
    <xdr:to>
      <xdr:col>9</xdr:col>
      <xdr:colOff>361098</xdr:colOff>
      <xdr:row>25</xdr:row>
      <xdr:rowOff>142643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571750"/>
          <a:ext cx="6819048" cy="1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303;&#23429;&#22320;&#22359;-&#26410;&#24314;&#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1830;&#19994;&#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办公"/>
      <sheetName val="收益法-地下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估价对象2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17017.400000000001</v>
          </cell>
          <cell r="E3">
            <v>68898.2</v>
          </cell>
        </row>
      </sheetData>
      <sheetData sheetId="14"/>
      <sheetData sheetId="15"/>
      <sheetData sheetId="16"/>
      <sheetData sheetId="17">
        <row r="19">
          <cell r="G19">
            <v>233123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办公"/>
      <sheetName val="收益法-商业"/>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5341.57</v>
          </cell>
          <cell r="E3">
            <v>20299</v>
          </cell>
        </row>
      </sheetData>
      <sheetData sheetId="14"/>
      <sheetData sheetId="15"/>
      <sheetData sheetId="16"/>
      <sheetData sheetId="17">
        <row r="19">
          <cell r="G19">
            <v>35487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35" customWidth="1"/>
    <col min="2" max="2" width="81" style="3052" customWidth="1"/>
    <col min="3" max="16384" width="9" style="3050"/>
  </cols>
  <sheetData>
    <row r="1" spans="1:2" s="3038" customFormat="1" ht="16.5" thickBot="1">
      <c r="A1" s="3037" t="s">
        <v>2792</v>
      </c>
      <c r="B1" s="3036" t="s">
        <v>2881</v>
      </c>
    </row>
    <row r="2" spans="1:2" s="3041" customFormat="1" ht="15" thickTop="1">
      <c r="A2" s="3039" t="s">
        <v>2793</v>
      </c>
      <c r="B2" s="3040" t="str">
        <f>'预评函-封皮'!B37:I37</f>
        <v>北京市出让国有建设用地使用权房地产抵押价值预评估</v>
      </c>
    </row>
    <row r="3" spans="1:2" s="3044" customFormat="1">
      <c r="A3" s="3042" t="s">
        <v>2794</v>
      </c>
      <c r="B3" s="3043">
        <f>'预评函-封皮'!B40</f>
        <v>0</v>
      </c>
    </row>
    <row r="4" spans="1:2" s="3044" customFormat="1">
      <c r="A4" s="3042" t="s">
        <v>2795</v>
      </c>
      <c r="B4" s="3043" t="str">
        <f ca="1">'预评函-封皮'!B46</f>
        <v>欧红伟（注册号：1120000080)、梁津（注册号：1119970066)</v>
      </c>
    </row>
    <row r="5" spans="1:2" s="3038" customFormat="1" ht="15" thickBot="1">
      <c r="A5" s="3045" t="s">
        <v>2796</v>
      </c>
      <c r="B5" s="3046" t="str">
        <f>'预评函-封皮'!B49</f>
        <v>康正预评字号</v>
      </c>
    </row>
    <row r="6" spans="1:2" s="3041" customFormat="1" ht="15" thickTop="1">
      <c r="A6" s="3039" t="s">
        <v>2797</v>
      </c>
      <c r="B6" s="3040" t="str">
        <f>'预评函-1'!A4</f>
        <v>受贵公司委托，我公司对北京市出让国有建设用地使用权抵押价值进行了预评估。</v>
      </c>
    </row>
    <row r="7" spans="1:2" s="3044" customFormat="1">
      <c r="A7" s="3042" t="s">
        <v>2837</v>
      </c>
      <c r="B7" s="3043" t="str">
        <f>'预评函-1'!A7</f>
        <v>估价对象为北京市出让国有建设用地使用权，为所有。根据《国有土地使用证》[]，估价对象（分摊）出让国有建设用地使用权面积为10808.06平方米，建筑面积为43758.52平方米。</v>
      </c>
    </row>
    <row r="8" spans="1:2" s="3044" customFormat="1">
      <c r="A8" s="3042" t="s">
        <v>2838</v>
      </c>
      <c r="B8" s="3043" t="str">
        <f>'预评函-1'!A8</f>
        <v>估价对象简述。项目推广名，项目类型（用途），估价对象分布，各用途面积明细情况：XX用途建筑面积XX平方米，XX用途建筑面积XX平方米，……。复杂面积清单需设‘附表’列示：抵押物清单详见附表</v>
      </c>
    </row>
    <row r="9" spans="1:2" s="3044" customFormat="1">
      <c r="A9" s="3042" t="s">
        <v>2839</v>
      </c>
      <c r="B9" s="3043" t="str">
        <f>'预评函-1'!A10</f>
        <v>估价对象为北京市出让国有建设用地使用权,属开发建设的居住项目，该项目尚在开发建设中。根据《国有土地使用证》[]，估价对象（分摊）出让国有建设用地使用权面积为10808.06平方米，规划建筑面积为43758.52平方米。</v>
      </c>
    </row>
    <row r="10" spans="1:2" s="3044" customFormat="1">
      <c r="A10" s="3042" t="s">
        <v>2840</v>
      </c>
      <c r="B10" s="30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4" customFormat="1">
      <c r="A11" s="3042" t="s">
        <v>2798</v>
      </c>
      <c r="B11" s="3043"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s="3044" customFormat="1">
      <c r="A12" s="3042" t="s">
        <v>2799</v>
      </c>
      <c r="B12" s="3043" t="str">
        <f>'预评函-1'!A15</f>
        <v>2017年9月28日（评估专业人员实地查勘之日）</v>
      </c>
    </row>
    <row r="13" spans="1:2" s="3044" customFormat="1">
      <c r="A13" s="3042" t="s">
        <v>2800</v>
      </c>
      <c r="B13" s="3043" t="str">
        <f>'预评函-1'!A18</f>
        <v>本次估价的“房地产价值”是指在正常市场情况下，在价值时点2017年9月28日，估价对象规划用途为，土地取得方式为出让，出让国有建设用地使用权剩余土地使用年限为，假定未设立法定优先受偿款下的房地产市场价值。</v>
      </c>
    </row>
    <row r="14" spans="1:2" s="3044" customFormat="1">
      <c r="A14" s="3042" t="s">
        <v>2801</v>
      </c>
      <c r="B14" s="3043"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4" customFormat="1">
      <c r="A15" s="3042" t="s">
        <v>2802</v>
      </c>
      <c r="B15" s="3043" t="str">
        <f>'预评函-1'!A20</f>
        <v>本次估价的“房地产抵押价值”是指估价对象在价值时点的“房地产价值”扣减估价师于价值时点所知悉的法定优先受偿款后的余额。</v>
      </c>
    </row>
    <row r="16" spans="1:2" s="3044" customFormat="1">
      <c r="A16" s="3042" t="s">
        <v>2803</v>
      </c>
      <c r="B16" s="30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4" customFormat="1">
      <c r="A17" s="3042" t="s">
        <v>2804</v>
      </c>
      <c r="B17" s="30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8" customFormat="1" ht="15" thickBot="1">
      <c r="A18" s="3045" t="s">
        <v>2805</v>
      </c>
      <c r="B18" s="3046" t="str">
        <f>'预评函-1'!A24</f>
        <v>本次评估采用的主估价方法为成本法和假设开发法。</v>
      </c>
    </row>
    <row r="19" spans="1:2" s="3041" customFormat="1" ht="15" thickTop="1">
      <c r="A19" s="3039" t="s">
        <v>2806</v>
      </c>
      <c r="B19" s="304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44" customFormat="1">
      <c r="A20" s="3042" t="s">
        <v>2807</v>
      </c>
      <c r="B20" s="3043">
        <f ca="1">'预评函-2'!D5</f>
        <v>145332</v>
      </c>
    </row>
    <row r="21" spans="1:2" s="3044" customFormat="1">
      <c r="A21" s="3042" t="s">
        <v>2808</v>
      </c>
      <c r="B21" s="3043">
        <f ca="1">'预评函-2'!D7</f>
        <v>33212</v>
      </c>
    </row>
    <row r="22" spans="1:2" s="3044" customFormat="1">
      <c r="A22" s="3042" t="s">
        <v>2809</v>
      </c>
      <c r="B22" s="3043" t="str">
        <f ca="1">'预评函-2'!D6</f>
        <v>壹拾肆亿伍仟叁佰叁拾贰万元整</v>
      </c>
    </row>
    <row r="23" spans="1:2" s="3044" customFormat="1">
      <c r="A23" s="3042" t="s">
        <v>2869</v>
      </c>
      <c r="B23" s="3043" t="str">
        <f>'预评函-2'!B8</f>
        <v>2.估价师知悉的法定优先受偿款</v>
      </c>
    </row>
    <row r="24" spans="1:2" s="3044" customFormat="1">
      <c r="A24" s="3042" t="s">
        <v>2875</v>
      </c>
      <c r="B24" s="3043">
        <f>'预评函-2'!D8</f>
        <v>0</v>
      </c>
    </row>
    <row r="25" spans="1:2" s="3044" customFormat="1">
      <c r="A25" s="3042" t="s">
        <v>2810</v>
      </c>
      <c r="B25" s="3043" t="str">
        <f>'预评函-2'!D9</f>
        <v>零元整</v>
      </c>
    </row>
    <row r="26" spans="1:2" s="3044" customFormat="1">
      <c r="A26" s="3042" t="s">
        <v>2811</v>
      </c>
      <c r="B26" s="3043">
        <f>'预评函-2'!D10</f>
        <v>0</v>
      </c>
    </row>
    <row r="27" spans="1:2" s="3044" customFormat="1">
      <c r="A27" s="3042" t="s">
        <v>2812</v>
      </c>
      <c r="B27" s="3043">
        <f>'预评函-2'!D11</f>
        <v>0</v>
      </c>
    </row>
    <row r="28" spans="1:2" s="3044" customFormat="1">
      <c r="A28" s="3042" t="s">
        <v>2813</v>
      </c>
      <c r="B28" s="3043">
        <f>'预评函-2'!D12</f>
        <v>0</v>
      </c>
    </row>
    <row r="29" spans="1:2" s="3044" customFormat="1">
      <c r="A29" s="3042" t="s">
        <v>2873</v>
      </c>
      <c r="B29" s="3043" t="str">
        <f>'预评函-2'!B13</f>
        <v>3.房地产抵押价值</v>
      </c>
    </row>
    <row r="30" spans="1:2" s="3044" customFormat="1">
      <c r="A30" s="3042" t="s">
        <v>2874</v>
      </c>
      <c r="B30" s="3043">
        <f ca="1">'预评函-2'!D13</f>
        <v>145332</v>
      </c>
    </row>
    <row r="31" spans="1:2" s="3044" customFormat="1">
      <c r="A31" s="3042" t="s">
        <v>2848</v>
      </c>
      <c r="B31" s="3043">
        <f ca="1">'预评函-2'!D15</f>
        <v>33212</v>
      </c>
    </row>
    <row r="32" spans="1:2" s="3044" customFormat="1">
      <c r="A32" s="3042" t="s">
        <v>2814</v>
      </c>
      <c r="B32" s="3043" t="str">
        <f ca="1">'预评函-2'!D14</f>
        <v>壹拾肆亿伍仟叁佰叁拾贰万元整</v>
      </c>
    </row>
    <row r="33" spans="1:2" s="3044" customFormat="1">
      <c r="A33" s="3042" t="s">
        <v>2850</v>
      </c>
      <c r="B33" s="3043" t="str">
        <f>'预评函-2'!B16</f>
        <v>——</v>
      </c>
    </row>
    <row r="34" spans="1:2" s="3044" customFormat="1">
      <c r="A34" s="3042" t="s">
        <v>2876</v>
      </c>
      <c r="B34" s="3043" t="str">
        <f>'预评函-2'!D16</f>
        <v>——</v>
      </c>
    </row>
    <row r="35" spans="1:2" s="3044" customFormat="1">
      <c r="A35" s="3042" t="s">
        <v>2849</v>
      </c>
      <c r="B35" s="3043" t="str">
        <f>'预评函-2'!D18</f>
        <v>——</v>
      </c>
    </row>
    <row r="36" spans="1:2" s="3044" customFormat="1">
      <c r="A36" s="3042" t="s">
        <v>2815</v>
      </c>
      <c r="B36" s="3043" t="e">
        <f>'预评函-2'!D17</f>
        <v>#VALUE!</v>
      </c>
    </row>
    <row r="37" spans="1:2" s="3044" customFormat="1">
      <c r="A37" s="3042" t="s">
        <v>2851</v>
      </c>
      <c r="B37" s="3043" t="str">
        <f>'预评函-2'!B19</f>
        <v>——</v>
      </c>
    </row>
    <row r="38" spans="1:2" s="3044" customFormat="1">
      <c r="A38" s="3042" t="s">
        <v>2877</v>
      </c>
      <c r="B38" s="3043" t="str">
        <f>'预评函-2'!D19</f>
        <v>——</v>
      </c>
    </row>
    <row r="39" spans="1:2" s="3044" customFormat="1">
      <c r="A39" s="3042" t="s">
        <v>2816</v>
      </c>
      <c r="B39" s="3043" t="str">
        <f>'预评函-2'!D21</f>
        <v>——</v>
      </c>
    </row>
    <row r="40" spans="1:2" s="3044" customFormat="1">
      <c r="A40" s="3042" t="s">
        <v>2817</v>
      </c>
      <c r="B40" s="3043" t="e">
        <f>'预评函-2'!D20</f>
        <v>#VALUE!</v>
      </c>
    </row>
    <row r="41" spans="1:2" s="3044" customFormat="1">
      <c r="A41" s="3042" t="s">
        <v>2872</v>
      </c>
      <c r="B41" s="3043" t="str">
        <f>'预评函-3'!A4</f>
        <v>北京市出让国有建设用地使用权</v>
      </c>
    </row>
    <row r="42" spans="1:2" s="3044" customFormat="1">
      <c r="A42" s="3042" t="s">
        <v>2870</v>
      </c>
      <c r="B42" s="3043" t="str">
        <f>'预评函-3'!B2</f>
        <v>建筑面积</v>
      </c>
    </row>
    <row r="43" spans="1:2" s="3044" customFormat="1">
      <c r="A43" s="3042" t="s">
        <v>2871</v>
      </c>
      <c r="B43" s="3043">
        <f>'预评函-3'!B4</f>
        <v>43758.520000000004</v>
      </c>
    </row>
    <row r="44" spans="1:2" s="3044" customFormat="1">
      <c r="A44" s="3042" t="s">
        <v>2847</v>
      </c>
      <c r="B44" s="3043" t="str">
        <f>'预评函-3'!C2</f>
        <v>(分摊)土地面积</v>
      </c>
    </row>
    <row r="45" spans="1:2" s="3044" customFormat="1">
      <c r="A45" s="3042" t="s">
        <v>2818</v>
      </c>
      <c r="B45" s="3043">
        <f>'预评函-3'!C4</f>
        <v>10808.06</v>
      </c>
    </row>
    <row r="46" spans="1:2" s="3044" customFormat="1">
      <c r="A46" s="3042" t="s">
        <v>2845</v>
      </c>
      <c r="B46" s="3043" t="str">
        <f>'预评函-3'!D2</f>
        <v>出让国有建设用地使用权价值</v>
      </c>
    </row>
    <row r="47" spans="1:2" s="3044" customFormat="1">
      <c r="A47" s="3042" t="s">
        <v>2819</v>
      </c>
      <c r="B47" s="3043">
        <f ca="1">'预评函-3'!D4</f>
        <v>136612</v>
      </c>
    </row>
    <row r="48" spans="1:2" s="3044" customFormat="1">
      <c r="A48" s="3042" t="s">
        <v>2820</v>
      </c>
      <c r="B48" s="3043">
        <f ca="1">'预评函-3'!E4</f>
        <v>31219</v>
      </c>
    </row>
    <row r="49" spans="1:2" s="3044" customFormat="1">
      <c r="A49" s="3042" t="s">
        <v>2821</v>
      </c>
      <c r="B49" s="3043" t="str">
        <f ca="1">'预评函-3'!D5</f>
        <v>壹拾叁亿陆仟陆佰壹拾贰万元整</v>
      </c>
    </row>
    <row r="50" spans="1:2" s="3044" customFormat="1">
      <c r="A50" s="3042" t="s">
        <v>2846</v>
      </c>
      <c r="B50" s="3043" t="str">
        <f>'预评函-3'!F2</f>
        <v>在建建筑物价值</v>
      </c>
    </row>
    <row r="51" spans="1:2" s="3044" customFormat="1">
      <c r="A51" s="3042" t="s">
        <v>2822</v>
      </c>
      <c r="B51" s="3043">
        <f ca="1">'预评函-3'!F4</f>
        <v>8720</v>
      </c>
    </row>
    <row r="52" spans="1:2" s="3044" customFormat="1">
      <c r="A52" s="3042" t="s">
        <v>2823</v>
      </c>
      <c r="B52" s="3043">
        <f ca="1">'预评函-3'!G4</f>
        <v>1993</v>
      </c>
    </row>
    <row r="53" spans="1:2" s="3044" customFormat="1">
      <c r="A53" s="3042" t="s">
        <v>2852</v>
      </c>
      <c r="B53" s="3043" t="str">
        <f ca="1">'预评函-3'!F5</f>
        <v>捌仟柒佰贰拾万元整</v>
      </c>
    </row>
    <row r="54" spans="1:2" s="3044" customFormat="1">
      <c r="A54" s="3042" t="s">
        <v>2879</v>
      </c>
      <c r="B54" s="3043" t="str">
        <f>'预评函-3'!A8</f>
        <v>房地产抵押价值</v>
      </c>
    </row>
    <row r="55" spans="1:2" s="3044" customFormat="1">
      <c r="A55" s="3042" t="s">
        <v>2853</v>
      </c>
      <c r="B55" s="3043" t="str">
        <f>'预评函-3'!A10</f>
        <v/>
      </c>
    </row>
    <row r="56" spans="1:2" s="3044" customFormat="1">
      <c r="A56" s="3042" t="s">
        <v>2854</v>
      </c>
      <c r="B56" s="3043" t="str">
        <f>'预评函-3'!A12</f>
        <v/>
      </c>
    </row>
    <row r="57" spans="1:2" s="3038" customFormat="1" ht="15" thickBot="1">
      <c r="A57" s="3045" t="s">
        <v>2880</v>
      </c>
      <c r="B57" s="3046" t="str">
        <f>'预评函-3'!A6</f>
        <v>估价师知悉的法定优先受偿款</v>
      </c>
    </row>
    <row r="58" spans="1:2" s="3041" customFormat="1" ht="15" thickTop="1">
      <c r="A58" s="3039" t="s">
        <v>2824</v>
      </c>
      <c r="B58" s="3040" t="str">
        <f>'预评函-4'!A12</f>
        <v>2.本《评估意见函》仅供金融机构进行内部审核使用，不做其他目的之用。</v>
      </c>
    </row>
    <row r="59" spans="1:2" s="3044" customFormat="1">
      <c r="A59" s="3042" t="s">
        <v>2825</v>
      </c>
      <c r="B59" s="3043" t="str">
        <f>'预评函-4'!A13</f>
        <v>3.抵押双方在办理抵押登记手续时，应使用本公司出具的正式《房地产评估报告》，特提醒报告使用者注意。</v>
      </c>
    </row>
    <row r="60" spans="1:2" s="3044" customFormat="1">
      <c r="A60" s="3042" t="s">
        <v>2826</v>
      </c>
      <c r="B60" s="3043" t="str">
        <f>'预评函-4'!A14</f>
        <v>4.本次评估估价师所知悉的法定优先受偿款情况说明如下：</v>
      </c>
    </row>
    <row r="61" spans="1:2" s="3044" customFormat="1">
      <c r="A61" s="3042" t="s">
        <v>2827</v>
      </c>
      <c r="B61" s="304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4" customFormat="1">
      <c r="A62" s="3042" t="s">
        <v>2828</v>
      </c>
      <c r="B62" s="3043" t="str">
        <f>'预评函-4'!A16</f>
        <v>（2）根据《工程款支付情况说明》，截至价值时点，估价对象不存在应付未付工程款项。（只要没有施工方盖章的，均“设定”进行表述）</v>
      </c>
    </row>
    <row r="63" spans="1:2" s="3044" customFormat="1">
      <c r="A63" s="3042" t="s">
        <v>2829</v>
      </c>
      <c r="B63" s="30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4" customFormat="1">
      <c r="A64" s="3042" t="s">
        <v>2841</v>
      </c>
      <c r="B64" s="3043" t="str">
        <f>'预评函-4'!A18</f>
        <v>故，本次评估不存在估价师知悉的法定优先受偿款</v>
      </c>
    </row>
    <row r="65" spans="1:2" s="3044" customFormat="1">
      <c r="A65" s="3042" t="s">
        <v>2830</v>
      </c>
      <c r="B65" s="30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4" customFormat="1">
      <c r="A66" s="3042" t="s">
        <v>2831</v>
      </c>
      <c r="B66" s="30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4" customFormat="1">
      <c r="A67" s="3042" t="s">
        <v>2842</v>
      </c>
      <c r="B67" s="30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4" customFormat="1">
      <c r="A68" s="3042" t="s">
        <v>2843</v>
      </c>
      <c r="B68" s="3043" t="str">
        <f>'预评函-4'!A22</f>
        <v>8.其他需特殊说明事项：无（注意调整序号）</v>
      </c>
    </row>
    <row r="69" spans="1:2" s="3038" customFormat="1" ht="15" thickBot="1">
      <c r="A69" s="3045" t="s">
        <v>2832</v>
      </c>
      <c r="B69" s="3047">
        <f>'预评函-4'!C31</f>
        <v>42551</v>
      </c>
    </row>
    <row r="70" spans="1:2" ht="15" thickTop="1">
      <c r="A70" s="3048" t="s">
        <v>2833</v>
      </c>
      <c r="B70" s="3049" t="str">
        <f>'预评函-4'!A4</f>
        <v>欧红伟</v>
      </c>
    </row>
    <row r="71" spans="1:2">
      <c r="A71" s="3042" t="s">
        <v>2834</v>
      </c>
      <c r="B71" s="3043">
        <f ca="1">'预评函-4'!B4</f>
        <v>1120000080</v>
      </c>
    </row>
    <row r="72" spans="1:2">
      <c r="A72" s="3042" t="s">
        <v>2835</v>
      </c>
      <c r="B72" s="3051" t="str">
        <f>'预评函-4'!A5</f>
        <v>梁津</v>
      </c>
    </row>
    <row r="73" spans="1:2" s="3038" customFormat="1" ht="15" thickBot="1">
      <c r="A73" s="3045" t="s">
        <v>2836</v>
      </c>
      <c r="B73" s="3046">
        <f ca="1">'预评函-4'!B5</f>
        <v>1119970066</v>
      </c>
    </row>
    <row r="74" spans="1:2" ht="15" thickTop="1">
      <c r="A74" s="3035" t="s">
        <v>2897</v>
      </c>
      <c r="B74" s="305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3" sqref="X23"/>
    </sheetView>
  </sheetViews>
  <sheetFormatPr defaultRowHeight="14.25"/>
  <cols>
    <col min="1" max="1" width="13.5" style="1149" customWidth="1"/>
    <col min="2" max="2" width="23.25" style="1148"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48" customWidth="1"/>
    <col min="25" max="16384" width="9" style="1148"/>
  </cols>
  <sheetData>
    <row r="1" spans="1:23" s="1147" customFormat="1" ht="27">
      <c r="A1" s="1122" t="s">
        <v>530</v>
      </c>
      <c r="B1" s="287" t="s">
        <v>254</v>
      </c>
      <c r="C1" s="1751" t="s">
        <v>1869</v>
      </c>
      <c r="D1" s="288" t="s">
        <v>255</v>
      </c>
      <c r="E1" s="288" t="s">
        <v>256</v>
      </c>
      <c r="F1" s="288" t="s">
        <v>257</v>
      </c>
      <c r="G1" s="288" t="s">
        <v>258</v>
      </c>
      <c r="H1" s="288" t="s">
        <v>259</v>
      </c>
      <c r="I1" s="288" t="s">
        <v>260</v>
      </c>
      <c r="J1" s="288" t="s">
        <v>261</v>
      </c>
      <c r="K1" s="288" t="s">
        <v>262</v>
      </c>
      <c r="L1" s="288" t="s">
        <v>263</v>
      </c>
      <c r="M1" s="288" t="s">
        <v>264</v>
      </c>
      <c r="N1" s="288" t="s">
        <v>265</v>
      </c>
      <c r="O1" s="288" t="s">
        <v>266</v>
      </c>
      <c r="P1" s="11" t="s">
        <v>1841</v>
      </c>
      <c r="Q1" s="11" t="s">
        <v>2637</v>
      </c>
      <c r="R1" s="1469" t="s">
        <v>2627</v>
      </c>
      <c r="S1" s="288" t="s">
        <v>267</v>
      </c>
      <c r="T1" s="289" t="s">
        <v>268</v>
      </c>
      <c r="U1" s="288" t="s">
        <v>269</v>
      </c>
      <c r="V1" s="288" t="s">
        <v>270</v>
      </c>
      <c r="W1" s="1469" t="s">
        <v>1844</v>
      </c>
    </row>
    <row r="2" spans="1:23">
      <c r="A2" s="2779" t="s">
        <v>114</v>
      </c>
      <c r="B2" s="2779" t="s">
        <v>577</v>
      </c>
      <c r="C2" s="1752" t="s">
        <v>1870</v>
      </c>
      <c r="D2" s="290" t="s">
        <v>228</v>
      </c>
      <c r="E2" s="290" t="s">
        <v>271</v>
      </c>
      <c r="F2" s="290" t="s">
        <v>272</v>
      </c>
      <c r="G2" s="290">
        <v>40</v>
      </c>
      <c r="H2" s="290" t="s">
        <v>273</v>
      </c>
      <c r="I2" s="290" t="s">
        <v>274</v>
      </c>
      <c r="J2" s="290" t="s">
        <v>275</v>
      </c>
      <c r="K2" s="290" t="s">
        <v>229</v>
      </c>
      <c r="L2" s="290" t="s">
        <v>229</v>
      </c>
      <c r="M2" s="290" t="s">
        <v>229</v>
      </c>
      <c r="N2" s="290" t="s">
        <v>229</v>
      </c>
      <c r="O2" s="290" t="s">
        <v>229</v>
      </c>
      <c r="P2" s="290" t="s">
        <v>229</v>
      </c>
      <c r="Q2" s="290" t="s">
        <v>229</v>
      </c>
      <c r="R2" s="2745" t="s">
        <v>2631</v>
      </c>
      <c r="S2" s="290" t="s">
        <v>229</v>
      </c>
      <c r="T2" s="290" t="s">
        <v>230</v>
      </c>
      <c r="U2" s="290" t="s">
        <v>229</v>
      </c>
      <c r="V2" s="290" t="s">
        <v>231</v>
      </c>
      <c r="W2" s="290" t="s">
        <v>229</v>
      </c>
    </row>
    <row r="3" spans="1:23">
      <c r="A3" s="2779" t="s">
        <v>576</v>
      </c>
      <c r="B3" s="2780" t="s">
        <v>2673</v>
      </c>
      <c r="C3" s="1753" t="s">
        <v>1871</v>
      </c>
      <c r="D3" s="290" t="s">
        <v>232</v>
      </c>
      <c r="E3" s="290" t="s">
        <v>51</v>
      </c>
      <c r="F3" s="290" t="s">
        <v>233</v>
      </c>
      <c r="G3" s="290">
        <v>50</v>
      </c>
      <c r="H3" s="290" t="s">
        <v>234</v>
      </c>
      <c r="I3" s="290" t="s">
        <v>235</v>
      </c>
      <c r="J3" s="290" t="s">
        <v>236</v>
      </c>
      <c r="K3" s="290" t="s">
        <v>237</v>
      </c>
      <c r="L3" s="290" t="s">
        <v>237</v>
      </c>
      <c r="M3" s="290" t="s">
        <v>237</v>
      </c>
      <c r="N3" s="290" t="s">
        <v>237</v>
      </c>
      <c r="O3" s="290" t="s">
        <v>237</v>
      </c>
      <c r="P3" s="290" t="s">
        <v>237</v>
      </c>
      <c r="Q3" s="290" t="s">
        <v>237</v>
      </c>
      <c r="R3" s="2745" t="s">
        <v>2629</v>
      </c>
      <c r="S3" s="290" t="s">
        <v>237</v>
      </c>
      <c r="T3" s="290" t="s">
        <v>238</v>
      </c>
      <c r="U3" s="290" t="s">
        <v>237</v>
      </c>
      <c r="V3" s="290" t="s">
        <v>239</v>
      </c>
      <c r="W3" s="290" t="s">
        <v>237</v>
      </c>
    </row>
    <row r="4" spans="1:23">
      <c r="A4" s="2779" t="s">
        <v>578</v>
      </c>
      <c r="B4" s="2779" t="s">
        <v>579</v>
      </c>
      <c r="C4" s="1752" t="s">
        <v>1872</v>
      </c>
      <c r="D4" s="290" t="s">
        <v>2037</v>
      </c>
      <c r="E4" s="290" t="s">
        <v>276</v>
      </c>
      <c r="F4" s="290" t="s">
        <v>277</v>
      </c>
      <c r="G4" s="290">
        <v>70</v>
      </c>
      <c r="H4" s="290" t="s">
        <v>278</v>
      </c>
      <c r="I4" s="290" t="s">
        <v>279</v>
      </c>
      <c r="K4" s="290" t="s">
        <v>240</v>
      </c>
      <c r="L4" s="290" t="s">
        <v>240</v>
      </c>
      <c r="M4" s="290" t="s">
        <v>240</v>
      </c>
      <c r="N4" s="290" t="s">
        <v>240</v>
      </c>
      <c r="O4" s="290" t="s">
        <v>240</v>
      </c>
      <c r="P4" s="290" t="s">
        <v>240</v>
      </c>
      <c r="Q4" s="290" t="s">
        <v>240</v>
      </c>
      <c r="R4" s="2745" t="s">
        <v>2632</v>
      </c>
      <c r="S4" s="290" t="s">
        <v>240</v>
      </c>
      <c r="T4" s="290" t="s">
        <v>241</v>
      </c>
      <c r="U4" s="290" t="s">
        <v>240</v>
      </c>
      <c r="W4" s="290" t="s">
        <v>240</v>
      </c>
    </row>
    <row r="5" spans="1:23">
      <c r="A5" s="2779" t="s">
        <v>580</v>
      </c>
      <c r="B5" s="2779" t="s">
        <v>581</v>
      </c>
      <c r="C5" s="1752" t="s">
        <v>1873</v>
      </c>
      <c r="F5" s="290" t="s">
        <v>242</v>
      </c>
      <c r="H5" s="290" t="s">
        <v>243</v>
      </c>
      <c r="I5" s="290" t="s">
        <v>244</v>
      </c>
      <c r="K5" s="290" t="s">
        <v>245</v>
      </c>
      <c r="L5" s="290" t="s">
        <v>245</v>
      </c>
      <c r="M5" s="290" t="s">
        <v>245</v>
      </c>
      <c r="N5" s="290" t="s">
        <v>245</v>
      </c>
      <c r="O5" s="290" t="s">
        <v>245</v>
      </c>
      <c r="P5" s="290" t="s">
        <v>245</v>
      </c>
      <c r="Q5" s="290" t="s">
        <v>245</v>
      </c>
      <c r="R5" s="2745" t="s">
        <v>2633</v>
      </c>
      <c r="S5" s="290" t="s">
        <v>245</v>
      </c>
      <c r="T5" s="290" t="s">
        <v>246</v>
      </c>
      <c r="U5" s="290" t="s">
        <v>245</v>
      </c>
      <c r="W5" s="290" t="s">
        <v>245</v>
      </c>
    </row>
    <row r="6" spans="1:23">
      <c r="A6" s="2779" t="s">
        <v>582</v>
      </c>
      <c r="B6" s="2780" t="s">
        <v>2674</v>
      </c>
      <c r="C6" s="1754" t="s">
        <v>162</v>
      </c>
      <c r="F6" s="290" t="s">
        <v>247</v>
      </c>
      <c r="H6" s="290" t="s">
        <v>248</v>
      </c>
      <c r="I6" s="290" t="s">
        <v>249</v>
      </c>
      <c r="K6" s="290" t="s">
        <v>250</v>
      </c>
      <c r="L6" s="290" t="s">
        <v>250</v>
      </c>
      <c r="M6" s="290" t="s">
        <v>250</v>
      </c>
      <c r="N6" s="290" t="s">
        <v>250</v>
      </c>
      <c r="O6" s="290" t="s">
        <v>250</v>
      </c>
      <c r="P6" s="290" t="s">
        <v>250</v>
      </c>
      <c r="Q6" s="290" t="s">
        <v>250</v>
      </c>
      <c r="R6" s="2745" t="s">
        <v>2634</v>
      </c>
      <c r="S6" s="290" t="s">
        <v>250</v>
      </c>
      <c r="T6" s="290"/>
      <c r="U6" s="290" t="s">
        <v>250</v>
      </c>
      <c r="W6" s="290" t="s">
        <v>250</v>
      </c>
    </row>
    <row r="7" spans="1:23">
      <c r="A7" s="2779" t="s">
        <v>584</v>
      </c>
      <c r="B7" s="2780" t="s">
        <v>2675</v>
      </c>
      <c r="C7" s="1752" t="s">
        <v>163</v>
      </c>
      <c r="F7" s="290" t="s">
        <v>251</v>
      </c>
      <c r="H7" s="290" t="s">
        <v>252</v>
      </c>
      <c r="I7" s="290" t="s">
        <v>253</v>
      </c>
    </row>
    <row r="8" spans="1:23">
      <c r="A8" s="2779" t="s">
        <v>586</v>
      </c>
      <c r="B8" s="2779" t="s">
        <v>583</v>
      </c>
      <c r="C8" s="1752" t="s">
        <v>1874</v>
      </c>
      <c r="F8" s="290" t="s">
        <v>280</v>
      </c>
      <c r="H8" s="290"/>
      <c r="I8" s="290" t="s">
        <v>281</v>
      </c>
    </row>
    <row r="9" spans="1:23">
      <c r="A9" s="2779" t="s">
        <v>588</v>
      </c>
      <c r="B9" s="2779" t="s">
        <v>585</v>
      </c>
      <c r="C9" s="1752" t="s">
        <v>1875</v>
      </c>
      <c r="F9" s="290" t="s">
        <v>282</v>
      </c>
      <c r="H9" s="290"/>
    </row>
    <row r="10" spans="1:23">
      <c r="A10" s="2779" t="s">
        <v>590</v>
      </c>
      <c r="B10" s="2779" t="s">
        <v>587</v>
      </c>
      <c r="C10" s="1752" t="s">
        <v>1876</v>
      </c>
      <c r="F10" s="290" t="s">
        <v>51</v>
      </c>
    </row>
    <row r="11" spans="1:23">
      <c r="A11" s="2779" t="s">
        <v>592</v>
      </c>
      <c r="B11" s="2779" t="s">
        <v>589</v>
      </c>
      <c r="C11" s="1752" t="s">
        <v>1877</v>
      </c>
    </row>
    <row r="12" spans="1:23">
      <c r="A12" s="2779" t="s">
        <v>594</v>
      </c>
      <c r="B12" s="2779" t="s">
        <v>591</v>
      </c>
      <c r="C12" s="1752" t="s">
        <v>1878</v>
      </c>
    </row>
    <row r="13" spans="1:23">
      <c r="A13" s="2779" t="s">
        <v>596</v>
      </c>
      <c r="B13" s="2779" t="s">
        <v>593</v>
      </c>
      <c r="C13" s="1752" t="s">
        <v>1879</v>
      </c>
    </row>
    <row r="14" spans="1:23">
      <c r="A14" s="2779" t="s">
        <v>598</v>
      </c>
      <c r="B14" s="2779" t="s">
        <v>595</v>
      </c>
      <c r="C14" s="290" t="s">
        <v>51</v>
      </c>
    </row>
    <row r="15" spans="1:23">
      <c r="A15" s="2779" t="s">
        <v>599</v>
      </c>
      <c r="B15" s="2779" t="s">
        <v>597</v>
      </c>
      <c r="C15" s="1755"/>
    </row>
    <row r="16" spans="1:23">
      <c r="A16" s="2779" t="s">
        <v>600</v>
      </c>
      <c r="B16" s="2779" t="s">
        <v>1860</v>
      </c>
      <c r="C16" s="1755"/>
    </row>
    <row r="17" spans="1:3">
      <c r="A17" s="2779" t="s">
        <v>601</v>
      </c>
      <c r="B17" s="2779" t="s">
        <v>3108</v>
      </c>
      <c r="C17" s="1755"/>
    </row>
    <row r="18" spans="1:3">
      <c r="A18" s="2779" t="s">
        <v>602</v>
      </c>
      <c r="B18" s="2779" t="s">
        <v>3109</v>
      </c>
      <c r="C18" s="1755"/>
    </row>
    <row r="19" spans="1:3">
      <c r="A19" s="2779" t="s">
        <v>603</v>
      </c>
      <c r="B19" s="2779" t="s">
        <v>1861</v>
      </c>
      <c r="C19" s="1755"/>
    </row>
    <row r="20" spans="1:3">
      <c r="A20" s="2779" t="s">
        <v>604</v>
      </c>
      <c r="B20" s="2779" t="s">
        <v>1861</v>
      </c>
      <c r="C20" s="1755"/>
    </row>
    <row r="21" spans="1:3">
      <c r="A21" s="2779" t="s">
        <v>605</v>
      </c>
      <c r="B21" s="2779" t="s">
        <v>1861</v>
      </c>
      <c r="C21" s="1755"/>
    </row>
    <row r="22" spans="1:3">
      <c r="A22" s="2779" t="s">
        <v>606</v>
      </c>
      <c r="B22" s="2779" t="s">
        <v>1861</v>
      </c>
      <c r="C22" s="1755"/>
    </row>
    <row r="23" spans="1:3">
      <c r="A23" s="2779" t="s">
        <v>607</v>
      </c>
      <c r="B23" s="2779" t="s">
        <v>1861</v>
      </c>
      <c r="C23" s="1755"/>
    </row>
    <row r="24" spans="1:3">
      <c r="A24" s="2779" t="s">
        <v>608</v>
      </c>
      <c r="B24" s="2779" t="s">
        <v>1861</v>
      </c>
      <c r="C24" s="1755"/>
    </row>
    <row r="25" spans="1:3">
      <c r="A25" s="2779" t="s">
        <v>609</v>
      </c>
      <c r="B25" s="2779" t="s">
        <v>1861</v>
      </c>
      <c r="C25" s="1755"/>
    </row>
    <row r="26" spans="1:3">
      <c r="A26" s="2779" t="s">
        <v>610</v>
      </c>
      <c r="B26" s="2779" t="s">
        <v>1861</v>
      </c>
      <c r="C26" s="1755"/>
    </row>
    <row r="27" spans="1:3">
      <c r="A27" s="2779" t="s">
        <v>1861</v>
      </c>
      <c r="B27" s="2779" t="s">
        <v>1861</v>
      </c>
      <c r="C27" s="1755"/>
    </row>
    <row r="28" spans="1:3">
      <c r="A28" s="2779" t="s">
        <v>1861</v>
      </c>
      <c r="B28" s="2779" t="s">
        <v>1861</v>
      </c>
      <c r="C28" s="1755"/>
    </row>
    <row r="29" spans="1:3">
      <c r="A29" s="2779" t="s">
        <v>1861</v>
      </c>
      <c r="B29" s="2779" t="s">
        <v>1861</v>
      </c>
      <c r="C29" s="1755"/>
    </row>
    <row r="30" spans="1:3">
      <c r="A30" s="2779" t="s">
        <v>1861</v>
      </c>
      <c r="B30" s="2779" t="s">
        <v>1861</v>
      </c>
      <c r="C30" s="1755"/>
    </row>
    <row r="31" spans="1:3">
      <c r="A31" s="2779" t="s">
        <v>1861</v>
      </c>
      <c r="B31" s="2779" t="s">
        <v>1861</v>
      </c>
      <c r="C31" s="1755"/>
    </row>
    <row r="32" spans="1:3">
      <c r="A32" s="2779" t="s">
        <v>1861</v>
      </c>
      <c r="B32" s="2779" t="s">
        <v>1861</v>
      </c>
      <c r="C32" s="1755"/>
    </row>
    <row r="33" spans="1:3">
      <c r="A33" s="2779" t="s">
        <v>1861</v>
      </c>
      <c r="B33" s="2779" t="s">
        <v>1861</v>
      </c>
      <c r="C33" s="1755"/>
    </row>
    <row r="34" spans="1:3">
      <c r="A34" s="2779" t="s">
        <v>1861</v>
      </c>
      <c r="B34" s="2779" t="s">
        <v>1861</v>
      </c>
      <c r="C34" s="1755"/>
    </row>
    <row r="35" spans="1:3">
      <c r="A35" s="2779" t="s">
        <v>1861</v>
      </c>
      <c r="B35" s="2779" t="s">
        <v>1861</v>
      </c>
      <c r="C35" s="1755"/>
    </row>
    <row r="36" spans="1:3">
      <c r="A36" s="2779" t="s">
        <v>1861</v>
      </c>
      <c r="B36" s="2779" t="s">
        <v>1861</v>
      </c>
      <c r="C36" s="1755"/>
    </row>
    <row r="37" spans="1:3">
      <c r="A37" s="2779" t="s">
        <v>1861</v>
      </c>
      <c r="B37" s="2779" t="s">
        <v>1861</v>
      </c>
      <c r="C37" s="1755"/>
    </row>
    <row r="38" spans="1:3">
      <c r="A38" s="2779" t="s">
        <v>1861</v>
      </c>
      <c r="B38" s="2779" t="s">
        <v>1861</v>
      </c>
      <c r="C38" s="1755"/>
    </row>
    <row r="39" spans="1:3">
      <c r="A39" s="2779" t="s">
        <v>1861</v>
      </c>
      <c r="B39" s="2779" t="s">
        <v>1861</v>
      </c>
      <c r="C39" s="1755"/>
    </row>
    <row r="40" spans="1:3">
      <c r="A40" s="2779" t="s">
        <v>1861</v>
      </c>
      <c r="B40" s="2779" t="s">
        <v>1861</v>
      </c>
      <c r="C40" s="1755"/>
    </row>
    <row r="41" spans="1:3">
      <c r="A41" s="2779" t="s">
        <v>1861</v>
      </c>
      <c r="B41" s="2779" t="s">
        <v>1861</v>
      </c>
      <c r="C41" s="1755"/>
    </row>
    <row r="42" spans="1:3">
      <c r="A42" s="2779" t="s">
        <v>1861</v>
      </c>
      <c r="B42" s="2779" t="s">
        <v>1861</v>
      </c>
      <c r="C42" s="1755"/>
    </row>
    <row r="43" spans="1:3">
      <c r="A43" s="2779" t="s">
        <v>1861</v>
      </c>
      <c r="B43" s="2779" t="s">
        <v>1861</v>
      </c>
      <c r="C43" s="1755"/>
    </row>
    <row r="44" spans="1:3">
      <c r="A44" s="2779" t="s">
        <v>1861</v>
      </c>
      <c r="B44" s="2779" t="s">
        <v>1861</v>
      </c>
      <c r="C44" s="1755"/>
    </row>
    <row r="45" spans="1:3">
      <c r="A45" s="2779" t="s">
        <v>1861</v>
      </c>
      <c r="B45" s="2779" t="s">
        <v>1861</v>
      </c>
      <c r="C45" s="1755"/>
    </row>
    <row r="46" spans="1:3">
      <c r="A46" s="2779" t="s">
        <v>1861</v>
      </c>
      <c r="B46" s="2779" t="s">
        <v>1861</v>
      </c>
      <c r="C46" s="1755"/>
    </row>
    <row r="47" spans="1:3">
      <c r="A47" s="2779" t="s">
        <v>1861</v>
      </c>
      <c r="B47" s="2779" t="s">
        <v>1861</v>
      </c>
      <c r="C47" s="1755"/>
    </row>
    <row r="48" spans="1:3">
      <c r="A48" s="2779" t="s">
        <v>1861</v>
      </c>
      <c r="B48" s="2779" t="s">
        <v>1861</v>
      </c>
      <c r="C48" s="1755"/>
    </row>
    <row r="49" spans="1:4">
      <c r="A49" s="2779" t="s">
        <v>1861</v>
      </c>
      <c r="B49" s="2779" t="s">
        <v>1861</v>
      </c>
      <c r="C49" s="1755"/>
    </row>
    <row r="50" spans="1:4">
      <c r="A50" s="2779" t="s">
        <v>1861</v>
      </c>
      <c r="B50" s="2779" t="s">
        <v>1861</v>
      </c>
      <c r="C50" s="1755"/>
    </row>
    <row r="51" spans="1:4">
      <c r="A51" s="1935" t="s">
        <v>2003</v>
      </c>
      <c r="B51" s="20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2076" t="s">
        <v>2860</v>
      </c>
    </row>
    <row r="52" spans="1:4">
      <c r="A52" s="1935" t="s">
        <v>2007</v>
      </c>
      <c r="B52" s="1935" t="s">
        <v>2008</v>
      </c>
      <c r="C52" s="1152" t="s">
        <v>2009</v>
      </c>
      <c r="D52" s="1152" t="s">
        <v>2010</v>
      </c>
    </row>
    <row r="53" spans="1:4">
      <c r="A53" s="3428" t="s">
        <v>2011</v>
      </c>
      <c r="B53" s="2076" t="s">
        <v>2012</v>
      </c>
      <c r="C53" s="11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8"/>
      <c r="B54" s="2076" t="s">
        <v>2013</v>
      </c>
      <c r="C54" s="1152" t="s">
        <v>2857</v>
      </c>
    </row>
    <row r="55" spans="1:4">
      <c r="A55" s="3428"/>
      <c r="B55" s="2076" t="s">
        <v>2014</v>
      </c>
      <c r="C55" s="1152" t="s">
        <v>2858</v>
      </c>
    </row>
    <row r="56" spans="1:4">
      <c r="A56" s="3428"/>
      <c r="B56" s="2076" t="s">
        <v>2015</v>
      </c>
      <c r="C56" s="1152" t="s">
        <v>2868</v>
      </c>
    </row>
    <row r="57" spans="1:4">
      <c r="A57" s="3428"/>
      <c r="B57" s="2076" t="s">
        <v>2016</v>
      </c>
      <c r="C57" s="1152" t="s">
        <v>2859</v>
      </c>
    </row>
    <row r="58" spans="1:4">
      <c r="A58" s="1151"/>
      <c r="B58" s="1152"/>
      <c r="C58" s="1152"/>
    </row>
    <row r="59" spans="1:4">
      <c r="A59" s="1151"/>
      <c r="B59" s="1152"/>
      <c r="C59" s="1152"/>
    </row>
    <row r="60" spans="1:4">
      <c r="A60" s="1151"/>
      <c r="B60" s="1152"/>
      <c r="C60" s="1152"/>
    </row>
    <row r="61" spans="1:4">
      <c r="A61" s="1151"/>
      <c r="B61" s="1152"/>
      <c r="C61" s="1152"/>
    </row>
    <row r="62" spans="1:4">
      <c r="A62" s="1151"/>
      <c r="B62" s="1152"/>
      <c r="C62" s="1152"/>
    </row>
    <row r="63" spans="1:4">
      <c r="A63" s="1151"/>
      <c r="B63" s="1152"/>
      <c r="C63" s="1152"/>
    </row>
    <row r="64" spans="1:4">
      <c r="A64" s="1151"/>
      <c r="B64" s="1152"/>
      <c r="C64" s="1152"/>
    </row>
    <row r="65" spans="1:3">
      <c r="A65" s="1151"/>
      <c r="B65" s="1152"/>
      <c r="C65" s="1152"/>
    </row>
    <row r="66" spans="1:3">
      <c r="A66" s="1151"/>
      <c r="B66" s="1152"/>
      <c r="C66" s="1152"/>
    </row>
    <row r="67" spans="1:3">
      <c r="A67" s="1151"/>
      <c r="B67" s="1152"/>
      <c r="C67" s="1152"/>
    </row>
    <row r="68" spans="1:3">
      <c r="A68" s="1151"/>
      <c r="B68" s="1152"/>
      <c r="C68" s="1152"/>
    </row>
    <row r="69" spans="1:3">
      <c r="A69" s="1151"/>
      <c r="B69" s="1152"/>
      <c r="C69" s="1152"/>
    </row>
    <row r="70" spans="1:3">
      <c r="A70" s="1151"/>
      <c r="B70" s="1152"/>
      <c r="C70" s="1152"/>
    </row>
    <row r="71" spans="1:3">
      <c r="A71" s="1151"/>
      <c r="B71" s="1152"/>
      <c r="C71" s="1152"/>
    </row>
    <row r="72" spans="1:3">
      <c r="A72" s="1151"/>
      <c r="B72" s="1152"/>
      <c r="C72" s="1152"/>
    </row>
    <row r="73" spans="1:3">
      <c r="A73" s="1151"/>
      <c r="B73" s="1152"/>
      <c r="C73" s="1152"/>
    </row>
    <row r="74" spans="1:3">
      <c r="A74" s="1151"/>
      <c r="B74" s="1152"/>
      <c r="C74" s="1152"/>
    </row>
    <row r="75" spans="1:3">
      <c r="A75" s="1151"/>
      <c r="B75" s="1152"/>
      <c r="C75" s="1152"/>
    </row>
    <row r="76" spans="1:3">
      <c r="A76" s="1151"/>
      <c r="B76" s="1152"/>
      <c r="C76" s="1152"/>
    </row>
    <row r="77" spans="1:3">
      <c r="A77" s="1151"/>
      <c r="B77" s="1152"/>
      <c r="C77" s="1152"/>
    </row>
    <row r="78" spans="1:3">
      <c r="A78" s="1151"/>
      <c r="B78" s="1152"/>
      <c r="C78" s="1152"/>
    </row>
    <row r="79" spans="1:3">
      <c r="A79" s="1151"/>
      <c r="B79" s="1152"/>
      <c r="C79" s="1152"/>
    </row>
    <row r="80" spans="1:3">
      <c r="A80" s="1151"/>
      <c r="B80" s="1152"/>
      <c r="C80" s="1152"/>
    </row>
    <row r="81" spans="1:3">
      <c r="A81" s="1151"/>
      <c r="B81" s="1152"/>
      <c r="C81" s="1152"/>
    </row>
    <row r="82" spans="1:3">
      <c r="A82" s="1151"/>
      <c r="B82" s="1152"/>
      <c r="C82" s="1152"/>
    </row>
    <row r="83" spans="1:3">
      <c r="A83" s="1151"/>
      <c r="B83" s="1152"/>
      <c r="C83" s="1152"/>
    </row>
    <row r="84" spans="1:3">
      <c r="A84" s="1151"/>
      <c r="B84" s="1152"/>
      <c r="C84" s="1152"/>
    </row>
    <row r="85" spans="1:3">
      <c r="A85" s="1151"/>
      <c r="B85" s="1152"/>
      <c r="C85" s="1152"/>
    </row>
    <row r="86" spans="1:3">
      <c r="A86" s="1151"/>
      <c r="B86" s="1152"/>
      <c r="C86" s="1152"/>
    </row>
    <row r="87" spans="1:3">
      <c r="A87" s="1151"/>
      <c r="B87" s="1152"/>
      <c r="C87" s="1152"/>
    </row>
    <row r="88" spans="1:3">
      <c r="A88" s="1151"/>
      <c r="B88" s="1152"/>
      <c r="C88" s="1152"/>
    </row>
    <row r="89" spans="1:3">
      <c r="A89" s="1151"/>
      <c r="B89" s="1152"/>
      <c r="C89" s="1152"/>
    </row>
    <row r="90" spans="1:3">
      <c r="A90" s="1151"/>
      <c r="B90" s="1152"/>
      <c r="C90" s="1152"/>
    </row>
    <row r="91" spans="1:3">
      <c r="A91" s="1151"/>
      <c r="B91" s="1152"/>
      <c r="C91" s="1152"/>
    </row>
    <row r="92" spans="1:3">
      <c r="A92" s="1151"/>
      <c r="B92" s="1152"/>
      <c r="C92" s="1152"/>
    </row>
    <row r="93" spans="1:3">
      <c r="A93" s="1151"/>
      <c r="B93" s="1152"/>
      <c r="C93" s="1152"/>
    </row>
    <row r="94" spans="1:3">
      <c r="A94" s="1151"/>
      <c r="B94" s="1152"/>
      <c r="C94" s="1152"/>
    </row>
    <row r="95" spans="1:3">
      <c r="A95" s="1151"/>
      <c r="B95" s="1152"/>
      <c r="C95" s="1152"/>
    </row>
    <row r="96" spans="1:3">
      <c r="A96" s="1151"/>
      <c r="B96" s="1152"/>
      <c r="C96" s="1152"/>
    </row>
    <row r="97" spans="1:3">
      <c r="A97" s="1151"/>
      <c r="B97" s="1152"/>
      <c r="C97" s="1152"/>
    </row>
    <row r="98" spans="1:3">
      <c r="A98" s="1151"/>
      <c r="B98" s="1152"/>
      <c r="C98" s="1152"/>
    </row>
    <row r="99" spans="1:3">
      <c r="A99" s="1151"/>
      <c r="B99" s="1152"/>
      <c r="C99" s="1152"/>
    </row>
    <row r="100" spans="1:3">
      <c r="A100" s="1151"/>
      <c r="B100" s="1152"/>
      <c r="C100" s="1152"/>
    </row>
    <row r="101" spans="1:3">
      <c r="A101" s="1151"/>
      <c r="B101" s="1152"/>
      <c r="C101" s="1152"/>
    </row>
    <row r="102" spans="1:3">
      <c r="A102" s="1151"/>
      <c r="B102" s="1152"/>
      <c r="C102" s="1152"/>
    </row>
    <row r="103" spans="1:3">
      <c r="A103" s="1151"/>
      <c r="B103" s="1152"/>
      <c r="C103" s="1152"/>
    </row>
    <row r="104" spans="1:3">
      <c r="A104" s="1151"/>
      <c r="B104" s="1152"/>
      <c r="C104" s="1152"/>
    </row>
    <row r="105" spans="1:3">
      <c r="A105" s="1151"/>
      <c r="B105" s="1152"/>
      <c r="C105" s="1152"/>
    </row>
    <row r="106" spans="1:3">
      <c r="A106" s="1151"/>
      <c r="B106" s="1152"/>
      <c r="C106" s="1152"/>
    </row>
    <row r="107" spans="1:3">
      <c r="A107" s="1151"/>
      <c r="B107" s="1152"/>
      <c r="C107" s="1152"/>
    </row>
    <row r="108" spans="1:3">
      <c r="A108" s="1151"/>
      <c r="B108" s="1152"/>
      <c r="C108" s="1152"/>
    </row>
    <row r="109" spans="1:3">
      <c r="A109" s="1151"/>
      <c r="B109" s="1152"/>
      <c r="C109" s="1152"/>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1193" customWidth="1"/>
    <col min="2" max="2" width="10" style="1193" customWidth="1"/>
    <col min="3" max="3" width="11.5" style="1193" customWidth="1"/>
    <col min="4" max="6" width="10" style="1193" customWidth="1"/>
    <col min="7" max="7" width="10.75" style="1193" customWidth="1"/>
    <col min="8" max="8" width="10" style="1193" customWidth="1"/>
    <col min="9" max="9" width="11.125" style="1153" customWidth="1"/>
    <col min="10" max="10" width="10" style="1193" customWidth="1"/>
    <col min="11" max="11" width="10" style="2088" customWidth="1"/>
    <col min="12" max="13" width="10" style="1990" customWidth="1"/>
    <col min="14" max="14" width="10" style="1193" customWidth="1"/>
    <col min="15" max="15" width="10" style="1153" customWidth="1"/>
    <col min="16" max="17" width="10" style="1193"/>
    <col min="18" max="18" width="10" style="1193" customWidth="1"/>
    <col min="19" max="16384" width="10" style="1193"/>
  </cols>
  <sheetData>
    <row r="1" spans="1:19" ht="38.25" customHeight="1" thickBot="1">
      <c r="A1" s="1927" t="s">
        <v>2118</v>
      </c>
      <c r="B1" s="3437" t="str">
        <f>IF(B10="北京市","北京市",C10)&amp;F10&amp;IF(结果表!G1="在建","出让国有建设用地使用权及在建建筑物",IF(结果表!G1="土地","出让国有建设用地使用权",))&amp;B9&amp;"预评估"</f>
        <v>北京市出让国有建设用地使用权房地产抵押价值预评估</v>
      </c>
      <c r="C1" s="3438"/>
      <c r="D1" s="3438"/>
      <c r="E1" s="3438"/>
      <c r="F1" s="3438"/>
      <c r="G1" s="3438"/>
      <c r="H1" s="3438"/>
      <c r="I1" s="3439"/>
      <c r="J1" s="1979"/>
      <c r="K1" s="2083"/>
      <c r="L1" s="1980"/>
      <c r="M1" s="1980"/>
      <c r="N1" s="1187"/>
      <c r="O1" s="11"/>
      <c r="P1" s="1187"/>
      <c r="Q1" s="1187"/>
      <c r="R1" s="1187"/>
      <c r="S1" s="1186" t="str">
        <f>IF(B10="北京市","北京市",C10)&amp;F10&amp;IF(结果表!G1="在建","出让国有建设用地使用权及在建建筑物房地产抵押价值",IF(结果表!G1="土地","出让国有建设用地使用权抵押价值",B9))</f>
        <v>北京市出让国有建设用地使用权抵押价值</v>
      </c>
    </row>
    <row r="2" spans="1:19" ht="18" customHeight="1">
      <c r="A2" s="1979" t="s">
        <v>2119</v>
      </c>
      <c r="B2" s="1926"/>
      <c r="C2" s="1981"/>
      <c r="D2" s="1979"/>
      <c r="E2" s="1982"/>
      <c r="F2" s="1982"/>
      <c r="G2" s="1979"/>
      <c r="H2" s="1979"/>
      <c r="I2" s="1979"/>
      <c r="J2" s="1979"/>
      <c r="K2" s="2083"/>
      <c r="L2" s="1980"/>
      <c r="M2" s="1980"/>
      <c r="N2" s="1187"/>
      <c r="O2" s="11"/>
      <c r="P2" s="1187"/>
      <c r="Q2" s="1187"/>
      <c r="R2" s="1187"/>
      <c r="S2" s="1186" t="str">
        <f>IF(B10="北京市","北京市",C10)&amp;F10&amp;IF(结果表!G1="在建","出让国有建设用地使用权及在建建筑物房地产",IF(结果表!G1="土地","出让国有建设用地使用权","房地产"))</f>
        <v>北京市出让国有建设用地使用权</v>
      </c>
    </row>
    <row r="3" spans="1:19" ht="18" customHeight="1">
      <c r="A3" s="1924" t="s">
        <v>1996</v>
      </c>
      <c r="B3" s="3214">
        <v>43006</v>
      </c>
      <c r="C3" s="1907" t="s">
        <v>1997</v>
      </c>
      <c r="D3" s="3214">
        <v>43006</v>
      </c>
      <c r="E3" s="1979"/>
      <c r="F3" s="1979"/>
      <c r="G3" s="1979"/>
      <c r="H3" s="1979"/>
      <c r="I3" s="1979"/>
      <c r="J3" s="1979"/>
      <c r="K3" s="2083"/>
      <c r="L3" s="1980"/>
      <c r="M3" s="1980"/>
      <c r="N3" s="1187"/>
      <c r="O3" s="11"/>
      <c r="P3" s="1187"/>
      <c r="Q3" s="1187"/>
      <c r="R3" s="1187"/>
      <c r="S3" s="1186"/>
    </row>
    <row r="4" spans="1:19" ht="18" customHeight="1" thickBot="1">
      <c r="A4" s="1908" t="s">
        <v>1998</v>
      </c>
      <c r="B4" s="1909" t="s">
        <v>3213</v>
      </c>
      <c r="C4" s="1910">
        <f ca="1">SUMIF(注册房地产估价师,B4,估价师及机构信息!B3:B24)</f>
        <v>1120000080</v>
      </c>
      <c r="D4" s="1909" t="s">
        <v>3214</v>
      </c>
      <c r="E4" s="1911">
        <f ca="1">SUMIF(注册房地产估价师,D4,估价师及机构信息!B3:B24)</f>
        <v>1119970066</v>
      </c>
      <c r="F4" s="1909" t="s">
        <v>528</v>
      </c>
      <c r="G4" s="1938">
        <f>SUMIF(注册房地产估价师,F4,估价师及机构信息!B3:B24)</f>
        <v>0</v>
      </c>
      <c r="H4" s="1909" t="s">
        <v>528</v>
      </c>
      <c r="I4" s="2868">
        <f>SUMIF(注册房地产估价师,H4,估价师及机构信息!B3:B24)</f>
        <v>0</v>
      </c>
      <c r="J4" s="1984"/>
      <c r="K4" s="2084" t="str">
        <f ca="1">CONCATENATE(B4,"（注册号：",C4,")、",D4,"（注册号：",E4,")")</f>
        <v>欧红伟（注册号：1120000080)、梁津（注册号：1119970066)</v>
      </c>
      <c r="L4" s="1980"/>
      <c r="M4" s="1980"/>
      <c r="N4" s="1187"/>
      <c r="O4" s="11"/>
      <c r="P4" s="1187"/>
      <c r="Q4" s="1187"/>
      <c r="R4" s="1187"/>
      <c r="S4" s="1186"/>
    </row>
    <row r="5" spans="1:19" ht="18" customHeight="1" thickTop="1">
      <c r="A5" s="1912" t="s">
        <v>2083</v>
      </c>
      <c r="B5" s="3269"/>
      <c r="C5" s="2022"/>
      <c r="D5" s="1985"/>
      <c r="E5" s="1984"/>
      <c r="F5" s="1984"/>
      <c r="G5" s="1984"/>
      <c r="H5" s="1984"/>
      <c r="I5" s="1984"/>
      <c r="J5" s="1984"/>
      <c r="K5" s="2084" t="str">
        <f>IF(F4="——","",IF(H4="——",F4&amp;"（注册号："&amp;G4&amp;")",CONCATENATE(F4,"（注册号：",G4,")、",H4,"（注册号：",I4,")")))</f>
        <v/>
      </c>
      <c r="L5" s="1980"/>
      <c r="M5" s="1980"/>
      <c r="N5" s="1187"/>
      <c r="O5" s="11"/>
      <c r="P5" s="1187"/>
      <c r="Q5" s="1187"/>
      <c r="R5" s="1187"/>
    </row>
    <row r="6" spans="1:19" ht="18" customHeight="1">
      <c r="A6" s="1913" t="s">
        <v>2084</v>
      </c>
      <c r="B6" s="2023"/>
      <c r="C6" s="2024"/>
      <c r="D6" s="1986"/>
      <c r="E6" s="1982"/>
      <c r="F6" s="1984"/>
      <c r="G6" s="1984"/>
      <c r="H6" s="1984"/>
      <c r="I6" s="1984"/>
      <c r="J6" s="1984"/>
      <c r="K6" s="2089" t="str">
        <f>IF(COUNTIF(B6,"*上海银行*"),"上海银行","")</f>
        <v/>
      </c>
      <c r="L6" s="1980"/>
      <c r="M6" s="1980"/>
      <c r="N6" s="1187"/>
      <c r="O6" s="11"/>
      <c r="P6" s="1187"/>
      <c r="Q6" s="1187"/>
      <c r="R6" s="1187"/>
    </row>
    <row r="7" spans="1:19" ht="18" customHeight="1">
      <c r="A7" s="1913" t="s">
        <v>2863</v>
      </c>
      <c r="B7" s="3270"/>
      <c r="C7" s="2024"/>
      <c r="D7" s="1986"/>
      <c r="E7" s="1982"/>
      <c r="F7" s="1984"/>
      <c r="G7" s="1984"/>
      <c r="H7" s="1984"/>
      <c r="I7" s="1984"/>
      <c r="J7" s="1984"/>
      <c r="K7" s="2085"/>
      <c r="L7" s="1980"/>
      <c r="M7" s="1980"/>
      <c r="N7" s="1187"/>
      <c r="O7" s="11"/>
      <c r="P7" s="1187"/>
      <c r="Q7" s="1187"/>
      <c r="R7" s="1187"/>
    </row>
    <row r="8" spans="1:19" ht="18" customHeight="1">
      <c r="A8" s="1913" t="s">
        <v>1948</v>
      </c>
      <c r="B8" s="2017" t="s">
        <v>3055</v>
      </c>
      <c r="C8" s="1987"/>
      <c r="D8" s="3440" t="s">
        <v>2006</v>
      </c>
      <c r="E8" s="2018" t="s">
        <v>3064</v>
      </c>
      <c r="F8" s="2019"/>
      <c r="G8" s="1979"/>
      <c r="H8" s="1979"/>
      <c r="I8" s="1979"/>
      <c r="J8" s="1984"/>
      <c r="K8" s="2084"/>
      <c r="L8" s="1980"/>
      <c r="M8" s="1980"/>
      <c r="N8" s="1187"/>
      <c r="O8" s="11"/>
      <c r="P8" s="1187"/>
      <c r="Q8" s="1187"/>
      <c r="R8" s="1187"/>
    </row>
    <row r="9" spans="1:19" ht="18" customHeight="1" thickBot="1">
      <c r="A9" s="1938" t="s">
        <v>1949</v>
      </c>
      <c r="B9" s="1939" t="s">
        <v>3064</v>
      </c>
      <c r="C9" s="1988"/>
      <c r="D9" s="3441"/>
      <c r="E9" s="1939"/>
      <c r="F9" s="2871"/>
      <c r="G9" s="1983"/>
      <c r="H9" s="1983"/>
      <c r="I9" s="1983"/>
      <c r="J9" s="1984"/>
      <c r="K9" s="2085"/>
      <c r="L9" s="1980"/>
      <c r="M9" s="1980"/>
      <c r="N9" s="1187"/>
      <c r="O9" s="11"/>
      <c r="P9" s="1187"/>
      <c r="Q9" s="1187"/>
      <c r="R9" s="1187"/>
    </row>
    <row r="10" spans="1:19" ht="18" customHeight="1" thickTop="1">
      <c r="A10" s="1993" t="s">
        <v>2055</v>
      </c>
      <c r="B10" s="2037" t="s">
        <v>3065</v>
      </c>
      <c r="C10" s="2020"/>
      <c r="D10" s="1985"/>
      <c r="E10" s="1923" t="s">
        <v>1950</v>
      </c>
      <c r="F10" s="1936"/>
      <c r="G10" s="2869"/>
      <c r="H10" s="2870"/>
      <c r="I10" s="1985"/>
      <c r="J10" s="1984"/>
      <c r="K10" s="2085"/>
      <c r="L10" s="1980"/>
      <c r="M10" s="1980"/>
      <c r="N10" s="1187"/>
      <c r="O10" s="11"/>
      <c r="P10" s="1187"/>
      <c r="Q10" s="1187"/>
      <c r="R10" s="1187"/>
    </row>
    <row r="11" spans="1:19" ht="18" customHeight="1">
      <c r="A11" s="1942" t="s">
        <v>2056</v>
      </c>
      <c r="B11" s="2036" t="s">
        <v>3066</v>
      </c>
      <c r="C11" s="2021"/>
      <c r="D11" s="1989"/>
      <c r="E11" s="1984"/>
      <c r="F11" s="1984"/>
      <c r="G11" s="1984"/>
      <c r="H11" s="1984"/>
      <c r="I11" s="1984"/>
      <c r="J11" s="1984"/>
      <c r="K11" s="2085"/>
      <c r="L11" s="1980"/>
      <c r="M11" s="1980"/>
      <c r="N11" s="1187"/>
      <c r="O11" s="11"/>
      <c r="P11" s="1187"/>
      <c r="Q11" s="1187"/>
      <c r="R11" s="1187"/>
    </row>
    <row r="12" spans="1:19" ht="18" customHeight="1">
      <c r="A12" s="2035" t="s">
        <v>2082</v>
      </c>
      <c r="B12" s="2036" t="s">
        <v>2017</v>
      </c>
      <c r="C12" s="1996" t="s">
        <v>2086</v>
      </c>
      <c r="D12" s="2007" t="s">
        <v>1942</v>
      </c>
      <c r="E12" s="2007" t="s">
        <v>2700</v>
      </c>
      <c r="F12" s="2007" t="s">
        <v>2701</v>
      </c>
      <c r="G12" s="2007" t="s">
        <v>2702</v>
      </c>
      <c r="H12" s="2007" t="s">
        <v>2703</v>
      </c>
      <c r="I12" s="2007" t="s">
        <v>2704</v>
      </c>
      <c r="J12" s="1984"/>
      <c r="K12" s="2085"/>
      <c r="L12" s="1980"/>
      <c r="M12" s="1980"/>
      <c r="N12" s="1187"/>
      <c r="O12" s="11"/>
      <c r="P12" s="1187"/>
      <c r="Q12" s="1187"/>
      <c r="R12" s="1187"/>
    </row>
    <row r="13" spans="1:19" ht="18" customHeight="1">
      <c r="A13" s="1992"/>
      <c r="B13" s="2065"/>
      <c r="C13" s="2066" t="s">
        <v>2085</v>
      </c>
      <c r="D13" s="3213">
        <v>68023</v>
      </c>
      <c r="E13" s="3213">
        <v>57066</v>
      </c>
      <c r="F13" s="3213">
        <v>60718</v>
      </c>
      <c r="G13" s="3213">
        <f>F13</f>
        <v>60718</v>
      </c>
      <c r="H13" s="3213">
        <f>G13</f>
        <v>60718</v>
      </c>
      <c r="I13" s="2031"/>
      <c r="J13" s="1984"/>
      <c r="K13" s="2085"/>
      <c r="L13" s="1980"/>
      <c r="M13" s="1980"/>
      <c r="N13" s="1187"/>
      <c r="O13" s="11"/>
      <c r="P13" s="1187"/>
      <c r="Q13" s="1187"/>
      <c r="R13" s="1187"/>
    </row>
    <row r="14" spans="1:19" ht="18" customHeight="1">
      <c r="A14" s="1992"/>
      <c r="B14" s="2065"/>
      <c r="C14" s="2066" t="s">
        <v>2087</v>
      </c>
      <c r="D14" s="2034">
        <v>70</v>
      </c>
      <c r="E14" s="2034">
        <v>40</v>
      </c>
      <c r="F14" s="2034">
        <v>50</v>
      </c>
      <c r="G14" s="2034">
        <v>50</v>
      </c>
      <c r="H14" s="2034">
        <v>50</v>
      </c>
      <c r="I14" s="2034"/>
      <c r="J14" s="1984"/>
      <c r="K14" s="2086"/>
      <c r="L14" s="1980"/>
      <c r="M14" s="1980"/>
      <c r="N14" s="1187"/>
      <c r="O14" s="11"/>
      <c r="P14" s="1187"/>
      <c r="Q14" s="1187"/>
      <c r="R14" s="1187"/>
    </row>
    <row r="15" spans="1:19" ht="18" customHeight="1">
      <c r="A15" s="1993"/>
      <c r="B15" s="2067"/>
      <c r="C15" s="2066" t="s">
        <v>2088</v>
      </c>
      <c r="D15" s="2033">
        <f>IF(B12="出让",IF(D13="","",ROUNDDOWN(MIN((D13-$D$3)/365,D14),2)),D14)</f>
        <v>68.53</v>
      </c>
      <c r="E15" s="2033">
        <f>IF(B12="出让",IF(E13="","",ROUNDDOWN(MIN((E13-$D$3)/365,E14),2)),E14)</f>
        <v>38.520000000000003</v>
      </c>
      <c r="F15" s="2033">
        <f>IF(B12="出让",IF(F13="","",ROUNDDOWN(MIN((F13-$D$3)/365,F14),2)),F14)</f>
        <v>48.52</v>
      </c>
      <c r="G15" s="2033">
        <f>IF(B12="出让",IF(G13="","",ROUNDDOWN(MIN((G13-$D$3)/365,G14),2)),G14)</f>
        <v>48.52</v>
      </c>
      <c r="H15" s="2033">
        <f>IF(B12="出让",IF(H13="","",ROUNDDOWN(MIN((H13-$D$3)/365,H14),2)),H14)</f>
        <v>48.52</v>
      </c>
      <c r="I15" s="2033" t="str">
        <f>IF(B12="出让",IF(I13="","",ROUNDDOWN(MIN((I13-$D$3)/365,I14),2)),I14)</f>
        <v/>
      </c>
      <c r="J15" s="1984"/>
      <c r="K15" s="2087"/>
      <c r="L15" s="1221"/>
      <c r="M15" s="1221"/>
      <c r="N15" s="2003"/>
      <c r="O15" s="1221"/>
      <c r="P15" s="2003"/>
      <c r="Q15" s="1187"/>
      <c r="R15" s="1187"/>
    </row>
    <row r="16" spans="1:19" ht="30.75" customHeight="1">
      <c r="A16" s="1923" t="s">
        <v>2089</v>
      </c>
      <c r="B16" s="3447"/>
      <c r="C16" s="3448"/>
      <c r="D16" s="3449"/>
      <c r="E16" s="1940" t="s">
        <v>2018</v>
      </c>
      <c r="F16" s="3450"/>
      <c r="G16" s="3451"/>
      <c r="H16" s="3451"/>
      <c r="I16" s="3452"/>
      <c r="J16" s="1187"/>
      <c r="K16" s="2087"/>
      <c r="L16" s="1221"/>
      <c r="M16" s="1221"/>
      <c r="N16" s="2003"/>
      <c r="O16" s="1221"/>
      <c r="P16" s="2003"/>
      <c r="Q16" s="1187"/>
      <c r="R16" s="1187"/>
    </row>
    <row r="17" spans="1:22" ht="18" customHeight="1">
      <c r="A17" s="1991" t="s">
        <v>1951</v>
      </c>
      <c r="B17" s="1924" t="s">
        <v>1952</v>
      </c>
      <c r="C17" s="2068">
        <f>'数据-汇总表'!E3</f>
        <v>43758.520000000004</v>
      </c>
      <c r="D17" s="1925" t="s">
        <v>1953</v>
      </c>
      <c r="E17" s="3453" t="s">
        <v>2005</v>
      </c>
      <c r="F17" s="3454"/>
      <c r="G17" s="3454"/>
      <c r="H17" s="3454"/>
      <c r="I17" s="3455"/>
      <c r="J17" s="1187"/>
      <c r="K17" s="2678"/>
      <c r="L17" s="1221"/>
      <c r="M17" s="1221"/>
      <c r="N17" s="2003"/>
      <c r="O17" s="1221"/>
      <c r="P17" s="2003"/>
      <c r="Q17" s="1187"/>
      <c r="R17" s="1187"/>
      <c r="S17" s="1187"/>
      <c r="T17" s="1187"/>
      <c r="U17" s="1187"/>
      <c r="V17" s="1187"/>
    </row>
    <row r="18" spans="1:22" ht="36" customHeight="1" thickBot="1">
      <c r="A18" s="2877" t="s">
        <v>2696</v>
      </c>
      <c r="B18" s="1908" t="s">
        <v>1954</v>
      </c>
      <c r="C18" s="2878">
        <f>'数据-汇总表'!D3</f>
        <v>10808.06</v>
      </c>
      <c r="D18" s="2879" t="s">
        <v>1953</v>
      </c>
      <c r="E18" s="3456" t="s">
        <v>3006</v>
      </c>
      <c r="F18" s="3457"/>
      <c r="G18" s="3457"/>
      <c r="H18" s="3457"/>
      <c r="I18" s="3458"/>
      <c r="J18" s="1187"/>
      <c r="K18" s="2678"/>
      <c r="L18" s="1221"/>
      <c r="M18" s="1221"/>
      <c r="N18" s="2003"/>
      <c r="O18" s="1221"/>
      <c r="P18" s="2003"/>
      <c r="Q18" s="1187"/>
      <c r="R18" s="1187"/>
      <c r="S18" s="1187"/>
      <c r="T18" s="1187"/>
      <c r="U18" s="1187"/>
      <c r="V18" s="1187"/>
    </row>
    <row r="19" spans="1:22" ht="37.5" customHeight="1" thickTop="1" thickBot="1">
      <c r="A19" s="2876" t="s">
        <v>2035</v>
      </c>
      <c r="B19" s="2042" t="s">
        <v>2036</v>
      </c>
      <c r="C19" s="2043" t="s">
        <v>3043</v>
      </c>
      <c r="D19" s="2026" t="s">
        <v>2039</v>
      </c>
      <c r="E19" s="2025"/>
      <c r="F19" s="2027" t="str">
        <f>IF(AND(C19="是",E19="否"),"是否提供他项权证或相关说明","")</f>
        <v/>
      </c>
      <c r="G19" s="2028"/>
      <c r="H19" s="1984"/>
      <c r="I19" s="1984"/>
      <c r="J19" s="1984"/>
      <c r="K19" s="2085"/>
      <c r="L19" s="1980"/>
      <c r="M19" s="1980"/>
      <c r="N19" s="2003"/>
      <c r="O19" s="1221"/>
      <c r="P19" s="2003"/>
      <c r="Q19" s="1187"/>
      <c r="R19" s="1187"/>
      <c r="S19" s="1187"/>
      <c r="T19" s="1187"/>
      <c r="U19" s="1187"/>
      <c r="V19" s="1187"/>
    </row>
    <row r="20" spans="1:22" ht="18" customHeight="1">
      <c r="A20" s="2044" t="s">
        <v>2040</v>
      </c>
      <c r="B20" s="3443" t="s">
        <v>2041</v>
      </c>
      <c r="C20" s="3444"/>
      <c r="D20" s="3445" t="s">
        <v>2042</v>
      </c>
      <c r="E20" s="3446"/>
      <c r="F20" s="2050" t="s">
        <v>2043</v>
      </c>
      <c r="G20" s="1984"/>
      <c r="H20" s="1984"/>
      <c r="I20" s="1984"/>
      <c r="J20" s="1984"/>
      <c r="K20" s="3442" t="s">
        <v>2038</v>
      </c>
      <c r="L20" s="25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1980"/>
      <c r="N20" s="2003"/>
      <c r="O20" s="1221"/>
      <c r="P20" s="2003"/>
      <c r="Q20" s="1187"/>
      <c r="R20" s="1187"/>
      <c r="S20" s="1187"/>
      <c r="T20" s="1187"/>
      <c r="U20" s="1187"/>
      <c r="V20" s="1187"/>
    </row>
    <row r="21" spans="1:22" ht="24.75" customHeight="1">
      <c r="A21" s="2044"/>
      <c r="B21" s="2045" t="s">
        <v>2044</v>
      </c>
      <c r="C21" s="2015" t="s">
        <v>2045</v>
      </c>
      <c r="D21" s="1973" t="s">
        <v>2048</v>
      </c>
      <c r="E21" s="2016" t="s">
        <v>2045</v>
      </c>
      <c r="F21" s="1962"/>
      <c r="G21" s="1984"/>
      <c r="H21" s="1984"/>
      <c r="I21" s="1984"/>
      <c r="J21" s="1984"/>
      <c r="K21" s="3442"/>
      <c r="L21" s="25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80"/>
      <c r="N21" s="2003"/>
      <c r="O21" s="1221"/>
      <c r="P21" s="2003"/>
      <c r="Q21" s="1187"/>
      <c r="R21" s="1187"/>
      <c r="S21" s="1187"/>
      <c r="T21" s="1187"/>
      <c r="U21" s="1187"/>
      <c r="V21" s="1187"/>
    </row>
    <row r="22" spans="1:22" ht="24.75" customHeight="1" thickBot="1">
      <c r="A22" s="2044"/>
      <c r="B22" s="2046" t="s">
        <v>2046</v>
      </c>
      <c r="C22" s="2015" t="s">
        <v>2047</v>
      </c>
      <c r="D22" s="1979"/>
      <c r="E22" s="1979"/>
      <c r="F22" s="2051"/>
      <c r="G22" s="1984"/>
      <c r="H22" s="1984"/>
      <c r="I22" s="1984"/>
      <c r="J22" s="1984"/>
      <c r="K22" s="3442"/>
      <c r="L22" s="25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0"/>
      <c r="N22" s="2003"/>
      <c r="O22" s="1221"/>
      <c r="P22" s="2003"/>
      <c r="Q22" s="1187"/>
      <c r="R22" s="1187"/>
      <c r="S22" s="1187"/>
      <c r="T22" s="1187"/>
      <c r="U22" s="1187"/>
      <c r="V22" s="1187"/>
    </row>
    <row r="23" spans="1:22" ht="18" customHeight="1">
      <c r="A23" s="1961" t="s">
        <v>2049</v>
      </c>
      <c r="B23" s="2047" t="s">
        <v>2050</v>
      </c>
      <c r="C23" s="2048"/>
      <c r="D23" s="1963" t="s">
        <v>2050</v>
      </c>
      <c r="E23" s="1971"/>
      <c r="F23" s="2051"/>
      <c r="G23" s="1984"/>
      <c r="H23" s="1984"/>
      <c r="I23" s="1984"/>
      <c r="J23" s="1984"/>
      <c r="K23" s="224"/>
      <c r="L23" s="2592"/>
      <c r="M23" s="1980"/>
      <c r="N23" s="2003"/>
      <c r="O23" s="1221"/>
      <c r="P23" s="2003"/>
      <c r="Q23" s="1187"/>
      <c r="R23" s="1187"/>
      <c r="S23" s="1187"/>
      <c r="T23" s="1187"/>
      <c r="U23" s="1187"/>
      <c r="V23" s="1187"/>
    </row>
    <row r="24" spans="1:22" ht="18" customHeight="1">
      <c r="A24" s="1964"/>
      <c r="B24" s="2047" t="s">
        <v>2051</v>
      </c>
      <c r="C24" s="2049"/>
      <c r="D24" s="1961" t="s">
        <v>2051</v>
      </c>
      <c r="E24" s="1972"/>
      <c r="F24" s="2051"/>
      <c r="G24" s="1984"/>
      <c r="H24" s="1984"/>
      <c r="I24" s="1984"/>
      <c r="J24" s="1984"/>
      <c r="K24" s="224"/>
      <c r="L24" s="2592"/>
      <c r="M24" s="1980"/>
      <c r="N24" s="2003"/>
      <c r="O24" s="1221"/>
      <c r="P24" s="2003"/>
      <c r="Q24" s="1187"/>
      <c r="R24" s="1187"/>
      <c r="S24" s="1187"/>
      <c r="T24" s="1187"/>
      <c r="U24" s="1187"/>
      <c r="V24" s="1187"/>
    </row>
    <row r="25" spans="1:22" ht="18" customHeight="1">
      <c r="A25" s="1964"/>
      <c r="B25" s="2047" t="s">
        <v>2052</v>
      </c>
      <c r="C25" s="2049"/>
      <c r="D25" s="1961" t="s">
        <v>2052</v>
      </c>
      <c r="E25" s="1972"/>
      <c r="F25" s="2051"/>
      <c r="G25" s="1984"/>
      <c r="H25" s="1984"/>
      <c r="I25" s="1984"/>
      <c r="J25" s="1984"/>
      <c r="K25" s="2085"/>
      <c r="L25" s="1980"/>
      <c r="M25" s="1980"/>
      <c r="N25" s="2003"/>
      <c r="O25" s="1221"/>
      <c r="P25" s="2003"/>
      <c r="Q25" s="1187"/>
      <c r="R25" s="1187"/>
      <c r="S25" s="1187"/>
      <c r="T25" s="1187"/>
      <c r="U25" s="1187"/>
      <c r="V25" s="1187"/>
    </row>
    <row r="26" spans="1:22" ht="18" customHeight="1" thickBot="1">
      <c r="A26" s="2039"/>
      <c r="B26" s="2052" t="s">
        <v>2053</v>
      </c>
      <c r="C26" s="2053"/>
      <c r="D26" s="2041" t="s">
        <v>2053</v>
      </c>
      <c r="E26" s="2040"/>
      <c r="F26" s="2054"/>
      <c r="G26" s="1983"/>
      <c r="H26" s="1983"/>
      <c r="I26" s="1983"/>
      <c r="J26" s="1984"/>
      <c r="K26" s="2085"/>
      <c r="L26" s="1980"/>
      <c r="M26" s="1980"/>
      <c r="N26" s="2003"/>
      <c r="O26" s="1221"/>
      <c r="P26" s="2003"/>
      <c r="Q26" s="1187"/>
      <c r="R26" s="1187"/>
      <c r="S26" s="1187"/>
      <c r="T26" s="1187"/>
      <c r="U26" s="1187"/>
      <c r="V26" s="1187"/>
    </row>
    <row r="27" spans="1:22" ht="18" customHeight="1" thickTop="1">
      <c r="A27" s="3430" t="s">
        <v>2057</v>
      </c>
      <c r="B27" s="1993" t="s">
        <v>2058</v>
      </c>
      <c r="C27" s="1914" t="s">
        <v>3126</v>
      </c>
      <c r="D27" s="1915"/>
      <c r="E27" s="1984"/>
      <c r="F27" s="1984"/>
      <c r="G27" s="1984"/>
      <c r="H27" s="1984"/>
      <c r="I27" s="1984"/>
      <c r="J27" s="1187"/>
      <c r="K27" s="2087"/>
      <c r="L27" s="1221"/>
      <c r="M27" s="1221"/>
      <c r="N27" s="2003"/>
      <c r="O27" s="1221"/>
      <c r="P27" s="2003"/>
      <c r="Q27" s="1187"/>
      <c r="R27" s="1187"/>
      <c r="S27" s="1187"/>
      <c r="T27" s="1187"/>
      <c r="U27" s="1187"/>
      <c r="V27" s="1187"/>
    </row>
    <row r="28" spans="1:22" ht="18" customHeight="1">
      <c r="A28" s="3430"/>
      <c r="B28" s="1924" t="s">
        <v>2059</v>
      </c>
      <c r="C28" s="1916"/>
      <c r="D28" s="1917"/>
      <c r="E28" s="1984"/>
      <c r="F28" s="1984"/>
      <c r="G28" s="1984"/>
      <c r="H28" s="1984"/>
      <c r="I28" s="1984"/>
      <c r="J28" s="1187"/>
      <c r="K28" s="2091"/>
      <c r="L28" s="1980"/>
      <c r="M28" s="1980"/>
      <c r="N28" s="1187"/>
      <c r="O28" s="11"/>
      <c r="P28" s="1187"/>
      <c r="Q28" s="1187"/>
      <c r="R28" s="1187"/>
      <c r="S28" s="1187"/>
      <c r="T28" s="1187"/>
      <c r="U28" s="1187"/>
      <c r="V28" s="1187"/>
    </row>
    <row r="29" spans="1:22" ht="18" customHeight="1">
      <c r="A29" s="3430"/>
      <c r="B29" s="1924" t="s">
        <v>2060</v>
      </c>
      <c r="C29" s="1918" t="s">
        <v>3127</v>
      </c>
      <c r="D29" s="1919"/>
      <c r="E29" s="1984"/>
      <c r="F29" s="1984"/>
      <c r="G29" s="1984"/>
      <c r="H29" s="1984"/>
      <c r="I29" s="1984"/>
      <c r="J29" s="1187"/>
      <c r="K29" s="2091"/>
      <c r="L29" s="1980"/>
      <c r="M29" s="1980"/>
      <c r="N29" s="1187"/>
      <c r="O29" s="11"/>
      <c r="P29" s="1187"/>
      <c r="Q29" s="1187"/>
      <c r="R29" s="1187"/>
      <c r="S29" s="1187"/>
      <c r="T29" s="1187"/>
      <c r="U29" s="1187"/>
      <c r="V29" s="1187"/>
    </row>
    <row r="30" spans="1:22" ht="18" customHeight="1">
      <c r="A30" s="3431"/>
      <c r="B30" s="1924" t="s">
        <v>2061</v>
      </c>
      <c r="C30" s="3432" t="s">
        <v>3129</v>
      </c>
      <c r="D30" s="3433"/>
      <c r="E30" s="1984"/>
      <c r="F30" s="1984"/>
      <c r="G30" s="1984"/>
      <c r="H30" s="1984"/>
      <c r="I30" s="1984"/>
      <c r="J30" s="1187"/>
      <c r="K30" s="2091"/>
      <c r="L30" s="1980"/>
      <c r="M30" s="1980"/>
      <c r="N30" s="1187"/>
      <c r="O30" s="11"/>
      <c r="P30" s="1187"/>
      <c r="Q30" s="1187"/>
      <c r="R30" s="1187"/>
      <c r="S30" s="1187"/>
      <c r="T30" s="1187"/>
      <c r="U30" s="1187"/>
      <c r="V30" s="1187"/>
    </row>
    <row r="31" spans="1:22" ht="18" customHeight="1">
      <c r="A31" s="3434" t="s">
        <v>2062</v>
      </c>
      <c r="B31" s="1920" t="s">
        <v>3130</v>
      </c>
      <c r="C31" s="1921" t="str">
        <f>IF(B31="现房","成新及维护状况正常否",IF(B31="在建","工程状态是否正常",IF(B31="土地","是否闲置","-")))</f>
        <v>工程状态是否正常</v>
      </c>
      <c r="D31" s="1994"/>
      <c r="E31" s="1922"/>
      <c r="F31" s="1984"/>
      <c r="G31" s="1984"/>
      <c r="H31" s="1984"/>
      <c r="I31" s="1984"/>
      <c r="J31" s="1984"/>
      <c r="K31" s="2089"/>
      <c r="L31" s="1980"/>
      <c r="M31" s="1980"/>
      <c r="N31" s="1187"/>
      <c r="O31" s="11"/>
      <c r="P31" s="1187"/>
      <c r="Q31" s="1187"/>
      <c r="R31" s="1187"/>
      <c r="S31" s="1187"/>
      <c r="T31" s="1187"/>
      <c r="U31" s="1187"/>
      <c r="V31" s="1187"/>
    </row>
    <row r="32" spans="1:22" ht="18" customHeight="1">
      <c r="A32" s="3435"/>
      <c r="B32" s="1920"/>
      <c r="C32" s="1921" t="str">
        <f>IF(B32="现房","成新及维护状况是否正常",IF(B32="在建","工程状态是否正常",IF(B32="土地","是否闲置","-")))</f>
        <v>-</v>
      </c>
      <c r="D32" s="1994"/>
      <c r="E32" s="1922"/>
      <c r="F32" s="1984"/>
      <c r="G32" s="1984"/>
      <c r="H32" s="1984"/>
      <c r="I32" s="1984"/>
      <c r="J32" s="1984"/>
      <c r="K32" s="2085"/>
      <c r="L32" s="1980"/>
      <c r="M32" s="1980"/>
      <c r="N32" s="1187"/>
      <c r="O32" s="11"/>
      <c r="P32" s="1187"/>
      <c r="Q32" s="1187"/>
      <c r="R32" s="1187"/>
      <c r="S32" s="1187"/>
      <c r="T32" s="1187"/>
      <c r="U32" s="1187"/>
      <c r="V32" s="1187"/>
    </row>
    <row r="33" spans="1:22" ht="18" customHeight="1">
      <c r="A33" s="3435"/>
      <c r="B33" s="1941"/>
      <c r="C33" s="1942" t="str">
        <f>IF(B33="现房","成新及维护状况是否正常",IF(B33="在建","工程状态是否正常",IF(B33="土地","是否闲置","-")))</f>
        <v>-</v>
      </c>
      <c r="D33" s="1995"/>
      <c r="E33" s="1943"/>
      <c r="F33" s="1984"/>
      <c r="G33" s="1984"/>
      <c r="H33" s="1984"/>
      <c r="I33" s="1984"/>
      <c r="J33" s="1984"/>
      <c r="K33" s="2085"/>
      <c r="L33" s="1980"/>
      <c r="M33" s="1980"/>
      <c r="N33" s="1187"/>
      <c r="O33" s="11"/>
      <c r="P33" s="1187"/>
      <c r="Q33" s="1187"/>
      <c r="R33" s="1187"/>
      <c r="S33" s="1187"/>
      <c r="T33" s="1187"/>
      <c r="U33" s="1187"/>
      <c r="V33" s="1187"/>
    </row>
    <row r="34" spans="1:22" ht="18" customHeight="1">
      <c r="A34" s="1924" t="s">
        <v>2019</v>
      </c>
      <c r="B34" s="3344" t="s">
        <v>3057</v>
      </c>
      <c r="C34" s="3344" t="s">
        <v>3058</v>
      </c>
      <c r="D34" s="3344" t="s">
        <v>3059</v>
      </c>
      <c r="E34" s="3344" t="s">
        <v>3060</v>
      </c>
      <c r="F34" s="3344" t="s">
        <v>3061</v>
      </c>
      <c r="G34" s="1944" t="s">
        <v>3062</v>
      </c>
      <c r="H34" s="1944"/>
      <c r="I34" s="1984"/>
      <c r="J34" s="1984"/>
      <c r="K34" s="2866">
        <f>COUNTIF(B34:H34,"——")</f>
        <v>0</v>
      </c>
      <c r="L34" s="1996" t="s">
        <v>2091</v>
      </c>
      <c r="M34" s="1996" t="s">
        <v>2092</v>
      </c>
      <c r="N34" s="1996" t="s">
        <v>2093</v>
      </c>
      <c r="O34" s="1996" t="s">
        <v>2094</v>
      </c>
      <c r="P34" s="1996" t="s">
        <v>2095</v>
      </c>
      <c r="Q34" s="1996" t="s">
        <v>2096</v>
      </c>
      <c r="R34" s="1996" t="s">
        <v>2097</v>
      </c>
      <c r="S34" s="3429" t="s">
        <v>2098</v>
      </c>
      <c r="T34" s="1997" t="str">
        <f>NUMBERSTRING(7-K34,1)&amp;"通"</f>
        <v>七通</v>
      </c>
      <c r="U34" s="1187"/>
      <c r="V34" s="1187"/>
    </row>
    <row r="35" spans="1:22" ht="18" customHeight="1">
      <c r="A35" s="1998"/>
      <c r="B35" s="3436" t="s">
        <v>1867</v>
      </c>
      <c r="C35" s="3436"/>
      <c r="D35" s="3436"/>
      <c r="E35" s="3436"/>
      <c r="F35" s="1999">
        <f>C10</f>
        <v>0</v>
      </c>
      <c r="G35" s="1984"/>
      <c r="H35" s="1984"/>
      <c r="I35" s="1984"/>
      <c r="J35" s="1984"/>
      <c r="K35" s="1996"/>
      <c r="L35" s="199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29"/>
      <c r="T35" s="23" t="str">
        <f>IF(T34="一通",L35,IF(T34="二通",M35,IF(T34="三通",N35,IF(T34="四通",O35,IF(T34="五通",P35,IF(T34="六通",Q35,R35))))))</f>
        <v>通路、通电、通上水、通下水、通讯、燃气、</v>
      </c>
      <c r="U35" s="1187"/>
      <c r="V35" s="1187"/>
    </row>
    <row r="36" spans="1:22" ht="18" customHeight="1">
      <c r="A36" s="2000"/>
      <c r="B36" s="1999" t="s">
        <v>1947</v>
      </c>
      <c r="C36" s="1999" t="s">
        <v>1943</v>
      </c>
      <c r="D36" s="1999" t="s">
        <v>1942</v>
      </c>
      <c r="E36" s="1999" t="s">
        <v>1944</v>
      </c>
      <c r="F36" s="2001"/>
      <c r="G36" s="1984"/>
      <c r="H36" s="1984"/>
      <c r="I36" s="1984"/>
      <c r="J36" s="1984"/>
      <c r="K36" s="2085"/>
      <c r="L36" s="1980"/>
      <c r="M36" s="1980"/>
      <c r="N36" s="1187"/>
      <c r="O36" s="11"/>
      <c r="P36" s="1187"/>
      <c r="Q36" s="1187"/>
      <c r="R36" s="1187"/>
      <c r="S36" s="1187"/>
      <c r="T36" s="1187"/>
      <c r="U36" s="1187"/>
      <c r="V36" s="1187"/>
    </row>
    <row r="37" spans="1:22" ht="18" customHeight="1">
      <c r="A37" s="2002" t="s">
        <v>1866</v>
      </c>
      <c r="B37" s="3342" t="s">
        <v>1535</v>
      </c>
      <c r="C37" s="3342" t="s">
        <v>1535</v>
      </c>
      <c r="D37" s="3342" t="s">
        <v>1535</v>
      </c>
      <c r="E37" s="3342" t="s">
        <v>1535</v>
      </c>
      <c r="F37" s="2001"/>
      <c r="G37" s="1984"/>
      <c r="H37" s="1984"/>
      <c r="I37" s="1984"/>
      <c r="J37" s="1984"/>
      <c r="K37" s="2085"/>
      <c r="L37" s="1980"/>
      <c r="M37" s="1980"/>
      <c r="N37" s="1187"/>
      <c r="O37" s="11"/>
      <c r="P37" s="1187"/>
      <c r="Q37" s="1187"/>
      <c r="R37" s="1187"/>
      <c r="S37" s="1187"/>
      <c r="T37" s="1187"/>
      <c r="U37" s="1187"/>
      <c r="V37" s="1187"/>
    </row>
    <row r="38" spans="1:22" ht="18" customHeight="1" thickBot="1">
      <c r="A38" s="2029" t="s">
        <v>1868</v>
      </c>
      <c r="B38" s="3342" t="s">
        <v>3056</v>
      </c>
      <c r="C38" s="3342" t="s">
        <v>3056</v>
      </c>
      <c r="D38" s="3342" t="s">
        <v>3056</v>
      </c>
      <c r="E38" s="3343" t="s">
        <v>3056</v>
      </c>
      <c r="F38" s="2030"/>
      <c r="G38" s="1983"/>
      <c r="H38" s="1983"/>
      <c r="I38" s="1983"/>
      <c r="J38" s="1984"/>
      <c r="K38" s="2085"/>
      <c r="L38" s="1980"/>
      <c r="M38" s="1980"/>
      <c r="N38" s="1187"/>
      <c r="O38" s="11"/>
      <c r="P38" s="1187"/>
      <c r="Q38" s="1187"/>
      <c r="R38" s="1187"/>
      <c r="S38" s="1187"/>
      <c r="T38" s="1187"/>
      <c r="U38" s="1187"/>
      <c r="V38" s="1187"/>
    </row>
    <row r="39" spans="1:22" s="3289" customFormat="1" ht="18" customHeight="1" thickTop="1" thickBot="1">
      <c r="A39" s="3290" t="s">
        <v>3021</v>
      </c>
      <c r="B39" s="3286"/>
      <c r="C39" s="3286"/>
      <c r="D39" s="3286"/>
      <c r="E39" s="3286"/>
      <c r="F39" s="3286"/>
      <c r="G39" s="3286"/>
      <c r="H39" s="3286"/>
      <c r="I39" s="3286"/>
      <c r="J39" s="3286"/>
      <c r="K39" s="3287"/>
      <c r="L39" s="3286"/>
      <c r="M39" s="3286"/>
      <c r="N39" s="3286"/>
      <c r="O39" s="3288"/>
      <c r="P39" s="3286"/>
      <c r="Q39" s="3286"/>
      <c r="R39" s="3286"/>
      <c r="S39" s="3286"/>
      <c r="T39" s="3286"/>
      <c r="U39" s="3286"/>
      <c r="V39" s="3286"/>
    </row>
    <row r="40" spans="1:22" ht="18" customHeight="1">
      <c r="A40" s="1187"/>
      <c r="B40" s="1187"/>
      <c r="C40" s="1187"/>
      <c r="D40" s="1187"/>
      <c r="E40" s="1187"/>
      <c r="F40" s="1187"/>
      <c r="G40" s="1187"/>
      <c r="H40" s="1187"/>
      <c r="I40" s="1208"/>
      <c r="J40" s="2003"/>
      <c r="K40" s="2090"/>
      <c r="L40" s="1221"/>
      <c r="M40" s="1221"/>
      <c r="N40" s="2003"/>
      <c r="O40" s="1221"/>
      <c r="P40" s="1187"/>
      <c r="Q40" s="1187"/>
      <c r="R40" s="1187"/>
      <c r="S40" s="1187"/>
      <c r="T40" s="1187"/>
      <c r="U40" s="1187"/>
      <c r="V40" s="1187"/>
    </row>
    <row r="41" spans="1:22" ht="18" customHeight="1">
      <c r="A41" s="2004" t="s">
        <v>2063</v>
      </c>
      <c r="B41" s="2005"/>
      <c r="C41" s="2006"/>
      <c r="D41" s="1187"/>
      <c r="E41" s="1187"/>
      <c r="F41" s="1187"/>
      <c r="G41" s="1187"/>
      <c r="H41" s="1187"/>
      <c r="I41" s="11"/>
      <c r="J41" s="1187"/>
      <c r="K41" s="2091"/>
      <c r="L41" s="1980"/>
      <c r="M41" s="1980"/>
      <c r="N41" s="1187"/>
      <c r="O41" s="11"/>
      <c r="P41" s="1187"/>
      <c r="Q41" s="1187"/>
      <c r="R41" s="1187"/>
      <c r="S41" s="1187"/>
      <c r="T41" s="1187"/>
      <c r="U41" s="1187"/>
      <c r="V41" s="1187"/>
    </row>
    <row r="42" spans="1:22" ht="18" customHeight="1">
      <c r="A42" s="1996" t="s">
        <v>2064</v>
      </c>
      <c r="B42" s="1970" t="s">
        <v>2065</v>
      </c>
      <c r="C42" s="1970" t="s">
        <v>2066</v>
      </c>
      <c r="D42" s="1970" t="s">
        <v>2067</v>
      </c>
      <c r="E42" s="1970" t="s">
        <v>2068</v>
      </c>
      <c r="F42" s="1970" t="s">
        <v>2069</v>
      </c>
      <c r="G42" s="1970" t="s">
        <v>2070</v>
      </c>
      <c r="H42" s="1970" t="s">
        <v>2071</v>
      </c>
      <c r="I42" s="1970" t="s">
        <v>2072</v>
      </c>
      <c r="J42" s="2081" t="s">
        <v>2073</v>
      </c>
      <c r="K42" s="2007" t="s">
        <v>2074</v>
      </c>
      <c r="L42" s="2007" t="s">
        <v>2075</v>
      </c>
      <c r="M42" s="2007" t="s">
        <v>2076</v>
      </c>
      <c r="N42" s="1970" t="s">
        <v>2077</v>
      </c>
      <c r="O42" s="1970" t="s">
        <v>2078</v>
      </c>
      <c r="P42" s="1970" t="s">
        <v>2079</v>
      </c>
      <c r="Q42" s="1996" t="s">
        <v>2080</v>
      </c>
      <c r="R42" s="1996" t="s">
        <v>2081</v>
      </c>
      <c r="S42" s="1187"/>
      <c r="T42" s="1187"/>
      <c r="U42" s="1187"/>
      <c r="V42" s="1187"/>
    </row>
    <row r="43" spans="1:22" s="2222" customFormat="1" ht="18" customHeight="1">
      <c r="A43" s="1406"/>
      <c r="B43" s="214"/>
      <c r="C43" s="214"/>
      <c r="D43" s="214"/>
      <c r="E43" s="214"/>
      <c r="F43" s="214"/>
      <c r="G43" s="214"/>
      <c r="H43" s="2"/>
      <c r="I43" s="2"/>
      <c r="J43" s="9"/>
      <c r="K43" s="4"/>
      <c r="L43" s="4"/>
      <c r="M43" s="2"/>
      <c r="N43" s="214"/>
      <c r="O43" s="2"/>
      <c r="P43" s="214"/>
      <c r="Q43" s="214"/>
      <c r="R43" s="214"/>
      <c r="S43" s="3223"/>
      <c r="T43" s="3223"/>
      <c r="U43" s="3223"/>
      <c r="V43" s="3223"/>
    </row>
    <row r="44" spans="1:22" s="2222" customFormat="1" ht="18" customHeight="1">
      <c r="A44" s="1406"/>
      <c r="B44" s="1406"/>
      <c r="C44" s="214"/>
      <c r="D44" s="214"/>
      <c r="E44" s="214"/>
      <c r="F44" s="214"/>
      <c r="G44" s="214"/>
      <c r="H44" s="2"/>
      <c r="I44" s="2"/>
      <c r="J44" s="9"/>
      <c r="K44" s="4"/>
      <c r="L44" s="4"/>
      <c r="M44" s="2"/>
      <c r="N44" s="214"/>
      <c r="O44" s="2"/>
      <c r="P44" s="214"/>
      <c r="Q44" s="214"/>
      <c r="R44" s="214"/>
      <c r="S44" s="3223"/>
      <c r="T44" s="3223"/>
      <c r="U44" s="3223"/>
      <c r="V44" s="3223"/>
    </row>
    <row r="45" spans="1:22" s="2222" customFormat="1" ht="18" customHeight="1">
      <c r="A45" s="1406"/>
      <c r="B45" s="1406"/>
      <c r="C45" s="214"/>
      <c r="D45" s="214"/>
      <c r="E45" s="214"/>
      <c r="F45" s="214"/>
      <c r="G45" s="214"/>
      <c r="H45" s="2"/>
      <c r="I45" s="2"/>
      <c r="J45" s="9"/>
      <c r="K45" s="4"/>
      <c r="L45" s="4"/>
      <c r="M45" s="2"/>
      <c r="N45" s="214"/>
      <c r="O45" s="2"/>
      <c r="P45" s="214"/>
      <c r="Q45" s="214"/>
      <c r="R45" s="214"/>
      <c r="S45" s="3223"/>
      <c r="T45" s="3223"/>
      <c r="U45" s="3223"/>
      <c r="V45" s="3223"/>
    </row>
    <row r="46" spans="1:22" s="2222" customFormat="1" ht="18" customHeight="1">
      <c r="A46" s="1406"/>
      <c r="B46" s="1406"/>
      <c r="C46" s="214"/>
      <c r="D46" s="214"/>
      <c r="E46" s="214"/>
      <c r="F46" s="214"/>
      <c r="G46" s="214"/>
      <c r="H46" s="2"/>
      <c r="I46" s="2"/>
      <c r="J46" s="9"/>
      <c r="K46" s="4"/>
      <c r="L46" s="4"/>
      <c r="M46" s="2"/>
      <c r="N46" s="214"/>
      <c r="O46" s="2"/>
      <c r="P46" s="214"/>
      <c r="Q46" s="214"/>
      <c r="R46" s="214"/>
      <c r="S46" s="3223"/>
      <c r="T46" s="3223"/>
      <c r="U46" s="3223"/>
      <c r="V46" s="3223"/>
    </row>
    <row r="47" spans="1:22" s="2222" customFormat="1" ht="18" customHeight="1">
      <c r="A47" s="1406"/>
      <c r="B47" s="1406"/>
      <c r="C47" s="214"/>
      <c r="D47" s="214"/>
      <c r="E47" s="214"/>
      <c r="F47" s="214"/>
      <c r="G47" s="214"/>
      <c r="H47" s="2"/>
      <c r="I47" s="2"/>
      <c r="J47" s="9"/>
      <c r="K47" s="4"/>
      <c r="L47" s="4"/>
      <c r="M47" s="2"/>
      <c r="N47" s="214"/>
      <c r="O47" s="2"/>
      <c r="P47" s="214"/>
      <c r="Q47" s="214"/>
      <c r="R47" s="214"/>
      <c r="S47" s="3223"/>
      <c r="T47" s="3223"/>
      <c r="U47" s="3223"/>
      <c r="V47" s="3223"/>
    </row>
    <row r="48" spans="1:22" s="2222" customFormat="1" ht="18" customHeight="1">
      <c r="A48" s="1406"/>
      <c r="B48" s="1406"/>
      <c r="C48" s="214"/>
      <c r="D48" s="214"/>
      <c r="E48" s="214"/>
      <c r="F48" s="214"/>
      <c r="G48" s="214"/>
      <c r="H48" s="2"/>
      <c r="I48" s="2"/>
      <c r="J48" s="9"/>
      <c r="K48" s="4"/>
      <c r="L48" s="4"/>
      <c r="M48" s="2"/>
      <c r="N48" s="214"/>
      <c r="O48" s="2"/>
      <c r="P48" s="214"/>
      <c r="Q48" s="214"/>
      <c r="R48" s="214"/>
      <c r="S48" s="3223"/>
      <c r="T48" s="3223"/>
      <c r="U48" s="3223"/>
      <c r="V48" s="3223"/>
    </row>
    <row r="49" spans="1:22" s="2222" customFormat="1" ht="18" customHeight="1">
      <c r="A49" s="1406"/>
      <c r="B49" s="1406"/>
      <c r="C49" s="214"/>
      <c r="D49" s="214"/>
      <c r="E49" s="214"/>
      <c r="F49" s="214"/>
      <c r="G49" s="214"/>
      <c r="H49" s="2"/>
      <c r="I49" s="2"/>
      <c r="J49" s="9"/>
      <c r="K49" s="4"/>
      <c r="L49" s="4"/>
      <c r="M49" s="2"/>
      <c r="N49" s="214"/>
      <c r="O49" s="2"/>
      <c r="P49" s="214"/>
      <c r="Q49" s="214"/>
      <c r="R49" s="214"/>
      <c r="S49" s="3223"/>
      <c r="T49" s="3223"/>
      <c r="U49" s="3223"/>
      <c r="V49" s="3223"/>
    </row>
    <row r="50" spans="1:22" s="2222" customFormat="1" ht="18" customHeight="1">
      <c r="A50" s="1406"/>
      <c r="B50" s="1406"/>
      <c r="C50" s="214"/>
      <c r="D50" s="214"/>
      <c r="E50" s="214"/>
      <c r="F50" s="214"/>
      <c r="G50" s="214"/>
      <c r="H50" s="2"/>
      <c r="I50" s="2"/>
      <c r="J50" s="9"/>
      <c r="K50" s="4"/>
      <c r="L50" s="4"/>
      <c r="M50" s="2"/>
      <c r="N50" s="214"/>
      <c r="O50" s="2"/>
      <c r="P50" s="214"/>
      <c r="Q50" s="214"/>
      <c r="R50" s="214"/>
      <c r="S50" s="3223"/>
      <c r="T50" s="3223"/>
      <c r="U50" s="3223"/>
      <c r="V50" s="3223"/>
    </row>
    <row r="51" spans="1:22" s="2222" customFormat="1" ht="18" customHeight="1">
      <c r="A51" s="1406"/>
      <c r="B51" s="1406"/>
      <c r="C51" s="214"/>
      <c r="D51" s="214"/>
      <c r="E51" s="214"/>
      <c r="F51" s="214"/>
      <c r="G51" s="214"/>
      <c r="H51" s="2"/>
      <c r="I51" s="2"/>
      <c r="J51" s="9"/>
      <c r="K51" s="4"/>
      <c r="L51" s="4"/>
      <c r="M51" s="2"/>
      <c r="N51" s="214"/>
      <c r="O51" s="2"/>
      <c r="P51" s="214"/>
      <c r="Q51" s="214"/>
      <c r="R51" s="214"/>
    </row>
    <row r="52" spans="1:22" s="2222" customFormat="1" ht="18" customHeight="1">
      <c r="A52" s="2008"/>
      <c r="B52" s="2008"/>
      <c r="C52" s="2008"/>
      <c r="D52" s="2008"/>
      <c r="E52" s="2008"/>
      <c r="F52" s="2"/>
      <c r="G52" s="2008"/>
      <c r="H52" s="2008"/>
      <c r="I52" s="2008"/>
      <c r="J52" s="2082"/>
      <c r="K52" s="4"/>
      <c r="L52" s="4"/>
      <c r="M52" s="4"/>
      <c r="N52" s="2008"/>
      <c r="O52" s="2008"/>
      <c r="P52" s="2008"/>
      <c r="Q52" s="2008"/>
      <c r="R52" s="2008"/>
    </row>
    <row r="53" spans="1:22" s="2222" customFormat="1" ht="18" customHeight="1">
      <c r="A53" s="2008"/>
      <c r="B53" s="2008"/>
      <c r="C53" s="2008"/>
      <c r="D53" s="2008"/>
      <c r="E53" s="2008"/>
      <c r="F53" s="2"/>
      <c r="G53" s="2008"/>
      <c r="H53" s="2008"/>
      <c r="I53" s="2008"/>
      <c r="J53" s="2082"/>
      <c r="K53" s="4"/>
      <c r="L53" s="4"/>
      <c r="M53" s="4"/>
      <c r="N53" s="2008"/>
      <c r="O53" s="2008"/>
      <c r="P53" s="2008"/>
      <c r="Q53" s="2008"/>
      <c r="R53" s="2008"/>
    </row>
    <row r="54" spans="1:22" s="2222" customFormat="1" ht="18" customHeight="1">
      <c r="A54" s="2008"/>
      <c r="B54" s="2008"/>
      <c r="C54" s="2008"/>
      <c r="D54" s="2008"/>
      <c r="E54" s="2008"/>
      <c r="F54" s="2"/>
      <c r="G54" s="2008"/>
      <c r="H54" s="2008"/>
      <c r="I54" s="2008"/>
      <c r="J54" s="2082"/>
      <c r="K54" s="4"/>
      <c r="L54" s="4"/>
      <c r="M54" s="4"/>
      <c r="N54" s="2008"/>
      <c r="O54" s="2008"/>
      <c r="P54" s="2008"/>
      <c r="Q54" s="2008"/>
      <c r="R54" s="2008"/>
    </row>
    <row r="55" spans="1:22" s="2222" customFormat="1" ht="18" customHeight="1">
      <c r="A55" s="2008"/>
      <c r="B55" s="2008"/>
      <c r="C55" s="2008"/>
      <c r="D55" s="2008"/>
      <c r="E55" s="2008"/>
      <c r="F55" s="2"/>
      <c r="G55" s="2008"/>
      <c r="H55" s="2008"/>
      <c r="I55" s="2008"/>
      <c r="J55" s="2082"/>
      <c r="K55" s="4"/>
      <c r="L55" s="4"/>
      <c r="M55" s="4"/>
      <c r="N55" s="2008"/>
      <c r="O55" s="2008"/>
      <c r="P55" s="2008"/>
      <c r="Q55" s="2008"/>
      <c r="R55" s="2008"/>
    </row>
    <row r="56" spans="1:22" s="2222" customFormat="1" ht="18" customHeight="1">
      <c r="A56" s="2008"/>
      <c r="B56" s="2008"/>
      <c r="C56" s="2008"/>
      <c r="D56" s="2008"/>
      <c r="E56" s="2008"/>
      <c r="F56" s="2"/>
      <c r="G56" s="2008"/>
      <c r="H56" s="2008"/>
      <c r="I56" s="2008"/>
      <c r="J56" s="2082"/>
      <c r="K56" s="4"/>
      <c r="L56" s="4"/>
      <c r="M56" s="4"/>
      <c r="N56" s="2008"/>
      <c r="O56" s="2008"/>
      <c r="P56" s="2008"/>
      <c r="Q56" s="2008"/>
      <c r="R56" s="200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T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3.5"/>
  <cols>
    <col min="1" max="1" width="10.625" style="1153" customWidth="1"/>
    <col min="2" max="2" width="11" style="1153" customWidth="1"/>
    <col min="3" max="3" width="10.375" style="1153" customWidth="1"/>
    <col min="4" max="4" width="9.125" style="1153" customWidth="1"/>
    <col min="5" max="6" width="10" style="1166" customWidth="1"/>
    <col min="7" max="8" width="10" style="1153" customWidth="1"/>
    <col min="9" max="9" width="10.625" style="1153" customWidth="1"/>
    <col min="10" max="10" width="9.5" style="1153" customWidth="1"/>
    <col min="11" max="11" width="11" style="1153" customWidth="1"/>
    <col min="12" max="14" width="9.5" style="1153" customWidth="1"/>
    <col min="15" max="15" width="9.875" style="1153" customWidth="1"/>
    <col min="16" max="16" width="9.75" style="1153" customWidth="1"/>
    <col min="17" max="17" width="9.375" style="1153" customWidth="1"/>
    <col min="18" max="18" width="9.25" style="1153" customWidth="1"/>
    <col min="19" max="19" width="10.875" style="1153" customWidth="1"/>
    <col min="20" max="21" width="10.75" style="1153" customWidth="1"/>
    <col min="22" max="22" width="10.875" style="1153" customWidth="1"/>
    <col min="23" max="27" width="10.75" style="1153" customWidth="1"/>
    <col min="28" max="28" width="10.875" style="1153" customWidth="1"/>
    <col min="29" max="29" width="11" style="1153" bestFit="1" customWidth="1"/>
    <col min="30" max="30" width="10" style="1153" bestFit="1" customWidth="1"/>
    <col min="31" max="31" width="9.75" style="1153" customWidth="1"/>
    <col min="32" max="46" width="9.5" style="1153" customWidth="1"/>
    <col min="47" max="47" width="18.125" style="1153" customWidth="1"/>
    <col min="48" max="50" width="9.75" style="1153" customWidth="1"/>
    <col min="51" max="55" width="10.5" style="1153" bestFit="1" customWidth="1"/>
    <col min="56" max="56" width="9.5" style="1153" bestFit="1" customWidth="1"/>
    <col min="57" max="63" width="9.125" style="1153" bestFit="1" customWidth="1"/>
    <col min="64" max="64" width="9.5" style="1153" bestFit="1" customWidth="1"/>
    <col min="65" max="65" width="9.125" style="1153" bestFit="1" customWidth="1"/>
    <col min="66" max="66" width="9.5" style="1153" bestFit="1" customWidth="1"/>
    <col min="67" max="69" width="9.125" style="1153" bestFit="1" customWidth="1"/>
    <col min="70" max="70" width="9.5" style="1153" bestFit="1" customWidth="1"/>
    <col min="71" max="71" width="9" style="1153" customWidth="1"/>
    <col min="72" max="72" width="9.125" style="1153" bestFit="1" customWidth="1"/>
    <col min="73" max="16384" width="8.875" style="1153"/>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5" customFormat="1" ht="24">
      <c r="A2" s="82" t="s">
        <v>613</v>
      </c>
      <c r="B2" s="82" t="s">
        <v>614</v>
      </c>
      <c r="C2" s="82" t="s">
        <v>615</v>
      </c>
      <c r="D2" s="1154"/>
      <c r="E2" s="239"/>
      <c r="F2" s="227"/>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2501" t="s">
        <v>2399</v>
      </c>
      <c r="AZ2" s="2502" t="s">
        <v>2400</v>
      </c>
      <c r="BA2" s="2503" t="s">
        <v>2401</v>
      </c>
      <c r="BB2" s="1154"/>
      <c r="BC2" s="1154"/>
      <c r="BD2" s="1154"/>
      <c r="BE2" s="1154"/>
      <c r="BF2" s="1154"/>
      <c r="BG2" s="1154"/>
      <c r="BH2" s="1154"/>
      <c r="BI2" s="1154"/>
      <c r="BJ2" s="1154"/>
      <c r="BK2" s="1154"/>
      <c r="BL2" s="1154"/>
      <c r="BM2" s="1154"/>
      <c r="BN2" s="1154"/>
      <c r="BO2" s="1154"/>
      <c r="BP2" s="1154"/>
      <c r="BQ2" s="1154"/>
      <c r="BR2" s="1154"/>
      <c r="BS2" s="1154"/>
      <c r="BT2" s="1154"/>
    </row>
    <row r="3" spans="1:72" s="1155" customFormat="1" ht="12.75">
      <c r="A3" s="299">
        <v>32834.559999999998</v>
      </c>
      <c r="B3" s="300">
        <f>IF(C3="否",G5-AT5,G5)</f>
        <v>43758.520000000004</v>
      </c>
      <c r="C3" s="217" t="s">
        <v>41</v>
      </c>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54"/>
      <c r="AW3" s="1154"/>
      <c r="AX3" s="1154"/>
      <c r="AY3" s="2504">
        <f>ROUND(G5/(123207.72-10539-12)*'数据-汇总表'!F36,2)</f>
        <v>10808.06</v>
      </c>
      <c r="AZ3" s="2505"/>
      <c r="BA3" s="2506"/>
      <c r="BB3" s="1154"/>
      <c r="BC3" s="1154"/>
      <c r="BD3" s="1154"/>
      <c r="BE3" s="1154"/>
      <c r="BF3" s="1154"/>
      <c r="BG3" s="1154"/>
      <c r="BH3" s="1154"/>
      <c r="BI3" s="1154"/>
      <c r="BJ3" s="1154"/>
      <c r="BK3" s="1154"/>
      <c r="BL3" s="1154"/>
      <c r="BM3" s="1154"/>
      <c r="BN3" s="1154"/>
      <c r="BO3" s="1154"/>
      <c r="BP3" s="1154"/>
      <c r="BQ3" s="1154"/>
      <c r="BR3" s="1154"/>
      <c r="BS3" s="1154"/>
      <c r="BT3" s="1154"/>
    </row>
    <row r="4" spans="1:72" s="1160" customFormat="1" ht="12.75" thickBot="1">
      <c r="A4" s="1157"/>
      <c r="B4" s="1158"/>
      <c r="C4" s="1159"/>
      <c r="D4" s="1154"/>
      <c r="E4" s="1154"/>
      <c r="F4" s="1154"/>
      <c r="G4" s="1154"/>
      <c r="H4" s="1154"/>
      <c r="I4" s="1154"/>
      <c r="J4" s="1154"/>
      <c r="K4" s="1154"/>
      <c r="L4" s="1154"/>
      <c r="M4" s="1154"/>
      <c r="N4" s="1154"/>
      <c r="O4" s="1154"/>
      <c r="P4" s="1154"/>
      <c r="Q4" s="1154"/>
      <c r="R4" s="1154"/>
      <c r="S4" s="1154"/>
      <c r="T4" s="1154"/>
      <c r="U4" s="1154"/>
      <c r="V4" s="1154"/>
      <c r="W4" s="1154"/>
      <c r="X4" s="1154"/>
      <c r="Y4" s="1154"/>
      <c r="Z4" s="1154"/>
      <c r="AA4" s="1154"/>
      <c r="AB4" s="1154"/>
      <c r="AC4" s="1154"/>
      <c r="AD4" s="1154"/>
      <c r="AE4" s="1154"/>
      <c r="AF4" s="1154"/>
      <c r="AG4" s="1154"/>
      <c r="AH4" s="1154"/>
      <c r="AI4" s="1154"/>
      <c r="AJ4" s="1154"/>
      <c r="AK4" s="1154"/>
      <c r="AL4" s="1154"/>
      <c r="AM4" s="1154"/>
      <c r="AN4" s="1154"/>
      <c r="AO4" s="1154"/>
      <c r="AP4" s="1154"/>
      <c r="AQ4" s="1154"/>
      <c r="AR4" s="1154"/>
      <c r="AS4" s="1154"/>
      <c r="AT4" s="1154"/>
      <c r="AU4" s="1154"/>
      <c r="AV4" s="1154"/>
      <c r="AW4" s="1154"/>
      <c r="AX4" s="1154"/>
      <c r="AY4" s="1154"/>
      <c r="AZ4" s="1154"/>
      <c r="BA4" s="1156"/>
      <c r="BB4" s="1154"/>
      <c r="BC4" s="1154"/>
      <c r="BD4" s="1154"/>
      <c r="BE4" s="1154"/>
      <c r="BF4" s="1154"/>
      <c r="BG4" s="1154"/>
      <c r="BH4" s="1154"/>
      <c r="BI4" s="1154"/>
      <c r="BJ4" s="1154"/>
      <c r="BK4" s="1154"/>
      <c r="BL4" s="1154"/>
      <c r="BM4" s="1154"/>
      <c r="BN4" s="1154"/>
      <c r="BO4" s="1154"/>
      <c r="BP4" s="1154"/>
      <c r="BQ4" s="1154"/>
      <c r="BR4" s="1154"/>
      <c r="BS4" s="1154"/>
      <c r="BT4" s="1154"/>
    </row>
    <row r="5" spans="1:72" s="1155" customFormat="1" ht="12.75">
      <c r="A5" s="83" t="s">
        <v>616</v>
      </c>
      <c r="B5" s="218"/>
      <c r="C5" s="218"/>
      <c r="D5" s="216"/>
      <c r="E5" s="303" t="s">
        <v>23</v>
      </c>
      <c r="F5" s="303">
        <f>SUM(F13:F587)</f>
        <v>0</v>
      </c>
      <c r="G5" s="303">
        <f>SUM(G13:G587)</f>
        <v>43758.520000000004</v>
      </c>
      <c r="H5" s="303">
        <f t="shared" ref="H5:AT5" si="0">SUM(H13:H656)</f>
        <v>43568.520000000004</v>
      </c>
      <c r="I5" s="303">
        <f t="shared" si="0"/>
        <v>14740.03</v>
      </c>
      <c r="J5" s="303">
        <f t="shared" si="0"/>
        <v>0</v>
      </c>
      <c r="K5" s="303">
        <f t="shared" si="0"/>
        <v>18516.330000000002</v>
      </c>
      <c r="L5" s="303">
        <f t="shared" si="0"/>
        <v>0</v>
      </c>
      <c r="M5" s="303">
        <f t="shared" si="0"/>
        <v>10312.16</v>
      </c>
      <c r="N5" s="303">
        <f t="shared" si="0"/>
        <v>0</v>
      </c>
      <c r="O5" s="303">
        <f t="shared" si="0"/>
        <v>0</v>
      </c>
      <c r="P5" s="303">
        <f t="shared" si="0"/>
        <v>0</v>
      </c>
      <c r="Q5" s="303">
        <f t="shared" si="0"/>
        <v>0</v>
      </c>
      <c r="R5" s="303">
        <f t="shared" si="0"/>
        <v>0</v>
      </c>
      <c r="S5" s="303">
        <f t="shared" si="0"/>
        <v>0</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190</v>
      </c>
      <c r="AD5" s="303">
        <f t="shared" si="0"/>
        <v>20</v>
      </c>
      <c r="AE5" s="303">
        <f t="shared" si="0"/>
        <v>0</v>
      </c>
      <c r="AF5" s="303">
        <f t="shared" si="0"/>
        <v>0</v>
      </c>
      <c r="AG5" s="303">
        <f t="shared" si="0"/>
        <v>0</v>
      </c>
      <c r="AH5" s="303">
        <f t="shared" si="0"/>
        <v>50</v>
      </c>
      <c r="AI5" s="303">
        <f t="shared" si="0"/>
        <v>0</v>
      </c>
      <c r="AJ5" s="303">
        <f t="shared" si="0"/>
        <v>0</v>
      </c>
      <c r="AK5" s="303">
        <f t="shared" si="0"/>
        <v>0</v>
      </c>
      <c r="AL5" s="303">
        <f t="shared" si="0"/>
        <v>120</v>
      </c>
      <c r="AM5" s="303">
        <f t="shared" si="0"/>
        <v>0</v>
      </c>
      <c r="AN5" s="303">
        <f t="shared" si="0"/>
        <v>0</v>
      </c>
      <c r="AO5" s="303">
        <f t="shared" si="0"/>
        <v>0</v>
      </c>
      <c r="AP5" s="303">
        <f t="shared" si="0"/>
        <v>0</v>
      </c>
      <c r="AQ5" s="303">
        <f t="shared" si="0"/>
        <v>0</v>
      </c>
      <c r="AR5" s="303">
        <f t="shared" si="0"/>
        <v>0</v>
      </c>
      <c r="AS5" s="303">
        <f t="shared" si="0"/>
        <v>0</v>
      </c>
      <c r="AT5" s="303">
        <f t="shared" si="0"/>
        <v>0</v>
      </c>
      <c r="AU5" s="219"/>
      <c r="AV5" s="83" t="s">
        <v>616</v>
      </c>
      <c r="AW5" s="218"/>
      <c r="AX5" s="218"/>
      <c r="AY5" s="304" t="s">
        <v>29</v>
      </c>
      <c r="AZ5" s="305">
        <f t="shared" ref="AZ5:BT5" si="1">SUM(AZ13:AZ656)</f>
        <v>43758.520000000004</v>
      </c>
      <c r="BA5" s="305">
        <f t="shared" si="1"/>
        <v>43568.520000000004</v>
      </c>
      <c r="BB5" s="305">
        <f t="shared" si="1"/>
        <v>14740.03</v>
      </c>
      <c r="BC5" s="305">
        <f t="shared" si="1"/>
        <v>18516.330000000002</v>
      </c>
      <c r="BD5" s="305">
        <f t="shared" si="1"/>
        <v>10312.16</v>
      </c>
      <c r="BE5" s="305">
        <f t="shared" si="1"/>
        <v>0</v>
      </c>
      <c r="BF5" s="305">
        <f t="shared" si="1"/>
        <v>0</v>
      </c>
      <c r="BG5" s="305">
        <f t="shared" si="1"/>
        <v>0</v>
      </c>
      <c r="BH5" s="305">
        <f t="shared" si="1"/>
        <v>0</v>
      </c>
      <c r="BI5" s="305">
        <f t="shared" si="1"/>
        <v>0</v>
      </c>
      <c r="BJ5" s="305">
        <f t="shared" si="1"/>
        <v>0</v>
      </c>
      <c r="BK5" s="305">
        <f t="shared" si="1"/>
        <v>0</v>
      </c>
      <c r="BL5" s="305">
        <f t="shared" si="1"/>
        <v>190</v>
      </c>
      <c r="BM5" s="305">
        <f t="shared" si="1"/>
        <v>20</v>
      </c>
      <c r="BN5" s="305">
        <f t="shared" si="1"/>
        <v>0</v>
      </c>
      <c r="BO5" s="305">
        <f t="shared" si="1"/>
        <v>50</v>
      </c>
      <c r="BP5" s="305">
        <f t="shared" si="1"/>
        <v>0</v>
      </c>
      <c r="BQ5" s="305">
        <f t="shared" si="1"/>
        <v>120</v>
      </c>
      <c r="BR5" s="305">
        <f t="shared" si="1"/>
        <v>0</v>
      </c>
      <c r="BS5" s="305">
        <f t="shared" si="1"/>
        <v>0</v>
      </c>
      <c r="BT5" s="306">
        <f t="shared" si="1"/>
        <v>0</v>
      </c>
    </row>
    <row r="6" spans="1:72" s="1161" customFormat="1" ht="12.75">
      <c r="A6" s="83" t="s">
        <v>617</v>
      </c>
      <c r="B6" s="221"/>
      <c r="C6" s="221"/>
      <c r="D6" s="222"/>
      <c r="E6" s="303">
        <f>H6+AC6+AT6</f>
        <v>32834.560000000005</v>
      </c>
      <c r="F6" s="303" t="s">
        <v>23</v>
      </c>
      <c r="G6" s="303" t="s">
        <v>25</v>
      </c>
      <c r="H6" s="307">
        <f>SUMIF(I$12:AB$12,"总值",I6:AB6)</f>
        <v>32691.99</v>
      </c>
      <c r="I6" s="303">
        <f t="shared" ref="I6:AB6" si="2">ROUND($A$3*I5/$B$3,2)</f>
        <v>11060.3</v>
      </c>
      <c r="J6" s="303">
        <f t="shared" si="2"/>
        <v>0</v>
      </c>
      <c r="K6" s="303">
        <f t="shared" si="2"/>
        <v>13893.88</v>
      </c>
      <c r="L6" s="303">
        <f t="shared" si="2"/>
        <v>0</v>
      </c>
      <c r="M6" s="303">
        <f t="shared" si="2"/>
        <v>7737.81</v>
      </c>
      <c r="N6" s="303">
        <f t="shared" si="2"/>
        <v>0</v>
      </c>
      <c r="O6" s="303">
        <f t="shared" si="2"/>
        <v>0</v>
      </c>
      <c r="P6" s="303">
        <f t="shared" si="2"/>
        <v>0</v>
      </c>
      <c r="Q6" s="303">
        <f t="shared" si="2"/>
        <v>0</v>
      </c>
      <c r="R6" s="303">
        <f t="shared" si="2"/>
        <v>0</v>
      </c>
      <c r="S6" s="303">
        <f t="shared" si="2"/>
        <v>0</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142.57</v>
      </c>
      <c r="AD6" s="303">
        <f t="shared" ref="AD6:AS6" si="3">ROUND($A$3*AD5/$B$3,2)</f>
        <v>15.01</v>
      </c>
      <c r="AE6" s="303">
        <f t="shared" si="3"/>
        <v>0</v>
      </c>
      <c r="AF6" s="303">
        <f t="shared" si="3"/>
        <v>0</v>
      </c>
      <c r="AG6" s="303">
        <f t="shared" si="3"/>
        <v>0</v>
      </c>
      <c r="AH6" s="303">
        <f t="shared" si="3"/>
        <v>37.520000000000003</v>
      </c>
      <c r="AI6" s="303">
        <f t="shared" si="3"/>
        <v>0</v>
      </c>
      <c r="AJ6" s="303">
        <f t="shared" si="3"/>
        <v>0</v>
      </c>
      <c r="AK6" s="303">
        <f t="shared" si="3"/>
        <v>0</v>
      </c>
      <c r="AL6" s="303">
        <f t="shared" si="3"/>
        <v>90.04</v>
      </c>
      <c r="AM6" s="303">
        <f t="shared" si="3"/>
        <v>0</v>
      </c>
      <c r="AN6" s="303">
        <f t="shared" si="3"/>
        <v>0</v>
      </c>
      <c r="AO6" s="303">
        <f t="shared" si="3"/>
        <v>0</v>
      </c>
      <c r="AP6" s="303">
        <f t="shared" si="3"/>
        <v>0</v>
      </c>
      <c r="AQ6" s="303">
        <f t="shared" si="3"/>
        <v>0</v>
      </c>
      <c r="AR6" s="303">
        <f t="shared" si="3"/>
        <v>0</v>
      </c>
      <c r="AS6" s="303">
        <f t="shared" si="3"/>
        <v>0</v>
      </c>
      <c r="AT6" s="307">
        <f>IF(C3="是",ROUND($A$3*AT5/$B$3,2),0)</f>
        <v>0</v>
      </c>
      <c r="AU6" s="223"/>
      <c r="AV6" s="83" t="s">
        <v>617</v>
      </c>
      <c r="AW6" s="221"/>
      <c r="AX6" s="221"/>
      <c r="AY6" s="308">
        <f>IF(AY3&gt;0,AY3,ROUND($A$3*AZ5/$B$3,2))</f>
        <v>10808.06</v>
      </c>
      <c r="AZ6" s="303" t="s">
        <v>29</v>
      </c>
      <c r="BA6" s="303">
        <f>ROUND($AY$6*BA5/$AZ$5,2)</f>
        <v>10761.13</v>
      </c>
      <c r="BB6" s="303">
        <f>ROUND($AY$6*BB5/$AZ$5,2)</f>
        <v>3640.69</v>
      </c>
      <c r="BC6" s="303">
        <f t="shared" ref="BC6:BH6" si="4">ROUND($AY$6*BC5/$AZ$5,2)</f>
        <v>4573.41</v>
      </c>
      <c r="BD6" s="303">
        <f t="shared" si="4"/>
        <v>2547.0300000000002</v>
      </c>
      <c r="BE6" s="303">
        <f t="shared" si="4"/>
        <v>0</v>
      </c>
      <c r="BF6" s="303">
        <f t="shared" si="4"/>
        <v>0</v>
      </c>
      <c r="BG6" s="303">
        <f t="shared" si="4"/>
        <v>0</v>
      </c>
      <c r="BH6" s="303">
        <f t="shared" si="4"/>
        <v>0</v>
      </c>
      <c r="BI6" s="303">
        <f t="shared" ref="BI6:BT6" si="5">ROUND($AY$6*BI5/$AZ$5,2)</f>
        <v>0</v>
      </c>
      <c r="BJ6" s="303">
        <f t="shared" si="5"/>
        <v>0</v>
      </c>
      <c r="BK6" s="303">
        <f t="shared" si="5"/>
        <v>0</v>
      </c>
      <c r="BL6" s="303">
        <f t="shared" si="5"/>
        <v>46.93</v>
      </c>
      <c r="BM6" s="303">
        <f t="shared" si="5"/>
        <v>4.9400000000000004</v>
      </c>
      <c r="BN6" s="303">
        <f t="shared" si="5"/>
        <v>0</v>
      </c>
      <c r="BO6" s="303">
        <f t="shared" si="5"/>
        <v>12.35</v>
      </c>
      <c r="BP6" s="303">
        <f t="shared" si="5"/>
        <v>0</v>
      </c>
      <c r="BQ6" s="303">
        <f t="shared" si="5"/>
        <v>29.64</v>
      </c>
      <c r="BR6" s="303">
        <f t="shared" si="5"/>
        <v>0</v>
      </c>
      <c r="BS6" s="303">
        <f t="shared" si="5"/>
        <v>0</v>
      </c>
      <c r="BT6" s="309">
        <f t="shared" si="5"/>
        <v>0</v>
      </c>
    </row>
    <row r="7" spans="1:72" s="1155" customFormat="1" ht="24">
      <c r="A7" s="224" t="s">
        <v>618</v>
      </c>
      <c r="B7" s="224" t="s">
        <v>619</v>
      </c>
      <c r="C7" s="224" t="s">
        <v>620</v>
      </c>
      <c r="D7" s="224" t="s">
        <v>621</v>
      </c>
      <c r="E7" s="224" t="s">
        <v>617</v>
      </c>
      <c r="F7" s="224" t="s">
        <v>622</v>
      </c>
      <c r="G7" s="225" t="s">
        <v>623</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624</v>
      </c>
      <c r="AV7" s="78" t="s">
        <v>618</v>
      </c>
      <c r="AW7" s="227" t="s">
        <v>619</v>
      </c>
      <c r="AX7" s="78" t="s">
        <v>620</v>
      </c>
      <c r="AY7" s="218" t="s">
        <v>625</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2" customFormat="1" ht="24">
      <c r="A8" s="230"/>
      <c r="B8" s="230"/>
      <c r="C8" s="230"/>
      <c r="D8" s="230"/>
      <c r="E8" s="230"/>
      <c r="F8" s="230"/>
      <c r="G8" s="231" t="s">
        <v>626</v>
      </c>
      <c r="H8" s="232" t="s">
        <v>627</v>
      </c>
      <c r="I8" s="233"/>
      <c r="J8" s="234"/>
      <c r="K8" s="234"/>
      <c r="L8" s="234"/>
      <c r="M8" s="234"/>
      <c r="N8" s="234"/>
      <c r="O8" s="234"/>
      <c r="P8" s="234"/>
      <c r="Q8" s="234"/>
      <c r="R8" s="234"/>
      <c r="S8" s="234"/>
      <c r="T8" s="234"/>
      <c r="U8" s="234"/>
      <c r="V8" s="235"/>
      <c r="W8" s="234"/>
      <c r="X8" s="234"/>
      <c r="Y8" s="234"/>
      <c r="Z8" s="234"/>
      <c r="AA8" s="235"/>
      <c r="AB8" s="236"/>
      <c r="AC8" s="243" t="s">
        <v>628</v>
      </c>
      <c r="AD8" s="237"/>
      <c r="AE8" s="228"/>
      <c r="AF8" s="234"/>
      <c r="AG8" s="234"/>
      <c r="AH8" s="234"/>
      <c r="AI8" s="234"/>
      <c r="AJ8" s="234"/>
      <c r="AK8" s="234"/>
      <c r="AL8" s="234"/>
      <c r="AM8" s="234"/>
      <c r="AN8" s="234"/>
      <c r="AO8" s="234"/>
      <c r="AP8" s="234"/>
      <c r="AQ8" s="234"/>
      <c r="AR8" s="234"/>
      <c r="AS8" s="234"/>
      <c r="AT8" s="238" t="s">
        <v>529</v>
      </c>
      <c r="AU8" s="230" t="s">
        <v>629</v>
      </c>
      <c r="AV8" s="238"/>
      <c r="AW8" s="239"/>
      <c r="AX8" s="238"/>
      <c r="AY8" s="227" t="s">
        <v>630</v>
      </c>
      <c r="AZ8" s="220" t="s">
        <v>631</v>
      </c>
      <c r="BA8" s="234"/>
      <c r="BB8" s="234"/>
      <c r="BC8" s="234"/>
      <c r="BD8" s="234"/>
      <c r="BE8" s="234"/>
      <c r="BF8" s="234"/>
      <c r="BG8" s="234"/>
      <c r="BH8" s="234"/>
      <c r="BI8" s="234"/>
      <c r="BJ8" s="234"/>
      <c r="BK8" s="234"/>
      <c r="BL8" s="234"/>
      <c r="BM8" s="234"/>
      <c r="BN8" s="234"/>
      <c r="BO8" s="234"/>
      <c r="BP8" s="234"/>
      <c r="BQ8" s="234"/>
      <c r="BR8" s="234"/>
      <c r="BS8" s="234"/>
      <c r="BT8" s="240"/>
    </row>
    <row r="9" spans="1:72" s="1162" customFormat="1" ht="12">
      <c r="A9" s="230"/>
      <c r="B9" s="230"/>
      <c r="C9" s="230"/>
      <c r="D9" s="230"/>
      <c r="E9" s="230"/>
      <c r="F9" s="230"/>
      <c r="G9" s="238"/>
      <c r="H9" s="241" t="s">
        <v>632</v>
      </c>
      <c r="I9" s="242" t="s">
        <v>3067</v>
      </c>
      <c r="J9" s="243"/>
      <c r="K9" s="242" t="s">
        <v>3067</v>
      </c>
      <c r="L9" s="243"/>
      <c r="M9" s="242" t="s">
        <v>3068</v>
      </c>
      <c r="N9" s="243"/>
      <c r="O9" s="242"/>
      <c r="P9" s="243"/>
      <c r="Q9" s="242"/>
      <c r="R9" s="243"/>
      <c r="S9" s="242"/>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3"/>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62" customFormat="1" ht="12">
      <c r="A10" s="230"/>
      <c r="B10" s="230"/>
      <c r="C10" s="230"/>
      <c r="D10" s="230"/>
      <c r="E10" s="230"/>
      <c r="F10" s="230"/>
      <c r="G10" s="238"/>
      <c r="H10" s="79"/>
      <c r="I10" s="242" t="s">
        <v>40</v>
      </c>
      <c r="J10" s="243"/>
      <c r="K10" s="250" t="s">
        <v>40</v>
      </c>
      <c r="L10" s="243"/>
      <c r="M10" s="250" t="s">
        <v>3069</v>
      </c>
      <c r="N10" s="243"/>
      <c r="O10" s="250"/>
      <c r="P10" s="243"/>
      <c r="Q10" s="250"/>
      <c r="R10" s="243"/>
      <c r="S10" s="250"/>
      <c r="T10" s="243"/>
      <c r="U10" s="250"/>
      <c r="V10" s="243"/>
      <c r="W10" s="250"/>
      <c r="X10" s="243"/>
      <c r="Y10" s="250"/>
      <c r="Z10" s="243"/>
      <c r="AA10" s="250"/>
      <c r="AB10" s="243"/>
      <c r="AC10" s="238"/>
      <c r="AD10" s="83" t="s">
        <v>31</v>
      </c>
      <c r="AE10" s="2474"/>
      <c r="AF10" s="83" t="s">
        <v>31</v>
      </c>
      <c r="AG10" s="2474"/>
      <c r="AH10" s="83" t="s">
        <v>32</v>
      </c>
      <c r="AI10" s="2474"/>
      <c r="AJ10" s="83" t="s">
        <v>32</v>
      </c>
      <c r="AK10" s="2474"/>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地下</v>
      </c>
      <c r="BE10" s="253">
        <f>O9</f>
        <v>0</v>
      </c>
      <c r="BF10" s="253">
        <f>Q9</f>
        <v>0</v>
      </c>
      <c r="BG10" s="253">
        <f>S9</f>
        <v>0</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2" customFormat="1" ht="12.75">
      <c r="A11" s="230"/>
      <c r="B11" s="230"/>
      <c r="C11" s="230"/>
      <c r="D11" s="230"/>
      <c r="E11" s="230"/>
      <c r="F11" s="230"/>
      <c r="G11" s="238"/>
      <c r="H11" s="251"/>
      <c r="I11" s="256" t="s">
        <v>182</v>
      </c>
      <c r="J11" s="257"/>
      <c r="K11" s="256" t="s">
        <v>3136</v>
      </c>
      <c r="L11" s="257"/>
      <c r="M11" s="256" t="s">
        <v>3069</v>
      </c>
      <c r="N11" s="257"/>
      <c r="O11" s="256"/>
      <c r="P11" s="257"/>
      <c r="Q11" s="256"/>
      <c r="R11" s="257"/>
      <c r="S11" s="256"/>
      <c r="T11" s="257"/>
      <c r="U11" s="256"/>
      <c r="V11" s="257"/>
      <c r="W11" s="256"/>
      <c r="X11" s="257"/>
      <c r="Y11" s="256"/>
      <c r="Z11" s="257"/>
      <c r="AA11" s="256"/>
      <c r="AB11" s="257"/>
      <c r="AC11" s="238"/>
      <c r="AD11" s="2494" t="s">
        <v>2388</v>
      </c>
      <c r="AE11" s="2473"/>
      <c r="AF11" s="2494" t="s">
        <v>2388</v>
      </c>
      <c r="AG11" s="2473"/>
      <c r="AH11" s="2494" t="s">
        <v>2389</v>
      </c>
      <c r="AI11" s="2495"/>
      <c r="AJ11" s="2494" t="s">
        <v>2389</v>
      </c>
      <c r="AK11" s="258"/>
      <c r="AL11" s="220"/>
      <c r="AM11" s="258"/>
      <c r="AN11" s="220"/>
      <c r="AO11" s="258"/>
      <c r="AP11" s="220"/>
      <c r="AQ11" s="258"/>
      <c r="AR11" s="220"/>
      <c r="AS11" s="258"/>
      <c r="AT11" s="239"/>
      <c r="AU11" s="230"/>
      <c r="AV11" s="238"/>
      <c r="AW11" s="239"/>
      <c r="AX11" s="238"/>
      <c r="AY11" s="79"/>
      <c r="AZ11" s="79"/>
      <c r="BA11" s="79"/>
      <c r="BB11" s="236" t="str">
        <f>I10</f>
        <v>住宅</v>
      </c>
      <c r="BC11" s="236" t="str">
        <f>K10</f>
        <v>住宅</v>
      </c>
      <c r="BD11" s="236" t="str">
        <f>M10</f>
        <v>车库</v>
      </c>
      <c r="BE11" s="236">
        <f>O10</f>
        <v>0</v>
      </c>
      <c r="BF11" s="236">
        <f>Q10</f>
        <v>0</v>
      </c>
      <c r="BG11" s="236">
        <f>S10</f>
        <v>0</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55" customFormat="1" ht="12">
      <c r="A12" s="260"/>
      <c r="B12" s="260"/>
      <c r="C12" s="260"/>
      <c r="D12" s="260"/>
      <c r="E12" s="260"/>
      <c r="F12" s="260"/>
      <c r="G12" s="81"/>
      <c r="H12" s="261"/>
      <c r="I12" s="216"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19" t="s">
        <v>634</v>
      </c>
      <c r="W12" s="82" t="s">
        <v>633</v>
      </c>
      <c r="X12" s="82" t="s">
        <v>634</v>
      </c>
      <c r="Y12" s="82" t="s">
        <v>633</v>
      </c>
      <c r="Z12" s="82" t="s">
        <v>634</v>
      </c>
      <c r="AA12" s="82" t="s">
        <v>633</v>
      </c>
      <c r="AB12" s="82" t="s">
        <v>634</v>
      </c>
      <c r="AC12" s="262"/>
      <c r="AD12" s="216"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0" t="s">
        <v>634</v>
      </c>
      <c r="AT12" s="263"/>
      <c r="AU12" s="260"/>
      <c r="AV12" s="80"/>
      <c r="AW12" s="227"/>
      <c r="AX12" s="80"/>
      <c r="AY12" s="264"/>
      <c r="AZ12" s="79"/>
      <c r="BA12" s="251"/>
      <c r="BB12" s="77" t="str">
        <f>I11</f>
        <v>自住商品房</v>
      </c>
      <c r="BC12" s="265" t="str">
        <f>K11</f>
        <v>平层住宅</v>
      </c>
      <c r="BD12" s="265" t="str">
        <f>M11</f>
        <v>车库</v>
      </c>
      <c r="BE12" s="236">
        <f>O11</f>
        <v>0</v>
      </c>
      <c r="BF12" s="236">
        <f>Q11</f>
        <v>0</v>
      </c>
      <c r="BG12" s="236">
        <f>S11</f>
        <v>0</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55" customFormat="1" ht="24">
      <c r="A13" s="214"/>
      <c r="B13" s="214"/>
      <c r="C13" s="214" t="s">
        <v>3131</v>
      </c>
      <c r="D13" s="215" t="s">
        <v>3043</v>
      </c>
      <c r="E13" s="303">
        <f>IF($C$3="是",ROUND($A$3*G13/$B$3,2),ROUND($A$3*(G13-AT13)/$B$3,2))</f>
        <v>11202.87</v>
      </c>
      <c r="F13" s="319"/>
      <c r="G13" s="320">
        <f>H13+AC13+AT13</f>
        <v>14930.03</v>
      </c>
      <c r="H13" s="307">
        <f>SUMIF(I$12:AB$12,"总值",I13:AB13)</f>
        <v>14740.03</v>
      </c>
      <c r="I13" s="1407">
        <f>14860.03-120</f>
        <v>14740.03</v>
      </c>
      <c r="J13" s="1407"/>
      <c r="K13" s="1407"/>
      <c r="L13" s="1407"/>
      <c r="M13" s="1407"/>
      <c r="N13" s="1407"/>
      <c r="O13" s="1407"/>
      <c r="P13" s="1407"/>
      <c r="Q13" s="1407"/>
      <c r="R13" s="1407"/>
      <c r="S13" s="1407"/>
      <c r="T13" s="1407"/>
      <c r="U13" s="1407"/>
      <c r="V13" s="1407"/>
      <c r="W13" s="1407"/>
      <c r="X13" s="1407"/>
      <c r="Y13" s="1407"/>
      <c r="Z13" s="1407"/>
      <c r="AA13" s="1407"/>
      <c r="AB13" s="1407"/>
      <c r="AC13" s="303">
        <f>SUMIF(AD$12:AS$12,"总值",AD13:AS13)</f>
        <v>190</v>
      </c>
      <c r="AD13" s="1408">
        <f>20</f>
        <v>20</v>
      </c>
      <c r="AE13" s="1408"/>
      <c r="AF13" s="1408"/>
      <c r="AG13" s="1408"/>
      <c r="AH13" s="1408">
        <v>50</v>
      </c>
      <c r="AI13" s="1408"/>
      <c r="AJ13" s="1408"/>
      <c r="AK13" s="1408"/>
      <c r="AL13" s="1408">
        <v>120</v>
      </c>
      <c r="AM13" s="1408"/>
      <c r="AN13" s="1408"/>
      <c r="AO13" s="1408"/>
      <c r="AP13" s="1408"/>
      <c r="AQ13" s="1408"/>
      <c r="AR13" s="1408"/>
      <c r="AS13" s="1408"/>
      <c r="AT13" s="1409"/>
      <c r="AU13" s="213"/>
      <c r="AV13" s="82">
        <f t="shared" ref="AV13:AX17" si="6">A13</f>
        <v>0</v>
      </c>
      <c r="AW13" s="82">
        <f t="shared" si="6"/>
        <v>0</v>
      </c>
      <c r="AX13" s="82" t="str">
        <f t="shared" si="6"/>
        <v>1#自住型商品房住宅楼</v>
      </c>
      <c r="AY13" s="302">
        <f>ROUND($AY$6*AZ13/$AZ$5,2)</f>
        <v>3687.62</v>
      </c>
      <c r="AZ13" s="303">
        <f>BA13+BL13</f>
        <v>14930.03</v>
      </c>
      <c r="BA13" s="303">
        <f>SUM(BB13:BK13)</f>
        <v>14740.03</v>
      </c>
      <c r="BB13" s="303">
        <f>IF($D13="是",I13-J13,0)</f>
        <v>14740.03</v>
      </c>
      <c r="BC13" s="303">
        <f>IF($D13="是",K13-L13,0)</f>
        <v>0</v>
      </c>
      <c r="BD13" s="303">
        <f>IF($D13="是",M13-N13,0)</f>
        <v>0</v>
      </c>
      <c r="BE13" s="303">
        <f>IF($D13="是",O13-P13,0)</f>
        <v>0</v>
      </c>
      <c r="BF13" s="303">
        <f>IF($D13="是",Q13-R13,0)</f>
        <v>0</v>
      </c>
      <c r="BG13" s="303">
        <f>IF($D13="是",S13-T13,0)</f>
        <v>0</v>
      </c>
      <c r="BH13" s="303">
        <f>IF($D13="是",U13-V13,0)</f>
        <v>0</v>
      </c>
      <c r="BI13" s="303">
        <f>IF($D13="是",W13-X13,0)</f>
        <v>0</v>
      </c>
      <c r="BJ13" s="303">
        <f>IF($D13="是",Y13-Z13,0)</f>
        <v>0</v>
      </c>
      <c r="BK13" s="303">
        <f>IF($D13="是",AA13-AB13,0)</f>
        <v>0</v>
      </c>
      <c r="BL13" s="303">
        <f>SUM(BM13:BT13)</f>
        <v>190</v>
      </c>
      <c r="BM13" s="303">
        <f>IF($D13="是",AD13-AE13,0)</f>
        <v>20</v>
      </c>
      <c r="BN13" s="303">
        <f>IF($D13="是",AF13-AG13,0)</f>
        <v>0</v>
      </c>
      <c r="BO13" s="303">
        <f>IF($D13="是",AH13-AI13,0)</f>
        <v>50</v>
      </c>
      <c r="BP13" s="303">
        <f>IF($D13="是",AJ13-AK13,0)</f>
        <v>0</v>
      </c>
      <c r="BQ13" s="303">
        <f>IF($D13="是",AL13-AM13,0)</f>
        <v>120</v>
      </c>
      <c r="BR13" s="303">
        <f>IF($D13="是",AN13-AO13,0)</f>
        <v>0</v>
      </c>
      <c r="BS13" s="303">
        <f>IF($D13="是",AP13-AQ13,0)</f>
        <v>0</v>
      </c>
      <c r="BT13" s="309">
        <f>IF($D13="是",AR13-AS13,0)</f>
        <v>0</v>
      </c>
    </row>
    <row r="14" spans="1:72" s="1155" customFormat="1" ht="24">
      <c r="A14" s="214"/>
      <c r="B14" s="214"/>
      <c r="C14" s="1406" t="s">
        <v>3132</v>
      </c>
      <c r="D14" s="215" t="s">
        <v>3043</v>
      </c>
      <c r="E14" s="303">
        <f>IF($C$3="是",ROUND($A$3*G14/$B$3,2),ROUND($A$3*(G14-AT14)/$B$3,2))</f>
        <v>4752.32</v>
      </c>
      <c r="F14" s="319"/>
      <c r="G14" s="320">
        <f>H14+AC14+AT14</f>
        <v>6333.4</v>
      </c>
      <c r="H14" s="307">
        <f>SUMIF(I$12:AB$12,"总值",I14:AB14)</f>
        <v>6333.4</v>
      </c>
      <c r="I14" s="1407"/>
      <c r="J14" s="1407"/>
      <c r="K14" s="1407">
        <v>6333.4</v>
      </c>
      <c r="L14" s="1407"/>
      <c r="M14" s="1407"/>
      <c r="N14" s="1407"/>
      <c r="O14" s="1407"/>
      <c r="P14" s="1407"/>
      <c r="Q14" s="1407"/>
      <c r="R14" s="1407"/>
      <c r="S14" s="1407"/>
      <c r="T14" s="1407"/>
      <c r="U14" s="1407"/>
      <c r="V14" s="1407"/>
      <c r="W14" s="1407"/>
      <c r="X14" s="1407"/>
      <c r="Y14" s="1407"/>
      <c r="Z14" s="1407"/>
      <c r="AA14" s="1407"/>
      <c r="AB14" s="1407"/>
      <c r="AC14" s="303">
        <f>SUMIF(AD$12:AS$12,"总值",AD14:AS14)</f>
        <v>0</v>
      </c>
      <c r="AD14" s="1408"/>
      <c r="AE14" s="1408"/>
      <c r="AF14" s="1408"/>
      <c r="AG14" s="1408"/>
      <c r="AH14" s="1408"/>
      <c r="AI14" s="1408"/>
      <c r="AJ14" s="1408"/>
      <c r="AK14" s="1408"/>
      <c r="AL14" s="1408"/>
      <c r="AM14" s="1408"/>
      <c r="AN14" s="1408"/>
      <c r="AO14" s="1408"/>
      <c r="AP14" s="1408"/>
      <c r="AQ14" s="1408"/>
      <c r="AR14" s="1408"/>
      <c r="AS14" s="1408"/>
      <c r="AT14" s="1409"/>
      <c r="AU14" s="213"/>
      <c r="AV14" s="82">
        <f t="shared" si="6"/>
        <v>0</v>
      </c>
      <c r="AW14" s="82">
        <f t="shared" si="6"/>
        <v>0</v>
      </c>
      <c r="AX14" s="82" t="str">
        <f t="shared" si="6"/>
        <v>2#商品房住宅楼</v>
      </c>
      <c r="AY14" s="302">
        <f>ROUND($AY$6*AZ14/$AZ$5,2)</f>
        <v>1564.31</v>
      </c>
      <c r="AZ14" s="303">
        <f>BA14+BL14</f>
        <v>6333.4</v>
      </c>
      <c r="BA14" s="303">
        <f>SUM(BB14:BK14)</f>
        <v>6333.4</v>
      </c>
      <c r="BB14" s="303">
        <f>IF($D14="是",I14-J14,0)</f>
        <v>0</v>
      </c>
      <c r="BC14" s="303">
        <f>IF($D14="是",K14-L14,0)</f>
        <v>6333.4</v>
      </c>
      <c r="BD14" s="303">
        <f>IF($D14="是",M14-N14,0)</f>
        <v>0</v>
      </c>
      <c r="BE14" s="303">
        <f>IF($D14="是",O14-P14,0)</f>
        <v>0</v>
      </c>
      <c r="BF14" s="303">
        <f>IF($D14="是",Q14-R14,0)</f>
        <v>0</v>
      </c>
      <c r="BG14" s="303">
        <f>IF($D14="是",S14-T14,0)</f>
        <v>0</v>
      </c>
      <c r="BH14" s="303">
        <f>IF($D14="是",U14-V14,0)</f>
        <v>0</v>
      </c>
      <c r="BI14" s="303">
        <f>IF($D14="是",W14-X14,0)</f>
        <v>0</v>
      </c>
      <c r="BJ14" s="303">
        <f>IF($D14="是",Y14-Z14,0)</f>
        <v>0</v>
      </c>
      <c r="BK14" s="303">
        <f>IF($D14="是",AA14-AB14,0)</f>
        <v>0</v>
      </c>
      <c r="BL14" s="303">
        <f>SUM(BM14:BT14)</f>
        <v>0</v>
      </c>
      <c r="BM14" s="303">
        <f>IF($D14="是",AD14-AE14,0)</f>
        <v>0</v>
      </c>
      <c r="BN14" s="303">
        <f>IF($D14="是",AF14-AG14,0)</f>
        <v>0</v>
      </c>
      <c r="BO14" s="303">
        <f>IF($D14="是",AH14-AI14,0)</f>
        <v>0</v>
      </c>
      <c r="BP14" s="303">
        <f>IF($D14="是",AJ14-AK14,0)</f>
        <v>0</v>
      </c>
      <c r="BQ14" s="303">
        <f>IF($D14="是",AL14-AM14,0)</f>
        <v>0</v>
      </c>
      <c r="BR14" s="303">
        <f>IF($D14="是",AN14-AO14,0)</f>
        <v>0</v>
      </c>
      <c r="BS14" s="303">
        <f>IF($D14="是",AP14-AQ14,0)</f>
        <v>0</v>
      </c>
      <c r="BT14" s="309">
        <f>IF($D14="是",AR14-AS14,0)</f>
        <v>0</v>
      </c>
    </row>
    <row r="15" spans="1:72" s="1155" customFormat="1" ht="24">
      <c r="A15" s="214"/>
      <c r="B15" s="214"/>
      <c r="C15" s="1406" t="s">
        <v>3133</v>
      </c>
      <c r="D15" s="215" t="s">
        <v>3043</v>
      </c>
      <c r="E15" s="303">
        <f>IF($C$3="是",ROUND($A$3*G15/$B$3,2),ROUND($A$3*(G15-AT15)/$B$3,2))</f>
        <v>3539.81</v>
      </c>
      <c r="F15" s="319"/>
      <c r="G15" s="320">
        <f>H15+AC15+AT15</f>
        <v>4717.5</v>
      </c>
      <c r="H15" s="307">
        <f>SUMIF(I$12:AB$12,"总值",I15:AB15)</f>
        <v>4717.5</v>
      </c>
      <c r="I15" s="1407"/>
      <c r="J15" s="1407"/>
      <c r="K15" s="1407">
        <v>4717.5</v>
      </c>
      <c r="L15" s="1407"/>
      <c r="M15" s="1407"/>
      <c r="N15" s="1407"/>
      <c r="O15" s="1407"/>
      <c r="P15" s="1407"/>
      <c r="Q15" s="1407"/>
      <c r="R15" s="1407"/>
      <c r="S15" s="1407"/>
      <c r="T15" s="1407"/>
      <c r="U15" s="1407"/>
      <c r="V15" s="1407"/>
      <c r="W15" s="1407"/>
      <c r="X15" s="1407"/>
      <c r="Y15" s="1407"/>
      <c r="Z15" s="1407"/>
      <c r="AA15" s="1407"/>
      <c r="AB15" s="1407"/>
      <c r="AC15" s="303">
        <f>SUMIF(AD$12:AS$12,"总值",AD15:AS15)</f>
        <v>0</v>
      </c>
      <c r="AD15" s="1408"/>
      <c r="AE15" s="1408"/>
      <c r="AF15" s="1408"/>
      <c r="AG15" s="1408"/>
      <c r="AH15" s="1408"/>
      <c r="AI15" s="1408"/>
      <c r="AJ15" s="1408"/>
      <c r="AK15" s="1408"/>
      <c r="AL15" s="1408"/>
      <c r="AM15" s="1408"/>
      <c r="AN15" s="1408"/>
      <c r="AO15" s="1408"/>
      <c r="AP15" s="1408"/>
      <c r="AQ15" s="1408"/>
      <c r="AR15" s="1408"/>
      <c r="AS15" s="1408"/>
      <c r="AT15" s="1409"/>
      <c r="AU15" s="213"/>
      <c r="AV15" s="82">
        <f t="shared" si="6"/>
        <v>0</v>
      </c>
      <c r="AW15" s="82">
        <f t="shared" si="6"/>
        <v>0</v>
      </c>
      <c r="AX15" s="82" t="str">
        <f t="shared" si="6"/>
        <v>3#商品房住宅楼</v>
      </c>
      <c r="AY15" s="302">
        <f>ROUND($AY$6*AZ15/$AZ$5,2)</f>
        <v>1165.19</v>
      </c>
      <c r="AZ15" s="303">
        <f>BA15+BL15</f>
        <v>4717.5</v>
      </c>
      <c r="BA15" s="303">
        <f>SUM(BB15:BK15)</f>
        <v>4717.5</v>
      </c>
      <c r="BB15" s="303">
        <f>IF($D15="是",I15-J15,0)</f>
        <v>0</v>
      </c>
      <c r="BC15" s="303">
        <f>IF($D15="是",K15-L15,0)</f>
        <v>4717.5</v>
      </c>
      <c r="BD15" s="303">
        <f>IF($D15="是",M15-N15,0)</f>
        <v>0</v>
      </c>
      <c r="BE15" s="303">
        <f>IF($D15="是",O15-P15,0)</f>
        <v>0</v>
      </c>
      <c r="BF15" s="303">
        <f>IF($D15="是",Q15-R15,0)</f>
        <v>0</v>
      </c>
      <c r="BG15" s="303">
        <f>IF($D15="是",S15-T15,0)</f>
        <v>0</v>
      </c>
      <c r="BH15" s="303">
        <f>IF($D15="是",U15-V15,0)</f>
        <v>0</v>
      </c>
      <c r="BI15" s="303">
        <f>IF($D15="是",W15-X15,0)</f>
        <v>0</v>
      </c>
      <c r="BJ15" s="303">
        <f>IF($D15="是",Y15-Z15,0)</f>
        <v>0</v>
      </c>
      <c r="BK15" s="303">
        <f>IF($D15="是",AA15-AB15,0)</f>
        <v>0</v>
      </c>
      <c r="BL15" s="303">
        <f>SUM(BM15:BT15)</f>
        <v>0</v>
      </c>
      <c r="BM15" s="303">
        <f>IF($D15="是",AD15-AE15,0)</f>
        <v>0</v>
      </c>
      <c r="BN15" s="303">
        <f>IF($D15="是",AF15-AG15,0)</f>
        <v>0</v>
      </c>
      <c r="BO15" s="303">
        <f>IF($D15="是",AH15-AI15,0)</f>
        <v>0</v>
      </c>
      <c r="BP15" s="303">
        <f>IF($D15="是",AJ15-AK15,0)</f>
        <v>0</v>
      </c>
      <c r="BQ15" s="303">
        <f>IF($D15="是",AL15-AM15,0)</f>
        <v>0</v>
      </c>
      <c r="BR15" s="303">
        <f>IF($D15="是",AN15-AO15,0)</f>
        <v>0</v>
      </c>
      <c r="BS15" s="303">
        <f>IF($D15="是",AP15-AQ15,0)</f>
        <v>0</v>
      </c>
      <c r="BT15" s="309">
        <f>IF($D15="是",AR15-AS15,0)</f>
        <v>0</v>
      </c>
    </row>
    <row r="16" spans="1:72" s="1155" customFormat="1" ht="24">
      <c r="A16" s="214"/>
      <c r="B16" s="214"/>
      <c r="C16" s="1406" t="s">
        <v>3134</v>
      </c>
      <c r="D16" s="215" t="s">
        <v>3043</v>
      </c>
      <c r="E16" s="303">
        <f>IF($C$3="是",ROUND($A$3*G16/$B$3,2),ROUND($A$3*(G16-AT16)/$B$3,2))</f>
        <v>5601.75</v>
      </c>
      <c r="F16" s="319"/>
      <c r="G16" s="320">
        <f>H16+AC16+AT16</f>
        <v>7465.43</v>
      </c>
      <c r="H16" s="307">
        <f>SUMIF(I$12:AB$12,"总值",I16:AB16)</f>
        <v>7465.43</v>
      </c>
      <c r="I16" s="1407"/>
      <c r="J16" s="1407"/>
      <c r="K16" s="1407">
        <v>7465.43</v>
      </c>
      <c r="L16" s="1407"/>
      <c r="M16" s="1407"/>
      <c r="N16" s="1407"/>
      <c r="O16" s="1407"/>
      <c r="P16" s="1407"/>
      <c r="Q16" s="1407"/>
      <c r="R16" s="1407"/>
      <c r="S16" s="1407"/>
      <c r="T16" s="1407"/>
      <c r="U16" s="1407"/>
      <c r="V16" s="1407"/>
      <c r="W16" s="1407"/>
      <c r="X16" s="1407"/>
      <c r="Y16" s="1407"/>
      <c r="Z16" s="1407"/>
      <c r="AA16" s="1407"/>
      <c r="AB16" s="1407"/>
      <c r="AC16" s="303">
        <f>SUMIF(AD$12:AS$12,"总值",AD16:AS16)</f>
        <v>0</v>
      </c>
      <c r="AD16" s="1408"/>
      <c r="AE16" s="1408"/>
      <c r="AF16" s="1408"/>
      <c r="AG16" s="1408"/>
      <c r="AH16" s="1408"/>
      <c r="AI16" s="1408"/>
      <c r="AJ16" s="1408"/>
      <c r="AK16" s="1408"/>
      <c r="AL16" s="1408"/>
      <c r="AM16" s="1408"/>
      <c r="AN16" s="1408"/>
      <c r="AO16" s="1408"/>
      <c r="AP16" s="1408"/>
      <c r="AQ16" s="1408"/>
      <c r="AR16" s="1408"/>
      <c r="AS16" s="1408"/>
      <c r="AT16" s="1409"/>
      <c r="AU16" s="213"/>
      <c r="AV16" s="82">
        <f t="shared" si="6"/>
        <v>0</v>
      </c>
      <c r="AW16" s="82">
        <f t="shared" si="6"/>
        <v>0</v>
      </c>
      <c r="AX16" s="82" t="str">
        <f t="shared" si="6"/>
        <v>5#商品房住宅楼</v>
      </c>
      <c r="AY16" s="302">
        <f>ROUND($AY$6*AZ16/$AZ$5,2)</f>
        <v>1843.91</v>
      </c>
      <c r="AZ16" s="303">
        <f>BA16+BL16</f>
        <v>7465.43</v>
      </c>
      <c r="BA16" s="303">
        <f>SUM(BB16:BK16)</f>
        <v>7465.43</v>
      </c>
      <c r="BB16" s="303">
        <f>IF($D16="是",I16-J16,0)</f>
        <v>0</v>
      </c>
      <c r="BC16" s="303">
        <f>IF($D16="是",K16-L16,0)</f>
        <v>7465.43</v>
      </c>
      <c r="BD16" s="303">
        <f>IF($D16="是",M16-N16,0)</f>
        <v>0</v>
      </c>
      <c r="BE16" s="303">
        <f>IF($D16="是",O16-P16,0)</f>
        <v>0</v>
      </c>
      <c r="BF16" s="303">
        <f>IF($D16="是",Q16-R16,0)</f>
        <v>0</v>
      </c>
      <c r="BG16" s="303">
        <f>IF($D16="是",S16-T16,0)</f>
        <v>0</v>
      </c>
      <c r="BH16" s="303">
        <f>IF($D16="是",U16-V16,0)</f>
        <v>0</v>
      </c>
      <c r="BI16" s="303">
        <f>IF($D16="是",W16-X16,0)</f>
        <v>0</v>
      </c>
      <c r="BJ16" s="303">
        <f>IF($D16="是",Y16-Z16,0)</f>
        <v>0</v>
      </c>
      <c r="BK16" s="303">
        <f>IF($D16="是",AA16-AB16,0)</f>
        <v>0</v>
      </c>
      <c r="BL16" s="303">
        <f>SUM(BM16:BT16)</f>
        <v>0</v>
      </c>
      <c r="BM16" s="303">
        <f>IF($D16="是",AD16-AE16,0)</f>
        <v>0</v>
      </c>
      <c r="BN16" s="303">
        <f>IF($D16="是",AF16-AG16,0)</f>
        <v>0</v>
      </c>
      <c r="BO16" s="303">
        <f>IF($D16="是",AH16-AI16,0)</f>
        <v>0</v>
      </c>
      <c r="BP16" s="303">
        <f>IF($D16="是",AJ16-AK16,0)</f>
        <v>0</v>
      </c>
      <c r="BQ16" s="303">
        <f>IF($D16="是",AL16-AM16,0)</f>
        <v>0</v>
      </c>
      <c r="BR16" s="303">
        <f>IF($D16="是",AN16-AO16,0)</f>
        <v>0</v>
      </c>
      <c r="BS16" s="303">
        <f>IF($D16="是",AP16-AQ16,0)</f>
        <v>0</v>
      </c>
      <c r="BT16" s="309">
        <f>IF($D16="是",AR16-AS16,0)</f>
        <v>0</v>
      </c>
    </row>
    <row r="17" spans="1:72" s="1155" customFormat="1" ht="24">
      <c r="A17" s="214"/>
      <c r="B17" s="214"/>
      <c r="C17" s="1406" t="s">
        <v>3135</v>
      </c>
      <c r="D17" s="215" t="s">
        <v>3043</v>
      </c>
      <c r="E17" s="303">
        <f>IF($C$3="是",ROUND($A$3*G17/$B$3,2),ROUND($A$3*(G17-AT17)/$B$3,2))</f>
        <v>7737.81</v>
      </c>
      <c r="F17" s="319"/>
      <c r="G17" s="320">
        <f>H17+AC17+AT17</f>
        <v>10312.16</v>
      </c>
      <c r="H17" s="307">
        <f>SUMIF(I$12:AB$12,"总值",I17:AB17)</f>
        <v>10312.16</v>
      </c>
      <c r="I17" s="1407"/>
      <c r="J17" s="1407"/>
      <c r="K17" s="1407"/>
      <c r="L17" s="1407"/>
      <c r="M17" s="1407">
        <v>10312.16</v>
      </c>
      <c r="N17" s="1407"/>
      <c r="O17" s="1407"/>
      <c r="P17" s="1407"/>
      <c r="Q17" s="1407"/>
      <c r="R17" s="1407"/>
      <c r="S17" s="1407"/>
      <c r="T17" s="1407"/>
      <c r="U17" s="1407"/>
      <c r="V17" s="1407"/>
      <c r="W17" s="1407"/>
      <c r="X17" s="1407"/>
      <c r="Y17" s="1407"/>
      <c r="Z17" s="1407"/>
      <c r="AA17" s="1407"/>
      <c r="AB17" s="1407"/>
      <c r="AC17" s="303">
        <f>SUMIF(AD$12:AS$12,"总值",AD17:AS17)</f>
        <v>0</v>
      </c>
      <c r="AD17" s="1408"/>
      <c r="AE17" s="1408"/>
      <c r="AF17" s="1408"/>
      <c r="AG17" s="1408"/>
      <c r="AH17" s="1408"/>
      <c r="AI17" s="1408"/>
      <c r="AJ17" s="1408"/>
      <c r="AK17" s="1408"/>
      <c r="AL17" s="1408"/>
      <c r="AM17" s="1408"/>
      <c r="AN17" s="1408"/>
      <c r="AO17" s="1408"/>
      <c r="AP17" s="1408"/>
      <c r="AQ17" s="1408"/>
      <c r="AR17" s="1408"/>
      <c r="AS17" s="1408"/>
      <c r="AT17" s="1409"/>
      <c r="AU17" s="213"/>
      <c r="AV17" s="82">
        <f t="shared" si="6"/>
        <v>0</v>
      </c>
      <c r="AW17" s="82">
        <f t="shared" si="6"/>
        <v>0</v>
      </c>
      <c r="AX17" s="82" t="str">
        <f t="shared" si="6"/>
        <v>南区地下车库</v>
      </c>
      <c r="AY17" s="302">
        <f>ROUND($AY$6*AZ17/$AZ$5,2)</f>
        <v>2547.0300000000002</v>
      </c>
      <c r="AZ17" s="303">
        <f>BA17+BL17</f>
        <v>10312.16</v>
      </c>
      <c r="BA17" s="303">
        <f>SUM(BB17:BK17)</f>
        <v>10312.16</v>
      </c>
      <c r="BB17" s="303">
        <f>IF($D17="是",I17-J17,0)</f>
        <v>0</v>
      </c>
      <c r="BC17" s="303">
        <f>IF($D17="是",K17-L17,0)</f>
        <v>0</v>
      </c>
      <c r="BD17" s="303">
        <f>IF($D17="是",M17-N17,0)</f>
        <v>10312.16</v>
      </c>
      <c r="BE17" s="303">
        <f>IF($D17="是",O17-P17,0)</f>
        <v>0</v>
      </c>
      <c r="BF17" s="303">
        <f>IF($D17="是",Q17-R17,0)</f>
        <v>0</v>
      </c>
      <c r="BG17" s="303">
        <f>IF($D17="是",S17-T17,0)</f>
        <v>0</v>
      </c>
      <c r="BH17" s="303">
        <f>IF($D17="是",U17-V17,0)</f>
        <v>0</v>
      </c>
      <c r="BI17" s="303">
        <f>IF($D17="是",W17-X17,0)</f>
        <v>0</v>
      </c>
      <c r="BJ17" s="303">
        <f>IF($D17="是",Y17-Z17,0)</f>
        <v>0</v>
      </c>
      <c r="BK17" s="303">
        <f>IF($D17="是",AA17-AB17,0)</f>
        <v>0</v>
      </c>
      <c r="BL17" s="303">
        <f>SUM(BM17:BT17)</f>
        <v>0</v>
      </c>
      <c r="BM17" s="303">
        <f>IF($D17="是",AD17-AE17,0)</f>
        <v>0</v>
      </c>
      <c r="BN17" s="303">
        <f>IF($D17="是",AF17-AG17,0)</f>
        <v>0</v>
      </c>
      <c r="BO17" s="303">
        <f>IF($D17="是",AH17-AI17,0)</f>
        <v>0</v>
      </c>
      <c r="BP17" s="303">
        <f>IF($D17="是",AJ17-AK17,0)</f>
        <v>0</v>
      </c>
      <c r="BQ17" s="303">
        <f>IF($D17="是",AL17-AM17,0)</f>
        <v>0</v>
      </c>
      <c r="BR17" s="303">
        <f>IF($D17="是",AN17-AO17,0)</f>
        <v>0</v>
      </c>
      <c r="BS17" s="303">
        <f>IF($D17="是",AP17-AQ17,0)</f>
        <v>0</v>
      </c>
      <c r="BT17" s="309">
        <f>IF($D17="是",AR17-AS17,0)</f>
        <v>0</v>
      </c>
    </row>
    <row r="18" spans="1:72" ht="14.25">
      <c r="A18" s="295"/>
      <c r="B18" s="321"/>
      <c r="C18" s="321"/>
      <c r="D18" s="2198"/>
      <c r="E18" s="322">
        <f t="shared" ref="E18:E112" si="7">IF($C$3="是",ROUND($A$3*G18/$B$3,2),ROUND($A$3*(G18-AT18)/$B$3,2))</f>
        <v>0</v>
      </c>
      <c r="F18" s="323"/>
      <c r="G18" s="324">
        <f t="shared" ref="G18:G109" si="8">H18+AC18+AT18</f>
        <v>0</v>
      </c>
      <c r="H18" s="325">
        <f t="shared" ref="H18:H109" si="9">SUMIF(I$12:AB$12,"总值",I18:AB18)</f>
        <v>0</v>
      </c>
      <c r="I18" s="326"/>
      <c r="J18" s="326"/>
      <c r="K18" s="326"/>
      <c r="L18" s="326"/>
      <c r="M18" s="326"/>
      <c r="N18" s="326"/>
      <c r="O18" s="326"/>
      <c r="P18" s="326"/>
      <c r="Q18" s="326"/>
      <c r="R18" s="326"/>
      <c r="S18" s="326"/>
      <c r="T18" s="326"/>
      <c r="U18" s="326"/>
      <c r="V18" s="326"/>
      <c r="W18" s="326"/>
      <c r="X18" s="326"/>
      <c r="Y18" s="326"/>
      <c r="Z18" s="326"/>
      <c r="AA18" s="326"/>
      <c r="AB18" s="326"/>
      <c r="AC18" s="322">
        <f t="shared" ref="AC18:AC109" si="10">SUMIF(AD$12:AS$12,"总值",AD18:AS18)</f>
        <v>0</v>
      </c>
      <c r="AD18" s="327"/>
      <c r="AE18" s="327"/>
      <c r="AF18" s="327"/>
      <c r="AG18" s="327"/>
      <c r="AH18" s="327"/>
      <c r="AI18" s="327"/>
      <c r="AJ18" s="327"/>
      <c r="AK18" s="327"/>
      <c r="AL18" s="327"/>
      <c r="AM18" s="327"/>
      <c r="AN18" s="327"/>
      <c r="AO18" s="327"/>
      <c r="AP18" s="327"/>
      <c r="AQ18" s="327"/>
      <c r="AR18" s="327"/>
      <c r="AS18" s="327"/>
      <c r="AT18" s="328"/>
      <c r="AU18" s="8"/>
      <c r="AV18" s="2193">
        <f t="shared" ref="AV18:AV112" si="11">A18</f>
        <v>0</v>
      </c>
      <c r="AW18" s="2193">
        <f t="shared" ref="AW18:AW112" si="12">B18</f>
        <v>0</v>
      </c>
      <c r="AX18" s="2193">
        <f t="shared" ref="AX18:AX112" si="13">C18</f>
        <v>0</v>
      </c>
      <c r="AY18" s="329">
        <f t="shared" ref="AY18:AY109" si="14">ROUND($AY$6*AZ18/$AZ$5,2)</f>
        <v>0</v>
      </c>
      <c r="AZ18" s="322">
        <f t="shared" ref="AZ18:AZ109" si="15">BA18+BL18</f>
        <v>0</v>
      </c>
      <c r="BA18" s="322">
        <f t="shared" ref="BA18:BA109" si="16">SUM(BB18:BK18)</f>
        <v>0</v>
      </c>
      <c r="BB18" s="322">
        <f t="shared" ref="BB18:BB109" si="17">IF($D18="是",I18-J18,0)</f>
        <v>0</v>
      </c>
      <c r="BC18" s="322">
        <f t="shared" ref="BC18:BC109" si="18">IF($D18="是",K18-L18,0)</f>
        <v>0</v>
      </c>
      <c r="BD18" s="322">
        <f t="shared" ref="BD18:BD109" si="19">IF($D18="是",M18-N18,0)</f>
        <v>0</v>
      </c>
      <c r="BE18" s="322">
        <f t="shared" ref="BE18:BE109" si="20">IF($D18="是",O18-P18,0)</f>
        <v>0</v>
      </c>
      <c r="BF18" s="322">
        <f t="shared" ref="BF18:BF109" si="21">IF($D18="是",Q18-R18,0)</f>
        <v>0</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0</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0</v>
      </c>
      <c r="BS18" s="322">
        <f t="shared" ref="BS18:BS109" si="34">IF($D18="是",AP18-AQ18,0)</f>
        <v>0</v>
      </c>
      <c r="BT18" s="330">
        <f t="shared" ref="BT18:BT109" si="35">IF($D18="是",AR18-AS18,0)</f>
        <v>0</v>
      </c>
    </row>
    <row r="19" spans="1:72" ht="14.25">
      <c r="A19" s="295"/>
      <c r="B19" s="321"/>
      <c r="C19" s="321"/>
      <c r="D19" s="2198"/>
      <c r="E19" s="322">
        <f t="shared" si="7"/>
        <v>0</v>
      </c>
      <c r="F19" s="323"/>
      <c r="G19" s="324">
        <f t="shared" si="8"/>
        <v>0</v>
      </c>
      <c r="H19" s="325">
        <f t="shared" si="9"/>
        <v>0</v>
      </c>
      <c r="I19" s="326"/>
      <c r="J19" s="326"/>
      <c r="K19" s="326"/>
      <c r="L19" s="326"/>
      <c r="M19" s="326"/>
      <c r="N19" s="326"/>
      <c r="O19" s="326"/>
      <c r="P19" s="326"/>
      <c r="Q19" s="326"/>
      <c r="R19" s="326"/>
      <c r="S19" s="326"/>
      <c r="T19" s="326"/>
      <c r="U19" s="326"/>
      <c r="V19" s="326"/>
      <c r="W19" s="326"/>
      <c r="X19" s="326"/>
      <c r="Y19" s="326"/>
      <c r="Z19" s="326"/>
      <c r="AA19" s="326"/>
      <c r="AB19" s="326"/>
      <c r="AC19" s="322">
        <f t="shared" si="10"/>
        <v>0</v>
      </c>
      <c r="AD19" s="327"/>
      <c r="AE19" s="327"/>
      <c r="AF19" s="327"/>
      <c r="AG19" s="327"/>
      <c r="AH19" s="327"/>
      <c r="AI19" s="327"/>
      <c r="AJ19" s="327"/>
      <c r="AK19" s="327"/>
      <c r="AL19" s="327"/>
      <c r="AM19" s="327"/>
      <c r="AN19" s="327"/>
      <c r="AO19" s="327"/>
      <c r="AP19" s="327"/>
      <c r="AQ19" s="327"/>
      <c r="AR19" s="327"/>
      <c r="AS19" s="327"/>
      <c r="AT19" s="328"/>
      <c r="AU19" s="8"/>
      <c r="AV19" s="2193">
        <f t="shared" si="11"/>
        <v>0</v>
      </c>
      <c r="AW19" s="2193">
        <f t="shared" si="12"/>
        <v>0</v>
      </c>
      <c r="AX19" s="2193">
        <f t="shared" si="13"/>
        <v>0</v>
      </c>
      <c r="AY19" s="329">
        <f t="shared" si="14"/>
        <v>0</v>
      </c>
      <c r="AZ19" s="322">
        <f t="shared" si="15"/>
        <v>0</v>
      </c>
      <c r="BA19" s="322">
        <f t="shared" si="16"/>
        <v>0</v>
      </c>
      <c r="BB19" s="322">
        <f t="shared" si="17"/>
        <v>0</v>
      </c>
      <c r="BC19" s="322">
        <f t="shared" si="18"/>
        <v>0</v>
      </c>
      <c r="BD19" s="322">
        <f t="shared" si="19"/>
        <v>0</v>
      </c>
      <c r="BE19" s="322">
        <f t="shared" si="20"/>
        <v>0</v>
      </c>
      <c r="BF19" s="322">
        <f t="shared" si="21"/>
        <v>0</v>
      </c>
      <c r="BG19" s="322">
        <f t="shared" si="22"/>
        <v>0</v>
      </c>
      <c r="BH19" s="322">
        <f t="shared" si="23"/>
        <v>0</v>
      </c>
      <c r="BI19" s="322">
        <f t="shared" si="24"/>
        <v>0</v>
      </c>
      <c r="BJ19" s="322">
        <f t="shared" si="25"/>
        <v>0</v>
      </c>
      <c r="BK19" s="322">
        <f t="shared" si="26"/>
        <v>0</v>
      </c>
      <c r="BL19" s="322">
        <f t="shared" si="27"/>
        <v>0</v>
      </c>
      <c r="BM19" s="322">
        <f t="shared" si="28"/>
        <v>0</v>
      </c>
      <c r="BN19" s="322">
        <f t="shared" si="29"/>
        <v>0</v>
      </c>
      <c r="BO19" s="322">
        <f t="shared" si="30"/>
        <v>0</v>
      </c>
      <c r="BP19" s="322">
        <f t="shared" si="31"/>
        <v>0</v>
      </c>
      <c r="BQ19" s="322">
        <f t="shared" si="32"/>
        <v>0</v>
      </c>
      <c r="BR19" s="322">
        <f t="shared" si="33"/>
        <v>0</v>
      </c>
      <c r="BS19" s="322">
        <f t="shared" si="34"/>
        <v>0</v>
      </c>
      <c r="BT19" s="330">
        <f t="shared" si="35"/>
        <v>0</v>
      </c>
    </row>
    <row r="20" spans="1:72" ht="14.25">
      <c r="A20" s="295"/>
      <c r="B20" s="321"/>
      <c r="C20" s="321"/>
      <c r="D20" s="2198"/>
      <c r="E20" s="322">
        <f t="shared" si="7"/>
        <v>0</v>
      </c>
      <c r="F20" s="323"/>
      <c r="G20" s="324">
        <f t="shared" si="8"/>
        <v>0</v>
      </c>
      <c r="H20" s="325">
        <f t="shared" si="9"/>
        <v>0</v>
      </c>
      <c r="I20" s="326"/>
      <c r="J20" s="326"/>
      <c r="K20" s="326"/>
      <c r="L20" s="326"/>
      <c r="M20" s="326"/>
      <c r="N20" s="326"/>
      <c r="O20" s="326"/>
      <c r="P20" s="326"/>
      <c r="Q20" s="326"/>
      <c r="R20" s="326"/>
      <c r="S20" s="326"/>
      <c r="T20" s="326"/>
      <c r="U20" s="326"/>
      <c r="V20" s="326"/>
      <c r="W20" s="326"/>
      <c r="X20" s="326"/>
      <c r="Y20" s="326"/>
      <c r="Z20" s="326"/>
      <c r="AA20" s="326"/>
      <c r="AB20" s="326"/>
      <c r="AC20" s="322">
        <f t="shared" si="10"/>
        <v>0</v>
      </c>
      <c r="AD20" s="327"/>
      <c r="AE20" s="327"/>
      <c r="AF20" s="327"/>
      <c r="AG20" s="327"/>
      <c r="AH20" s="327"/>
      <c r="AI20" s="327"/>
      <c r="AJ20" s="327"/>
      <c r="AK20" s="327"/>
      <c r="AL20" s="327"/>
      <c r="AM20" s="327"/>
      <c r="AN20" s="327"/>
      <c r="AO20" s="327"/>
      <c r="AP20" s="327"/>
      <c r="AQ20" s="327"/>
      <c r="AR20" s="327"/>
      <c r="AS20" s="327"/>
      <c r="AT20" s="328"/>
      <c r="AU20" s="8"/>
      <c r="AV20" s="2193">
        <f t="shared" si="11"/>
        <v>0</v>
      </c>
      <c r="AW20" s="2193">
        <f t="shared" si="12"/>
        <v>0</v>
      </c>
      <c r="AX20" s="2193">
        <f t="shared" si="13"/>
        <v>0</v>
      </c>
      <c r="AY20" s="329">
        <f t="shared" si="14"/>
        <v>0</v>
      </c>
      <c r="AZ20" s="322">
        <f t="shared" si="15"/>
        <v>0</v>
      </c>
      <c r="BA20" s="322">
        <f t="shared" si="16"/>
        <v>0</v>
      </c>
      <c r="BB20" s="322">
        <f t="shared" si="17"/>
        <v>0</v>
      </c>
      <c r="BC20" s="322">
        <f t="shared" si="18"/>
        <v>0</v>
      </c>
      <c r="BD20" s="322">
        <f t="shared" si="19"/>
        <v>0</v>
      </c>
      <c r="BE20" s="322">
        <f t="shared" si="20"/>
        <v>0</v>
      </c>
      <c r="BF20" s="322">
        <f t="shared" si="21"/>
        <v>0</v>
      </c>
      <c r="BG20" s="322">
        <f t="shared" si="22"/>
        <v>0</v>
      </c>
      <c r="BH20" s="322">
        <f t="shared" si="23"/>
        <v>0</v>
      </c>
      <c r="BI20" s="322">
        <f t="shared" si="24"/>
        <v>0</v>
      </c>
      <c r="BJ20" s="322">
        <f t="shared" si="25"/>
        <v>0</v>
      </c>
      <c r="BK20" s="322">
        <f t="shared" si="26"/>
        <v>0</v>
      </c>
      <c r="BL20" s="322">
        <f t="shared" si="27"/>
        <v>0</v>
      </c>
      <c r="BM20" s="322">
        <f t="shared" si="28"/>
        <v>0</v>
      </c>
      <c r="BN20" s="322">
        <f t="shared" si="29"/>
        <v>0</v>
      </c>
      <c r="BO20" s="322">
        <f t="shared" si="30"/>
        <v>0</v>
      </c>
      <c r="BP20" s="322">
        <f t="shared" si="31"/>
        <v>0</v>
      </c>
      <c r="BQ20" s="322">
        <f t="shared" si="32"/>
        <v>0</v>
      </c>
      <c r="BR20" s="322">
        <f t="shared" si="33"/>
        <v>0</v>
      </c>
      <c r="BS20" s="322">
        <f t="shared" si="34"/>
        <v>0</v>
      </c>
      <c r="BT20" s="330">
        <f t="shared" si="35"/>
        <v>0</v>
      </c>
    </row>
    <row r="21" spans="1:72" ht="14.25">
      <c r="A21" s="295"/>
      <c r="B21" s="321"/>
      <c r="C21" s="321"/>
      <c r="D21" s="2198"/>
      <c r="E21" s="322">
        <f t="shared" si="7"/>
        <v>0</v>
      </c>
      <c r="F21" s="323"/>
      <c r="G21" s="324">
        <f t="shared" si="8"/>
        <v>0</v>
      </c>
      <c r="H21" s="325">
        <f t="shared" si="9"/>
        <v>0</v>
      </c>
      <c r="I21" s="326"/>
      <c r="J21" s="326"/>
      <c r="K21" s="326"/>
      <c r="L21" s="326"/>
      <c r="M21" s="326"/>
      <c r="N21" s="326"/>
      <c r="O21" s="326"/>
      <c r="P21" s="326"/>
      <c r="Q21" s="326"/>
      <c r="R21" s="326"/>
      <c r="S21" s="326"/>
      <c r="T21" s="326"/>
      <c r="U21" s="326"/>
      <c r="V21" s="326"/>
      <c r="W21" s="326"/>
      <c r="X21" s="326"/>
      <c r="Y21" s="326"/>
      <c r="Z21" s="326"/>
      <c r="AA21" s="326"/>
      <c r="AB21" s="326"/>
      <c r="AC21" s="322">
        <f t="shared" si="10"/>
        <v>0</v>
      </c>
      <c r="AD21" s="327"/>
      <c r="AE21" s="327"/>
      <c r="AF21" s="327"/>
      <c r="AG21" s="327"/>
      <c r="AH21" s="327"/>
      <c r="AI21" s="327"/>
      <c r="AJ21" s="327"/>
      <c r="AK21" s="327"/>
      <c r="AL21" s="327"/>
      <c r="AM21" s="327"/>
      <c r="AN21" s="327"/>
      <c r="AO21" s="327"/>
      <c r="AP21" s="327"/>
      <c r="AQ21" s="327"/>
      <c r="AR21" s="327"/>
      <c r="AS21" s="327"/>
      <c r="AT21" s="328"/>
      <c r="AU21" s="8"/>
      <c r="AV21" s="2193">
        <f t="shared" si="11"/>
        <v>0</v>
      </c>
      <c r="AW21" s="2193">
        <f t="shared" si="12"/>
        <v>0</v>
      </c>
      <c r="AX21" s="2193">
        <f t="shared" si="13"/>
        <v>0</v>
      </c>
      <c r="AY21" s="329">
        <f t="shared" si="14"/>
        <v>0</v>
      </c>
      <c r="AZ21" s="322">
        <f t="shared" si="15"/>
        <v>0</v>
      </c>
      <c r="BA21" s="322">
        <f t="shared" si="16"/>
        <v>0</v>
      </c>
      <c r="BB21" s="322">
        <f t="shared" si="17"/>
        <v>0</v>
      </c>
      <c r="BC21" s="322">
        <f t="shared" si="18"/>
        <v>0</v>
      </c>
      <c r="BD21" s="322">
        <f t="shared" si="19"/>
        <v>0</v>
      </c>
      <c r="BE21" s="322">
        <f t="shared" si="20"/>
        <v>0</v>
      </c>
      <c r="BF21" s="322">
        <f t="shared" si="21"/>
        <v>0</v>
      </c>
      <c r="BG21" s="322">
        <f t="shared" si="22"/>
        <v>0</v>
      </c>
      <c r="BH21" s="322">
        <f t="shared" si="23"/>
        <v>0</v>
      </c>
      <c r="BI21" s="322">
        <f t="shared" si="24"/>
        <v>0</v>
      </c>
      <c r="BJ21" s="322">
        <f t="shared" si="25"/>
        <v>0</v>
      </c>
      <c r="BK21" s="322">
        <f t="shared" si="26"/>
        <v>0</v>
      </c>
      <c r="BL21" s="322">
        <f t="shared" si="27"/>
        <v>0</v>
      </c>
      <c r="BM21" s="322">
        <f t="shared" si="28"/>
        <v>0</v>
      </c>
      <c r="BN21" s="322">
        <f t="shared" si="29"/>
        <v>0</v>
      </c>
      <c r="BO21" s="322">
        <f t="shared" si="30"/>
        <v>0</v>
      </c>
      <c r="BP21" s="322">
        <f t="shared" si="31"/>
        <v>0</v>
      </c>
      <c r="BQ21" s="322">
        <f t="shared" si="32"/>
        <v>0</v>
      </c>
      <c r="BR21" s="322">
        <f t="shared" si="33"/>
        <v>0</v>
      </c>
      <c r="BS21" s="322">
        <f t="shared" si="34"/>
        <v>0</v>
      </c>
      <c r="BT21" s="330">
        <f t="shared" si="35"/>
        <v>0</v>
      </c>
    </row>
    <row r="22" spans="1:72" ht="14.25">
      <c r="A22" s="295"/>
      <c r="B22" s="321"/>
      <c r="C22" s="321"/>
      <c r="D22" s="2198"/>
      <c r="E22" s="322">
        <f t="shared" si="7"/>
        <v>0</v>
      </c>
      <c r="F22" s="323"/>
      <c r="G22" s="324">
        <f t="shared" si="8"/>
        <v>0</v>
      </c>
      <c r="H22" s="325">
        <f t="shared" si="9"/>
        <v>0</v>
      </c>
      <c r="I22" s="326"/>
      <c r="J22" s="326"/>
      <c r="K22" s="326"/>
      <c r="L22" s="326"/>
      <c r="M22" s="326"/>
      <c r="N22" s="326"/>
      <c r="O22" s="326"/>
      <c r="P22" s="326"/>
      <c r="Q22" s="326"/>
      <c r="R22" s="326"/>
      <c r="S22" s="326"/>
      <c r="T22" s="326"/>
      <c r="U22" s="326"/>
      <c r="V22" s="326"/>
      <c r="W22" s="326"/>
      <c r="X22" s="326"/>
      <c r="Y22" s="326"/>
      <c r="Z22" s="326"/>
      <c r="AA22" s="326"/>
      <c r="AB22" s="326"/>
      <c r="AC22" s="322">
        <f t="shared" si="10"/>
        <v>0</v>
      </c>
      <c r="AD22" s="327"/>
      <c r="AE22" s="327"/>
      <c r="AF22" s="327"/>
      <c r="AG22" s="327"/>
      <c r="AH22" s="327"/>
      <c r="AI22" s="327"/>
      <c r="AJ22" s="327"/>
      <c r="AK22" s="327"/>
      <c r="AL22" s="327"/>
      <c r="AM22" s="327"/>
      <c r="AN22" s="327"/>
      <c r="AO22" s="327"/>
      <c r="AP22" s="327"/>
      <c r="AQ22" s="327"/>
      <c r="AR22" s="327"/>
      <c r="AS22" s="327"/>
      <c r="AT22" s="328"/>
      <c r="AU22" s="8"/>
      <c r="AV22" s="2193">
        <f t="shared" si="11"/>
        <v>0</v>
      </c>
      <c r="AW22" s="2193">
        <f t="shared" si="12"/>
        <v>0</v>
      </c>
      <c r="AX22" s="2193">
        <f t="shared" si="13"/>
        <v>0</v>
      </c>
      <c r="AY22" s="329">
        <f t="shared" si="14"/>
        <v>0</v>
      </c>
      <c r="AZ22" s="322">
        <f t="shared" si="15"/>
        <v>0</v>
      </c>
      <c r="BA22" s="322">
        <f t="shared" si="16"/>
        <v>0</v>
      </c>
      <c r="BB22" s="322">
        <f t="shared" si="17"/>
        <v>0</v>
      </c>
      <c r="BC22" s="322">
        <f t="shared" si="18"/>
        <v>0</v>
      </c>
      <c r="BD22" s="322">
        <f t="shared" si="19"/>
        <v>0</v>
      </c>
      <c r="BE22" s="322">
        <f t="shared" si="20"/>
        <v>0</v>
      </c>
      <c r="BF22" s="322">
        <f t="shared" si="21"/>
        <v>0</v>
      </c>
      <c r="BG22" s="322">
        <f t="shared" si="22"/>
        <v>0</v>
      </c>
      <c r="BH22" s="322">
        <f t="shared" si="23"/>
        <v>0</v>
      </c>
      <c r="BI22" s="322">
        <f t="shared" si="24"/>
        <v>0</v>
      </c>
      <c r="BJ22" s="322">
        <f t="shared" si="25"/>
        <v>0</v>
      </c>
      <c r="BK22" s="322">
        <f t="shared" si="26"/>
        <v>0</v>
      </c>
      <c r="BL22" s="322">
        <f t="shared" si="27"/>
        <v>0</v>
      </c>
      <c r="BM22" s="322">
        <f t="shared" si="28"/>
        <v>0</v>
      </c>
      <c r="BN22" s="322">
        <f t="shared" si="29"/>
        <v>0</v>
      </c>
      <c r="BO22" s="322">
        <f t="shared" si="30"/>
        <v>0</v>
      </c>
      <c r="BP22" s="322">
        <f t="shared" si="31"/>
        <v>0</v>
      </c>
      <c r="BQ22" s="322">
        <f t="shared" si="32"/>
        <v>0</v>
      </c>
      <c r="BR22" s="322">
        <f t="shared" si="33"/>
        <v>0</v>
      </c>
      <c r="BS22" s="322">
        <f t="shared" si="34"/>
        <v>0</v>
      </c>
      <c r="BT22" s="330">
        <f t="shared" si="35"/>
        <v>0</v>
      </c>
    </row>
    <row r="23" spans="1:72" ht="14.25">
      <c r="A23" s="295"/>
      <c r="B23" s="321"/>
      <c r="C23" s="321"/>
      <c r="D23" s="2198"/>
      <c r="E23" s="322">
        <f t="shared" si="7"/>
        <v>0</v>
      </c>
      <c r="F23" s="323"/>
      <c r="G23" s="324">
        <f t="shared" si="8"/>
        <v>0</v>
      </c>
      <c r="H23" s="325">
        <f t="shared" si="9"/>
        <v>0</v>
      </c>
      <c r="I23" s="326"/>
      <c r="J23" s="326"/>
      <c r="K23" s="326"/>
      <c r="L23" s="326"/>
      <c r="M23" s="326"/>
      <c r="N23" s="326"/>
      <c r="O23" s="326"/>
      <c r="P23" s="326"/>
      <c r="Q23" s="326"/>
      <c r="R23" s="326"/>
      <c r="S23" s="326"/>
      <c r="T23" s="326"/>
      <c r="U23" s="326"/>
      <c r="V23" s="326"/>
      <c r="W23" s="326"/>
      <c r="X23" s="326"/>
      <c r="Y23" s="326"/>
      <c r="Z23" s="326"/>
      <c r="AA23" s="326"/>
      <c r="AB23" s="326"/>
      <c r="AC23" s="322">
        <f t="shared" si="10"/>
        <v>0</v>
      </c>
      <c r="AD23" s="327"/>
      <c r="AE23" s="327"/>
      <c r="AF23" s="327"/>
      <c r="AG23" s="327"/>
      <c r="AH23" s="327"/>
      <c r="AI23" s="327"/>
      <c r="AJ23" s="327"/>
      <c r="AK23" s="327"/>
      <c r="AL23" s="327"/>
      <c r="AM23" s="327"/>
      <c r="AN23" s="327"/>
      <c r="AO23" s="327"/>
      <c r="AP23" s="327"/>
      <c r="AQ23" s="327"/>
      <c r="AR23" s="327"/>
      <c r="AS23" s="327"/>
      <c r="AT23" s="328"/>
      <c r="AU23" s="8"/>
      <c r="AV23" s="2193">
        <f t="shared" si="11"/>
        <v>0</v>
      </c>
      <c r="AW23" s="2193">
        <f t="shared" si="12"/>
        <v>0</v>
      </c>
      <c r="AX23" s="2193">
        <f t="shared" si="13"/>
        <v>0</v>
      </c>
      <c r="AY23" s="329">
        <f t="shared" si="14"/>
        <v>0</v>
      </c>
      <c r="AZ23" s="322">
        <f t="shared" si="15"/>
        <v>0</v>
      </c>
      <c r="BA23" s="322">
        <f t="shared" si="16"/>
        <v>0</v>
      </c>
      <c r="BB23" s="322">
        <f t="shared" si="17"/>
        <v>0</v>
      </c>
      <c r="BC23" s="322">
        <f t="shared" si="18"/>
        <v>0</v>
      </c>
      <c r="BD23" s="322">
        <f t="shared" si="19"/>
        <v>0</v>
      </c>
      <c r="BE23" s="322">
        <f t="shared" si="20"/>
        <v>0</v>
      </c>
      <c r="BF23" s="322">
        <f t="shared" si="21"/>
        <v>0</v>
      </c>
      <c r="BG23" s="322">
        <f t="shared" si="22"/>
        <v>0</v>
      </c>
      <c r="BH23" s="322">
        <f t="shared" si="23"/>
        <v>0</v>
      </c>
      <c r="BI23" s="322">
        <f t="shared" si="24"/>
        <v>0</v>
      </c>
      <c r="BJ23" s="322">
        <f t="shared" si="25"/>
        <v>0</v>
      </c>
      <c r="BK23" s="322">
        <f t="shared" si="26"/>
        <v>0</v>
      </c>
      <c r="BL23" s="322">
        <f t="shared" si="27"/>
        <v>0</v>
      </c>
      <c r="BM23" s="322">
        <f t="shared" si="28"/>
        <v>0</v>
      </c>
      <c r="BN23" s="322">
        <f t="shared" si="29"/>
        <v>0</v>
      </c>
      <c r="BO23" s="322">
        <f t="shared" si="30"/>
        <v>0</v>
      </c>
      <c r="BP23" s="322">
        <f t="shared" si="31"/>
        <v>0</v>
      </c>
      <c r="BQ23" s="322">
        <f t="shared" si="32"/>
        <v>0</v>
      </c>
      <c r="BR23" s="322">
        <f t="shared" si="33"/>
        <v>0</v>
      </c>
      <c r="BS23" s="322">
        <f t="shared" si="34"/>
        <v>0</v>
      </c>
      <c r="BT23" s="330">
        <f t="shared" si="35"/>
        <v>0</v>
      </c>
    </row>
    <row r="24" spans="1:72" ht="14.25">
      <c r="A24" s="295"/>
      <c r="B24" s="321"/>
      <c r="C24" s="321"/>
      <c r="D24" s="2198"/>
      <c r="E24" s="322">
        <f t="shared" si="7"/>
        <v>0</v>
      </c>
      <c r="F24" s="323"/>
      <c r="G24" s="324">
        <f t="shared" si="8"/>
        <v>0</v>
      </c>
      <c r="H24" s="325">
        <f t="shared" si="9"/>
        <v>0</v>
      </c>
      <c r="I24" s="326"/>
      <c r="J24" s="326"/>
      <c r="K24" s="326"/>
      <c r="L24" s="326"/>
      <c r="M24" s="326"/>
      <c r="N24" s="326"/>
      <c r="O24" s="326"/>
      <c r="P24" s="326"/>
      <c r="Q24" s="326"/>
      <c r="R24" s="326"/>
      <c r="S24" s="326"/>
      <c r="T24" s="326"/>
      <c r="U24" s="326"/>
      <c r="V24" s="326"/>
      <c r="W24" s="326"/>
      <c r="X24" s="326"/>
      <c r="Y24" s="326"/>
      <c r="Z24" s="326"/>
      <c r="AA24" s="326"/>
      <c r="AB24" s="326"/>
      <c r="AC24" s="322">
        <f t="shared" si="10"/>
        <v>0</v>
      </c>
      <c r="AD24" s="327"/>
      <c r="AE24" s="327"/>
      <c r="AF24" s="327"/>
      <c r="AG24" s="327"/>
      <c r="AH24" s="327"/>
      <c r="AI24" s="327"/>
      <c r="AJ24" s="327"/>
      <c r="AK24" s="327"/>
      <c r="AL24" s="327"/>
      <c r="AM24" s="327"/>
      <c r="AN24" s="327"/>
      <c r="AO24" s="327"/>
      <c r="AP24" s="327"/>
      <c r="AQ24" s="327"/>
      <c r="AR24" s="327"/>
      <c r="AS24" s="327"/>
      <c r="AT24" s="328"/>
      <c r="AU24" s="8"/>
      <c r="AV24" s="2193">
        <f t="shared" si="11"/>
        <v>0</v>
      </c>
      <c r="AW24" s="2193">
        <f t="shared" si="12"/>
        <v>0</v>
      </c>
      <c r="AX24" s="2193">
        <f t="shared" si="13"/>
        <v>0</v>
      </c>
      <c r="AY24" s="329">
        <f t="shared" si="14"/>
        <v>0</v>
      </c>
      <c r="AZ24" s="322">
        <f t="shared" si="15"/>
        <v>0</v>
      </c>
      <c r="BA24" s="322">
        <f t="shared" si="16"/>
        <v>0</v>
      </c>
      <c r="BB24" s="322">
        <f t="shared" si="17"/>
        <v>0</v>
      </c>
      <c r="BC24" s="322">
        <f t="shared" si="18"/>
        <v>0</v>
      </c>
      <c r="BD24" s="322">
        <f t="shared" si="19"/>
        <v>0</v>
      </c>
      <c r="BE24" s="322">
        <f t="shared" si="20"/>
        <v>0</v>
      </c>
      <c r="BF24" s="322">
        <f t="shared" si="21"/>
        <v>0</v>
      </c>
      <c r="BG24" s="322">
        <f t="shared" si="22"/>
        <v>0</v>
      </c>
      <c r="BH24" s="322">
        <f t="shared" si="23"/>
        <v>0</v>
      </c>
      <c r="BI24" s="322">
        <f t="shared" si="24"/>
        <v>0</v>
      </c>
      <c r="BJ24" s="322">
        <f t="shared" si="25"/>
        <v>0</v>
      </c>
      <c r="BK24" s="322">
        <f t="shared" si="26"/>
        <v>0</v>
      </c>
      <c r="BL24" s="322">
        <f t="shared" si="27"/>
        <v>0</v>
      </c>
      <c r="BM24" s="322">
        <f t="shared" si="28"/>
        <v>0</v>
      </c>
      <c r="BN24" s="322">
        <f t="shared" si="29"/>
        <v>0</v>
      </c>
      <c r="BO24" s="322">
        <f t="shared" si="30"/>
        <v>0</v>
      </c>
      <c r="BP24" s="322">
        <f t="shared" si="31"/>
        <v>0</v>
      </c>
      <c r="BQ24" s="322">
        <f t="shared" si="32"/>
        <v>0</v>
      </c>
      <c r="BR24" s="322">
        <f t="shared" si="33"/>
        <v>0</v>
      </c>
      <c r="BS24" s="322">
        <f t="shared" si="34"/>
        <v>0</v>
      </c>
      <c r="BT24" s="330">
        <f t="shared" si="35"/>
        <v>0</v>
      </c>
    </row>
    <row r="25" spans="1:72" ht="14.25">
      <c r="A25" s="295"/>
      <c r="B25" s="321"/>
      <c r="C25" s="321"/>
      <c r="D25" s="2198"/>
      <c r="E25" s="322">
        <f t="shared" si="7"/>
        <v>0</v>
      </c>
      <c r="F25" s="323"/>
      <c r="G25" s="324">
        <f t="shared" si="8"/>
        <v>0</v>
      </c>
      <c r="H25" s="325">
        <f t="shared" si="9"/>
        <v>0</v>
      </c>
      <c r="I25" s="326"/>
      <c r="J25" s="326"/>
      <c r="K25" s="326"/>
      <c r="L25" s="326"/>
      <c r="M25" s="326"/>
      <c r="N25" s="326"/>
      <c r="O25" s="326"/>
      <c r="P25" s="326"/>
      <c r="Q25" s="326"/>
      <c r="R25" s="326"/>
      <c r="S25" s="326"/>
      <c r="T25" s="326"/>
      <c r="U25" s="326"/>
      <c r="V25" s="326"/>
      <c r="W25" s="326"/>
      <c r="X25" s="326"/>
      <c r="Y25" s="326"/>
      <c r="Z25" s="326"/>
      <c r="AA25" s="326"/>
      <c r="AB25" s="326"/>
      <c r="AC25" s="322">
        <f t="shared" si="10"/>
        <v>0</v>
      </c>
      <c r="AD25" s="327"/>
      <c r="AE25" s="327"/>
      <c r="AF25" s="327"/>
      <c r="AG25" s="327"/>
      <c r="AH25" s="327"/>
      <c r="AI25" s="327"/>
      <c r="AJ25" s="327"/>
      <c r="AK25" s="327"/>
      <c r="AL25" s="327"/>
      <c r="AM25" s="327"/>
      <c r="AN25" s="327"/>
      <c r="AO25" s="327"/>
      <c r="AP25" s="327"/>
      <c r="AQ25" s="327"/>
      <c r="AR25" s="327"/>
      <c r="AS25" s="327"/>
      <c r="AT25" s="328"/>
      <c r="AU25" s="8"/>
      <c r="AV25" s="2193">
        <f t="shared" si="11"/>
        <v>0</v>
      </c>
      <c r="AW25" s="2193">
        <f t="shared" si="12"/>
        <v>0</v>
      </c>
      <c r="AX25" s="2193">
        <f t="shared" si="13"/>
        <v>0</v>
      </c>
      <c r="AY25" s="329">
        <f t="shared" si="14"/>
        <v>0</v>
      </c>
      <c r="AZ25" s="322">
        <f t="shared" si="15"/>
        <v>0</v>
      </c>
      <c r="BA25" s="322">
        <f t="shared" si="16"/>
        <v>0</v>
      </c>
      <c r="BB25" s="322">
        <f t="shared" si="17"/>
        <v>0</v>
      </c>
      <c r="BC25" s="322">
        <f t="shared" si="18"/>
        <v>0</v>
      </c>
      <c r="BD25" s="322">
        <f t="shared" si="19"/>
        <v>0</v>
      </c>
      <c r="BE25" s="322">
        <f t="shared" si="20"/>
        <v>0</v>
      </c>
      <c r="BF25" s="322">
        <f t="shared" si="21"/>
        <v>0</v>
      </c>
      <c r="BG25" s="322">
        <f t="shared" si="22"/>
        <v>0</v>
      </c>
      <c r="BH25" s="322">
        <f t="shared" si="23"/>
        <v>0</v>
      </c>
      <c r="BI25" s="322">
        <f t="shared" si="24"/>
        <v>0</v>
      </c>
      <c r="BJ25" s="322">
        <f t="shared" si="25"/>
        <v>0</v>
      </c>
      <c r="BK25" s="322">
        <f t="shared" si="26"/>
        <v>0</v>
      </c>
      <c r="BL25" s="322">
        <f t="shared" si="27"/>
        <v>0</v>
      </c>
      <c r="BM25" s="322">
        <f t="shared" si="28"/>
        <v>0</v>
      </c>
      <c r="BN25" s="322">
        <f t="shared" si="29"/>
        <v>0</v>
      </c>
      <c r="BO25" s="322">
        <f t="shared" si="30"/>
        <v>0</v>
      </c>
      <c r="BP25" s="322">
        <f t="shared" si="31"/>
        <v>0</v>
      </c>
      <c r="BQ25" s="322">
        <f t="shared" si="32"/>
        <v>0</v>
      </c>
      <c r="BR25" s="322">
        <f t="shared" si="33"/>
        <v>0</v>
      </c>
      <c r="BS25" s="322">
        <f t="shared" si="34"/>
        <v>0</v>
      </c>
      <c r="BT25" s="330">
        <f t="shared" si="35"/>
        <v>0</v>
      </c>
    </row>
    <row r="26" spans="1:72" ht="14.25">
      <c r="A26" s="295"/>
      <c r="B26" s="321"/>
      <c r="C26" s="321"/>
      <c r="D26" s="2198"/>
      <c r="E26" s="322">
        <f t="shared" si="7"/>
        <v>0</v>
      </c>
      <c r="F26" s="323"/>
      <c r="G26" s="324">
        <f t="shared" si="8"/>
        <v>0</v>
      </c>
      <c r="H26" s="325">
        <f t="shared" si="9"/>
        <v>0</v>
      </c>
      <c r="I26" s="326"/>
      <c r="J26" s="326"/>
      <c r="K26" s="326"/>
      <c r="L26" s="326"/>
      <c r="M26" s="326"/>
      <c r="N26" s="326"/>
      <c r="O26" s="326"/>
      <c r="P26" s="326"/>
      <c r="Q26" s="326"/>
      <c r="R26" s="326"/>
      <c r="S26" s="326"/>
      <c r="T26" s="326"/>
      <c r="U26" s="326"/>
      <c r="V26" s="326"/>
      <c r="W26" s="326"/>
      <c r="X26" s="326"/>
      <c r="Y26" s="326"/>
      <c r="Z26" s="326"/>
      <c r="AA26" s="326"/>
      <c r="AB26" s="326"/>
      <c r="AC26" s="322">
        <f t="shared" si="10"/>
        <v>0</v>
      </c>
      <c r="AD26" s="327"/>
      <c r="AE26" s="327"/>
      <c r="AF26" s="327"/>
      <c r="AG26" s="327"/>
      <c r="AH26" s="327"/>
      <c r="AI26" s="327"/>
      <c r="AJ26" s="327"/>
      <c r="AK26" s="327"/>
      <c r="AL26" s="327"/>
      <c r="AM26" s="327"/>
      <c r="AN26" s="327"/>
      <c r="AO26" s="327"/>
      <c r="AP26" s="327"/>
      <c r="AQ26" s="327"/>
      <c r="AR26" s="327"/>
      <c r="AS26" s="327"/>
      <c r="AT26" s="328"/>
      <c r="AU26" s="8"/>
      <c r="AV26" s="2193">
        <f t="shared" si="11"/>
        <v>0</v>
      </c>
      <c r="AW26" s="2193">
        <f t="shared" si="12"/>
        <v>0</v>
      </c>
      <c r="AX26" s="2193">
        <f t="shared" si="13"/>
        <v>0</v>
      </c>
      <c r="AY26" s="329">
        <f t="shared" si="14"/>
        <v>0</v>
      </c>
      <c r="AZ26" s="322">
        <f t="shared" si="15"/>
        <v>0</v>
      </c>
      <c r="BA26" s="322">
        <f t="shared" si="16"/>
        <v>0</v>
      </c>
      <c r="BB26" s="322">
        <f t="shared" si="17"/>
        <v>0</v>
      </c>
      <c r="BC26" s="322">
        <f t="shared" si="18"/>
        <v>0</v>
      </c>
      <c r="BD26" s="322">
        <f t="shared" si="19"/>
        <v>0</v>
      </c>
      <c r="BE26" s="322">
        <f t="shared" si="20"/>
        <v>0</v>
      </c>
      <c r="BF26" s="322">
        <f t="shared" si="21"/>
        <v>0</v>
      </c>
      <c r="BG26" s="322">
        <f t="shared" si="22"/>
        <v>0</v>
      </c>
      <c r="BH26" s="322">
        <f t="shared" si="23"/>
        <v>0</v>
      </c>
      <c r="BI26" s="322">
        <f t="shared" si="24"/>
        <v>0</v>
      </c>
      <c r="BJ26" s="322">
        <f t="shared" si="25"/>
        <v>0</v>
      </c>
      <c r="BK26" s="322">
        <f t="shared" si="26"/>
        <v>0</v>
      </c>
      <c r="BL26" s="322">
        <f t="shared" si="27"/>
        <v>0</v>
      </c>
      <c r="BM26" s="322">
        <f t="shared" si="28"/>
        <v>0</v>
      </c>
      <c r="BN26" s="322">
        <f t="shared" si="29"/>
        <v>0</v>
      </c>
      <c r="BO26" s="322">
        <f t="shared" si="30"/>
        <v>0</v>
      </c>
      <c r="BP26" s="322">
        <f t="shared" si="31"/>
        <v>0</v>
      </c>
      <c r="BQ26" s="322">
        <f t="shared" si="32"/>
        <v>0</v>
      </c>
      <c r="BR26" s="322">
        <f t="shared" si="33"/>
        <v>0</v>
      </c>
      <c r="BS26" s="322">
        <f t="shared" si="34"/>
        <v>0</v>
      </c>
      <c r="BT26" s="330">
        <f t="shared" si="35"/>
        <v>0</v>
      </c>
    </row>
    <row r="27" spans="1:72" ht="14.25">
      <c r="A27" s="295"/>
      <c r="B27" s="321"/>
      <c r="C27" s="321"/>
      <c r="D27" s="2198"/>
      <c r="E27" s="322">
        <f t="shared" si="7"/>
        <v>0</v>
      </c>
      <c r="F27" s="323"/>
      <c r="G27" s="324">
        <f t="shared" si="8"/>
        <v>0</v>
      </c>
      <c r="H27" s="325">
        <f t="shared" si="9"/>
        <v>0</v>
      </c>
      <c r="I27" s="326"/>
      <c r="J27" s="326"/>
      <c r="K27" s="326"/>
      <c r="L27" s="326"/>
      <c r="M27" s="326"/>
      <c r="N27" s="326"/>
      <c r="O27" s="326"/>
      <c r="P27" s="326"/>
      <c r="Q27" s="326"/>
      <c r="R27" s="326"/>
      <c r="S27" s="326"/>
      <c r="T27" s="326"/>
      <c r="U27" s="326"/>
      <c r="V27" s="326"/>
      <c r="W27" s="326"/>
      <c r="X27" s="326"/>
      <c r="Y27" s="326"/>
      <c r="Z27" s="326"/>
      <c r="AA27" s="326"/>
      <c r="AB27" s="326"/>
      <c r="AC27" s="322">
        <f t="shared" si="10"/>
        <v>0</v>
      </c>
      <c r="AD27" s="327"/>
      <c r="AE27" s="327"/>
      <c r="AF27" s="327"/>
      <c r="AG27" s="327"/>
      <c r="AH27" s="327"/>
      <c r="AI27" s="327"/>
      <c r="AJ27" s="327"/>
      <c r="AK27" s="327"/>
      <c r="AL27" s="327"/>
      <c r="AM27" s="327"/>
      <c r="AN27" s="327"/>
      <c r="AO27" s="327"/>
      <c r="AP27" s="327"/>
      <c r="AQ27" s="327"/>
      <c r="AR27" s="327"/>
      <c r="AS27" s="327"/>
      <c r="AT27" s="328"/>
      <c r="AU27" s="8"/>
      <c r="AV27" s="2193">
        <f t="shared" si="11"/>
        <v>0</v>
      </c>
      <c r="AW27" s="2193">
        <f t="shared" si="12"/>
        <v>0</v>
      </c>
      <c r="AX27" s="2193">
        <f t="shared" si="13"/>
        <v>0</v>
      </c>
      <c r="AY27" s="329">
        <f t="shared" si="14"/>
        <v>0</v>
      </c>
      <c r="AZ27" s="322">
        <f t="shared" si="15"/>
        <v>0</v>
      </c>
      <c r="BA27" s="322">
        <f t="shared" si="16"/>
        <v>0</v>
      </c>
      <c r="BB27" s="322">
        <f t="shared" si="17"/>
        <v>0</v>
      </c>
      <c r="BC27" s="322">
        <f t="shared" si="18"/>
        <v>0</v>
      </c>
      <c r="BD27" s="322">
        <f t="shared" si="19"/>
        <v>0</v>
      </c>
      <c r="BE27" s="322">
        <f t="shared" si="20"/>
        <v>0</v>
      </c>
      <c r="BF27" s="322">
        <f t="shared" si="21"/>
        <v>0</v>
      </c>
      <c r="BG27" s="322">
        <f t="shared" si="22"/>
        <v>0</v>
      </c>
      <c r="BH27" s="322">
        <f t="shared" si="23"/>
        <v>0</v>
      </c>
      <c r="BI27" s="322">
        <f t="shared" si="24"/>
        <v>0</v>
      </c>
      <c r="BJ27" s="322">
        <f t="shared" si="25"/>
        <v>0</v>
      </c>
      <c r="BK27" s="322">
        <f t="shared" si="26"/>
        <v>0</v>
      </c>
      <c r="BL27" s="322">
        <f t="shared" si="27"/>
        <v>0</v>
      </c>
      <c r="BM27" s="322">
        <f t="shared" si="28"/>
        <v>0</v>
      </c>
      <c r="BN27" s="322">
        <f t="shared" si="29"/>
        <v>0</v>
      </c>
      <c r="BO27" s="322">
        <f t="shared" si="30"/>
        <v>0</v>
      </c>
      <c r="BP27" s="322">
        <f t="shared" si="31"/>
        <v>0</v>
      </c>
      <c r="BQ27" s="322">
        <f t="shared" si="32"/>
        <v>0</v>
      </c>
      <c r="BR27" s="322">
        <f t="shared" si="33"/>
        <v>0</v>
      </c>
      <c r="BS27" s="322">
        <f t="shared" si="34"/>
        <v>0</v>
      </c>
      <c r="BT27" s="330">
        <f t="shared" si="35"/>
        <v>0</v>
      </c>
    </row>
    <row r="28" spans="1:72" ht="14.25">
      <c r="A28" s="295"/>
      <c r="B28" s="321"/>
      <c r="C28" s="321"/>
      <c r="D28" s="2198"/>
      <c r="E28" s="322">
        <f t="shared" si="7"/>
        <v>0</v>
      </c>
      <c r="F28" s="323"/>
      <c r="G28" s="324">
        <f t="shared" si="8"/>
        <v>0</v>
      </c>
      <c r="H28" s="325">
        <f t="shared" si="9"/>
        <v>0</v>
      </c>
      <c r="I28" s="326"/>
      <c r="J28" s="326"/>
      <c r="K28" s="326"/>
      <c r="L28" s="326"/>
      <c r="M28" s="326"/>
      <c r="N28" s="326"/>
      <c r="O28" s="326"/>
      <c r="P28" s="326"/>
      <c r="Q28" s="326"/>
      <c r="R28" s="326"/>
      <c r="S28" s="326"/>
      <c r="T28" s="326"/>
      <c r="U28" s="326"/>
      <c r="V28" s="326"/>
      <c r="W28" s="326"/>
      <c r="X28" s="326"/>
      <c r="Y28" s="326"/>
      <c r="Z28" s="326"/>
      <c r="AA28" s="326"/>
      <c r="AB28" s="326"/>
      <c r="AC28" s="322">
        <f t="shared" si="10"/>
        <v>0</v>
      </c>
      <c r="AD28" s="327"/>
      <c r="AE28" s="327"/>
      <c r="AF28" s="327"/>
      <c r="AG28" s="327"/>
      <c r="AH28" s="327"/>
      <c r="AI28" s="327"/>
      <c r="AJ28" s="327"/>
      <c r="AK28" s="327"/>
      <c r="AL28" s="327"/>
      <c r="AM28" s="327"/>
      <c r="AN28" s="327"/>
      <c r="AO28" s="327"/>
      <c r="AP28" s="327"/>
      <c r="AQ28" s="327"/>
      <c r="AR28" s="327"/>
      <c r="AS28" s="327"/>
      <c r="AT28" s="328"/>
      <c r="AU28" s="8"/>
      <c r="AV28" s="2193">
        <f t="shared" si="11"/>
        <v>0</v>
      </c>
      <c r="AW28" s="2193">
        <f t="shared" si="12"/>
        <v>0</v>
      </c>
      <c r="AX28" s="2193">
        <f t="shared" si="13"/>
        <v>0</v>
      </c>
      <c r="AY28" s="329">
        <f t="shared" si="14"/>
        <v>0</v>
      </c>
      <c r="AZ28" s="322">
        <f t="shared" si="15"/>
        <v>0</v>
      </c>
      <c r="BA28" s="322">
        <f t="shared" si="16"/>
        <v>0</v>
      </c>
      <c r="BB28" s="322">
        <f t="shared" si="17"/>
        <v>0</v>
      </c>
      <c r="BC28" s="322">
        <f t="shared" si="18"/>
        <v>0</v>
      </c>
      <c r="BD28" s="322">
        <f t="shared" si="19"/>
        <v>0</v>
      </c>
      <c r="BE28" s="322">
        <f t="shared" si="20"/>
        <v>0</v>
      </c>
      <c r="BF28" s="322">
        <f t="shared" si="21"/>
        <v>0</v>
      </c>
      <c r="BG28" s="322">
        <f t="shared" si="22"/>
        <v>0</v>
      </c>
      <c r="BH28" s="322">
        <f t="shared" si="23"/>
        <v>0</v>
      </c>
      <c r="BI28" s="322">
        <f t="shared" si="24"/>
        <v>0</v>
      </c>
      <c r="BJ28" s="322">
        <f t="shared" si="25"/>
        <v>0</v>
      </c>
      <c r="BK28" s="322">
        <f t="shared" si="26"/>
        <v>0</v>
      </c>
      <c r="BL28" s="322">
        <f t="shared" si="27"/>
        <v>0</v>
      </c>
      <c r="BM28" s="322">
        <f t="shared" si="28"/>
        <v>0</v>
      </c>
      <c r="BN28" s="322">
        <f t="shared" si="29"/>
        <v>0</v>
      </c>
      <c r="BO28" s="322">
        <f t="shared" si="30"/>
        <v>0</v>
      </c>
      <c r="BP28" s="322">
        <f t="shared" si="31"/>
        <v>0</v>
      </c>
      <c r="BQ28" s="322">
        <f t="shared" si="32"/>
        <v>0</v>
      </c>
      <c r="BR28" s="322">
        <f t="shared" si="33"/>
        <v>0</v>
      </c>
      <c r="BS28" s="322">
        <f t="shared" si="34"/>
        <v>0</v>
      </c>
      <c r="BT28" s="330">
        <f t="shared" si="35"/>
        <v>0</v>
      </c>
    </row>
    <row r="29" spans="1:72" ht="14.25">
      <c r="A29" s="295"/>
      <c r="B29" s="321"/>
      <c r="C29" s="321"/>
      <c r="D29" s="2198"/>
      <c r="E29" s="322">
        <f t="shared" si="7"/>
        <v>0</v>
      </c>
      <c r="F29" s="323"/>
      <c r="G29" s="324">
        <f t="shared" si="8"/>
        <v>0</v>
      </c>
      <c r="H29" s="325">
        <f t="shared" si="9"/>
        <v>0</v>
      </c>
      <c r="I29" s="326"/>
      <c r="J29" s="326"/>
      <c r="K29" s="326"/>
      <c r="L29" s="326"/>
      <c r="M29" s="326"/>
      <c r="N29" s="326"/>
      <c r="O29" s="326"/>
      <c r="P29" s="326"/>
      <c r="Q29" s="326"/>
      <c r="R29" s="326"/>
      <c r="S29" s="326"/>
      <c r="T29" s="326"/>
      <c r="U29" s="326"/>
      <c r="V29" s="326"/>
      <c r="W29" s="326"/>
      <c r="X29" s="326"/>
      <c r="Y29" s="326"/>
      <c r="Z29" s="326"/>
      <c r="AA29" s="326"/>
      <c r="AB29" s="326"/>
      <c r="AC29" s="322">
        <f t="shared" si="10"/>
        <v>0</v>
      </c>
      <c r="AD29" s="327"/>
      <c r="AE29" s="327"/>
      <c r="AF29" s="327"/>
      <c r="AG29" s="327"/>
      <c r="AH29" s="327"/>
      <c r="AI29" s="327"/>
      <c r="AJ29" s="327"/>
      <c r="AK29" s="327"/>
      <c r="AL29" s="327"/>
      <c r="AM29" s="327"/>
      <c r="AN29" s="327"/>
      <c r="AO29" s="327"/>
      <c r="AP29" s="327"/>
      <c r="AQ29" s="327"/>
      <c r="AR29" s="327"/>
      <c r="AS29" s="327"/>
      <c r="AT29" s="328"/>
      <c r="AU29" s="8"/>
      <c r="AV29" s="2193">
        <f t="shared" si="11"/>
        <v>0</v>
      </c>
      <c r="AW29" s="2193">
        <f t="shared" si="12"/>
        <v>0</v>
      </c>
      <c r="AX29" s="2193">
        <f t="shared" si="13"/>
        <v>0</v>
      </c>
      <c r="AY29" s="329">
        <f t="shared" si="14"/>
        <v>0</v>
      </c>
      <c r="AZ29" s="322">
        <f t="shared" si="15"/>
        <v>0</v>
      </c>
      <c r="BA29" s="322">
        <f t="shared" si="16"/>
        <v>0</v>
      </c>
      <c r="BB29" s="322">
        <f t="shared" si="17"/>
        <v>0</v>
      </c>
      <c r="BC29" s="322">
        <f t="shared" si="18"/>
        <v>0</v>
      </c>
      <c r="BD29" s="322">
        <f t="shared" si="19"/>
        <v>0</v>
      </c>
      <c r="BE29" s="322">
        <f t="shared" si="20"/>
        <v>0</v>
      </c>
      <c r="BF29" s="322">
        <f t="shared" si="21"/>
        <v>0</v>
      </c>
      <c r="BG29" s="322">
        <f t="shared" si="22"/>
        <v>0</v>
      </c>
      <c r="BH29" s="322">
        <f t="shared" si="23"/>
        <v>0</v>
      </c>
      <c r="BI29" s="322">
        <f t="shared" si="24"/>
        <v>0</v>
      </c>
      <c r="BJ29" s="322">
        <f t="shared" si="25"/>
        <v>0</v>
      </c>
      <c r="BK29" s="322">
        <f t="shared" si="26"/>
        <v>0</v>
      </c>
      <c r="BL29" s="322">
        <f t="shared" si="27"/>
        <v>0</v>
      </c>
      <c r="BM29" s="322">
        <f t="shared" si="28"/>
        <v>0</v>
      </c>
      <c r="BN29" s="322">
        <f t="shared" si="29"/>
        <v>0</v>
      </c>
      <c r="BO29" s="322">
        <f t="shared" si="30"/>
        <v>0</v>
      </c>
      <c r="BP29" s="322">
        <f t="shared" si="31"/>
        <v>0</v>
      </c>
      <c r="BQ29" s="322">
        <f t="shared" si="32"/>
        <v>0</v>
      </c>
      <c r="BR29" s="322">
        <f t="shared" si="33"/>
        <v>0</v>
      </c>
      <c r="BS29" s="322">
        <f t="shared" si="34"/>
        <v>0</v>
      </c>
      <c r="BT29" s="330">
        <f t="shared" si="35"/>
        <v>0</v>
      </c>
    </row>
    <row r="30" spans="1:72" ht="14.25">
      <c r="A30" s="295"/>
      <c r="B30" s="321"/>
      <c r="C30" s="321"/>
      <c r="D30" s="2198"/>
      <c r="E30" s="322">
        <f t="shared" si="7"/>
        <v>0</v>
      </c>
      <c r="F30" s="323"/>
      <c r="G30" s="324">
        <f t="shared" si="8"/>
        <v>0</v>
      </c>
      <c r="H30" s="325">
        <f t="shared" si="9"/>
        <v>0</v>
      </c>
      <c r="I30" s="326"/>
      <c r="J30" s="326"/>
      <c r="K30" s="326"/>
      <c r="L30" s="326"/>
      <c r="M30" s="326"/>
      <c r="N30" s="326"/>
      <c r="O30" s="326"/>
      <c r="P30" s="326"/>
      <c r="Q30" s="326"/>
      <c r="R30" s="326"/>
      <c r="S30" s="326"/>
      <c r="T30" s="326"/>
      <c r="U30" s="326"/>
      <c r="V30" s="326"/>
      <c r="W30" s="326"/>
      <c r="X30" s="326"/>
      <c r="Y30" s="326"/>
      <c r="Z30" s="326"/>
      <c r="AA30" s="326"/>
      <c r="AB30" s="326"/>
      <c r="AC30" s="322">
        <f t="shared" si="10"/>
        <v>0</v>
      </c>
      <c r="AD30" s="327"/>
      <c r="AE30" s="327"/>
      <c r="AF30" s="327"/>
      <c r="AG30" s="327"/>
      <c r="AH30" s="327"/>
      <c r="AI30" s="327"/>
      <c r="AJ30" s="327"/>
      <c r="AK30" s="327"/>
      <c r="AL30" s="327"/>
      <c r="AM30" s="327"/>
      <c r="AN30" s="327"/>
      <c r="AO30" s="327"/>
      <c r="AP30" s="327"/>
      <c r="AQ30" s="327"/>
      <c r="AR30" s="327"/>
      <c r="AS30" s="327"/>
      <c r="AT30" s="328"/>
      <c r="AU30" s="8"/>
      <c r="AV30" s="2193">
        <f t="shared" si="11"/>
        <v>0</v>
      </c>
      <c r="AW30" s="2193">
        <f t="shared" si="12"/>
        <v>0</v>
      </c>
      <c r="AX30" s="2193">
        <f t="shared" si="13"/>
        <v>0</v>
      </c>
      <c r="AY30" s="329">
        <f t="shared" si="14"/>
        <v>0</v>
      </c>
      <c r="AZ30" s="322">
        <f t="shared" si="15"/>
        <v>0</v>
      </c>
      <c r="BA30" s="322">
        <f t="shared" si="16"/>
        <v>0</v>
      </c>
      <c r="BB30" s="322">
        <f t="shared" si="17"/>
        <v>0</v>
      </c>
      <c r="BC30" s="322">
        <f t="shared" si="18"/>
        <v>0</v>
      </c>
      <c r="BD30" s="322">
        <f t="shared" si="19"/>
        <v>0</v>
      </c>
      <c r="BE30" s="322">
        <f t="shared" si="20"/>
        <v>0</v>
      </c>
      <c r="BF30" s="322">
        <f t="shared" si="21"/>
        <v>0</v>
      </c>
      <c r="BG30" s="322">
        <f t="shared" si="22"/>
        <v>0</v>
      </c>
      <c r="BH30" s="322">
        <f t="shared" si="23"/>
        <v>0</v>
      </c>
      <c r="BI30" s="322">
        <f t="shared" si="24"/>
        <v>0</v>
      </c>
      <c r="BJ30" s="322">
        <f t="shared" si="25"/>
        <v>0</v>
      </c>
      <c r="BK30" s="322">
        <f t="shared" si="26"/>
        <v>0</v>
      </c>
      <c r="BL30" s="322">
        <f t="shared" si="27"/>
        <v>0</v>
      </c>
      <c r="BM30" s="322">
        <f t="shared" si="28"/>
        <v>0</v>
      </c>
      <c r="BN30" s="322">
        <f t="shared" si="29"/>
        <v>0</v>
      </c>
      <c r="BO30" s="322">
        <f t="shared" si="30"/>
        <v>0</v>
      </c>
      <c r="BP30" s="322">
        <f t="shared" si="31"/>
        <v>0</v>
      </c>
      <c r="BQ30" s="322">
        <f t="shared" si="32"/>
        <v>0</v>
      </c>
      <c r="BR30" s="322">
        <f t="shared" si="33"/>
        <v>0</v>
      </c>
      <c r="BS30" s="322">
        <f t="shared" si="34"/>
        <v>0</v>
      </c>
      <c r="BT30" s="330">
        <f t="shared" si="35"/>
        <v>0</v>
      </c>
    </row>
    <row r="31" spans="1:72" ht="14.25">
      <c r="A31" s="295"/>
      <c r="B31" s="321"/>
      <c r="C31" s="321"/>
      <c r="D31" s="2198"/>
      <c r="E31" s="322">
        <f t="shared" si="7"/>
        <v>0</v>
      </c>
      <c r="F31" s="323"/>
      <c r="G31" s="324">
        <f t="shared" si="8"/>
        <v>0</v>
      </c>
      <c r="H31" s="325">
        <f t="shared" si="9"/>
        <v>0</v>
      </c>
      <c r="I31" s="326"/>
      <c r="J31" s="326"/>
      <c r="K31" s="326"/>
      <c r="L31" s="326"/>
      <c r="M31" s="326"/>
      <c r="N31" s="326"/>
      <c r="O31" s="326"/>
      <c r="P31" s="326"/>
      <c r="Q31" s="326"/>
      <c r="R31" s="326"/>
      <c r="S31" s="326"/>
      <c r="T31" s="326"/>
      <c r="U31" s="326"/>
      <c r="V31" s="326"/>
      <c r="W31" s="326"/>
      <c r="X31" s="326"/>
      <c r="Y31" s="326"/>
      <c r="Z31" s="326"/>
      <c r="AA31" s="326"/>
      <c r="AB31" s="326"/>
      <c r="AC31" s="322">
        <f t="shared" si="10"/>
        <v>0</v>
      </c>
      <c r="AD31" s="327"/>
      <c r="AE31" s="327"/>
      <c r="AF31" s="327"/>
      <c r="AG31" s="327"/>
      <c r="AH31" s="327"/>
      <c r="AI31" s="327"/>
      <c r="AJ31" s="327"/>
      <c r="AK31" s="327"/>
      <c r="AL31" s="327"/>
      <c r="AM31" s="327"/>
      <c r="AN31" s="327"/>
      <c r="AO31" s="327"/>
      <c r="AP31" s="327"/>
      <c r="AQ31" s="327"/>
      <c r="AR31" s="327"/>
      <c r="AS31" s="327"/>
      <c r="AT31" s="328"/>
      <c r="AU31" s="8"/>
      <c r="AV31" s="2193">
        <f t="shared" si="11"/>
        <v>0</v>
      </c>
      <c r="AW31" s="2193">
        <f t="shared" si="12"/>
        <v>0</v>
      </c>
      <c r="AX31" s="2193">
        <f t="shared" si="13"/>
        <v>0</v>
      </c>
      <c r="AY31" s="329">
        <f t="shared" si="14"/>
        <v>0</v>
      </c>
      <c r="AZ31" s="322">
        <f t="shared" si="15"/>
        <v>0</v>
      </c>
      <c r="BA31" s="322">
        <f t="shared" si="16"/>
        <v>0</v>
      </c>
      <c r="BB31" s="322">
        <f t="shared" si="17"/>
        <v>0</v>
      </c>
      <c r="BC31" s="322">
        <f t="shared" si="18"/>
        <v>0</v>
      </c>
      <c r="BD31" s="322">
        <f t="shared" si="19"/>
        <v>0</v>
      </c>
      <c r="BE31" s="322">
        <f t="shared" si="20"/>
        <v>0</v>
      </c>
      <c r="BF31" s="322">
        <f t="shared" si="21"/>
        <v>0</v>
      </c>
      <c r="BG31" s="322">
        <f t="shared" si="22"/>
        <v>0</v>
      </c>
      <c r="BH31" s="322">
        <f t="shared" si="23"/>
        <v>0</v>
      </c>
      <c r="BI31" s="322">
        <f t="shared" si="24"/>
        <v>0</v>
      </c>
      <c r="BJ31" s="322">
        <f t="shared" si="25"/>
        <v>0</v>
      </c>
      <c r="BK31" s="322">
        <f t="shared" si="26"/>
        <v>0</v>
      </c>
      <c r="BL31" s="322">
        <f t="shared" si="27"/>
        <v>0</v>
      </c>
      <c r="BM31" s="322">
        <f t="shared" si="28"/>
        <v>0</v>
      </c>
      <c r="BN31" s="322">
        <f t="shared" si="29"/>
        <v>0</v>
      </c>
      <c r="BO31" s="322">
        <f t="shared" si="30"/>
        <v>0</v>
      </c>
      <c r="BP31" s="322">
        <f t="shared" si="31"/>
        <v>0</v>
      </c>
      <c r="BQ31" s="322">
        <f t="shared" si="32"/>
        <v>0</v>
      </c>
      <c r="BR31" s="322">
        <f t="shared" si="33"/>
        <v>0</v>
      </c>
      <c r="BS31" s="322">
        <f t="shared" si="34"/>
        <v>0</v>
      </c>
      <c r="BT31" s="330">
        <f t="shared" si="35"/>
        <v>0</v>
      </c>
    </row>
    <row r="32" spans="1:72" ht="14.25">
      <c r="A32" s="295"/>
      <c r="B32" s="321"/>
      <c r="C32" s="321"/>
      <c r="D32" s="2198"/>
      <c r="E32" s="322">
        <f t="shared" si="7"/>
        <v>0</v>
      </c>
      <c r="F32" s="323"/>
      <c r="G32" s="324">
        <f t="shared" si="8"/>
        <v>0</v>
      </c>
      <c r="H32" s="325">
        <f t="shared" si="9"/>
        <v>0</v>
      </c>
      <c r="I32" s="326"/>
      <c r="J32" s="326"/>
      <c r="K32" s="326"/>
      <c r="L32" s="326"/>
      <c r="M32" s="326"/>
      <c r="N32" s="326"/>
      <c r="O32" s="326"/>
      <c r="P32" s="326"/>
      <c r="Q32" s="326"/>
      <c r="R32" s="326"/>
      <c r="S32" s="326"/>
      <c r="T32" s="326"/>
      <c r="U32" s="326"/>
      <c r="V32" s="326"/>
      <c r="W32" s="326"/>
      <c r="X32" s="326"/>
      <c r="Y32" s="326"/>
      <c r="Z32" s="326"/>
      <c r="AA32" s="326"/>
      <c r="AB32" s="326"/>
      <c r="AC32" s="322">
        <f t="shared" si="10"/>
        <v>0</v>
      </c>
      <c r="AD32" s="327"/>
      <c r="AE32" s="327"/>
      <c r="AF32" s="327"/>
      <c r="AG32" s="327"/>
      <c r="AH32" s="327"/>
      <c r="AI32" s="327"/>
      <c r="AJ32" s="327"/>
      <c r="AK32" s="327"/>
      <c r="AL32" s="327"/>
      <c r="AM32" s="327"/>
      <c r="AN32" s="327"/>
      <c r="AO32" s="327"/>
      <c r="AP32" s="327"/>
      <c r="AQ32" s="327"/>
      <c r="AR32" s="327"/>
      <c r="AS32" s="327"/>
      <c r="AT32" s="328"/>
      <c r="AU32" s="8"/>
      <c r="AV32" s="2193">
        <f t="shared" si="11"/>
        <v>0</v>
      </c>
      <c r="AW32" s="2193">
        <f t="shared" si="12"/>
        <v>0</v>
      </c>
      <c r="AX32" s="2193">
        <f t="shared" si="13"/>
        <v>0</v>
      </c>
      <c r="AY32" s="329">
        <f t="shared" si="14"/>
        <v>0</v>
      </c>
      <c r="AZ32" s="322">
        <f t="shared" si="15"/>
        <v>0</v>
      </c>
      <c r="BA32" s="322">
        <f t="shared" si="16"/>
        <v>0</v>
      </c>
      <c r="BB32" s="322">
        <f t="shared" si="17"/>
        <v>0</v>
      </c>
      <c r="BC32" s="322">
        <f t="shared" si="18"/>
        <v>0</v>
      </c>
      <c r="BD32" s="322">
        <f t="shared" si="19"/>
        <v>0</v>
      </c>
      <c r="BE32" s="322">
        <f t="shared" si="20"/>
        <v>0</v>
      </c>
      <c r="BF32" s="322">
        <f t="shared" si="21"/>
        <v>0</v>
      </c>
      <c r="BG32" s="322">
        <f t="shared" si="22"/>
        <v>0</v>
      </c>
      <c r="BH32" s="322">
        <f t="shared" si="23"/>
        <v>0</v>
      </c>
      <c r="BI32" s="322">
        <f t="shared" si="24"/>
        <v>0</v>
      </c>
      <c r="BJ32" s="322">
        <f t="shared" si="25"/>
        <v>0</v>
      </c>
      <c r="BK32" s="322">
        <f t="shared" si="26"/>
        <v>0</v>
      </c>
      <c r="BL32" s="322">
        <f t="shared" si="27"/>
        <v>0</v>
      </c>
      <c r="BM32" s="322">
        <f t="shared" si="28"/>
        <v>0</v>
      </c>
      <c r="BN32" s="322">
        <f t="shared" si="29"/>
        <v>0</v>
      </c>
      <c r="BO32" s="322">
        <f t="shared" si="30"/>
        <v>0</v>
      </c>
      <c r="BP32" s="322">
        <f t="shared" si="31"/>
        <v>0</v>
      </c>
      <c r="BQ32" s="322">
        <f t="shared" si="32"/>
        <v>0</v>
      </c>
      <c r="BR32" s="322">
        <f t="shared" si="33"/>
        <v>0</v>
      </c>
      <c r="BS32" s="322">
        <f t="shared" si="34"/>
        <v>0</v>
      </c>
      <c r="BT32" s="330">
        <f t="shared" si="35"/>
        <v>0</v>
      </c>
    </row>
    <row r="33" spans="1:72" ht="14.25">
      <c r="A33" s="295"/>
      <c r="B33" s="321"/>
      <c r="C33" s="321"/>
      <c r="D33" s="2198"/>
      <c r="E33" s="322">
        <f t="shared" si="7"/>
        <v>0</v>
      </c>
      <c r="F33" s="323"/>
      <c r="G33" s="324">
        <f t="shared" si="8"/>
        <v>0</v>
      </c>
      <c r="H33" s="325">
        <f t="shared" si="9"/>
        <v>0</v>
      </c>
      <c r="I33" s="326"/>
      <c r="J33" s="326"/>
      <c r="K33" s="326"/>
      <c r="L33" s="326"/>
      <c r="M33" s="326"/>
      <c r="N33" s="326"/>
      <c r="O33" s="326"/>
      <c r="P33" s="326"/>
      <c r="Q33" s="326"/>
      <c r="R33" s="326"/>
      <c r="S33" s="326"/>
      <c r="T33" s="326"/>
      <c r="U33" s="326"/>
      <c r="V33" s="326"/>
      <c r="W33" s="326"/>
      <c r="X33" s="326"/>
      <c r="Y33" s="326"/>
      <c r="Z33" s="326"/>
      <c r="AA33" s="326"/>
      <c r="AB33" s="326"/>
      <c r="AC33" s="322">
        <f t="shared" si="10"/>
        <v>0</v>
      </c>
      <c r="AD33" s="327"/>
      <c r="AE33" s="327"/>
      <c r="AF33" s="327"/>
      <c r="AG33" s="327"/>
      <c r="AH33" s="327"/>
      <c r="AI33" s="327"/>
      <c r="AJ33" s="327"/>
      <c r="AK33" s="327"/>
      <c r="AL33" s="327"/>
      <c r="AM33" s="327"/>
      <c r="AN33" s="327"/>
      <c r="AO33" s="327"/>
      <c r="AP33" s="327"/>
      <c r="AQ33" s="327"/>
      <c r="AR33" s="327"/>
      <c r="AS33" s="327"/>
      <c r="AT33" s="328"/>
      <c r="AU33" s="8"/>
      <c r="AV33" s="2193">
        <f t="shared" si="11"/>
        <v>0</v>
      </c>
      <c r="AW33" s="2193">
        <f t="shared" si="12"/>
        <v>0</v>
      </c>
      <c r="AX33" s="2193">
        <f t="shared" si="13"/>
        <v>0</v>
      </c>
      <c r="AY33" s="329">
        <f t="shared" si="14"/>
        <v>0</v>
      </c>
      <c r="AZ33" s="322">
        <f t="shared" si="15"/>
        <v>0</v>
      </c>
      <c r="BA33" s="322">
        <f t="shared" si="16"/>
        <v>0</v>
      </c>
      <c r="BB33" s="322">
        <f t="shared" si="17"/>
        <v>0</v>
      </c>
      <c r="BC33" s="322">
        <f t="shared" si="18"/>
        <v>0</v>
      </c>
      <c r="BD33" s="322">
        <f t="shared" si="19"/>
        <v>0</v>
      </c>
      <c r="BE33" s="322">
        <f t="shared" si="20"/>
        <v>0</v>
      </c>
      <c r="BF33" s="322">
        <f t="shared" si="21"/>
        <v>0</v>
      </c>
      <c r="BG33" s="322">
        <f t="shared" si="22"/>
        <v>0</v>
      </c>
      <c r="BH33" s="322">
        <f t="shared" si="23"/>
        <v>0</v>
      </c>
      <c r="BI33" s="322">
        <f t="shared" si="24"/>
        <v>0</v>
      </c>
      <c r="BJ33" s="322">
        <f t="shared" si="25"/>
        <v>0</v>
      </c>
      <c r="BK33" s="322">
        <f t="shared" si="26"/>
        <v>0</v>
      </c>
      <c r="BL33" s="322">
        <f t="shared" si="27"/>
        <v>0</v>
      </c>
      <c r="BM33" s="322">
        <f t="shared" si="28"/>
        <v>0</v>
      </c>
      <c r="BN33" s="322">
        <f t="shared" si="29"/>
        <v>0</v>
      </c>
      <c r="BO33" s="322">
        <f t="shared" si="30"/>
        <v>0</v>
      </c>
      <c r="BP33" s="322">
        <f t="shared" si="31"/>
        <v>0</v>
      </c>
      <c r="BQ33" s="322">
        <f t="shared" si="32"/>
        <v>0</v>
      </c>
      <c r="BR33" s="322">
        <f t="shared" si="33"/>
        <v>0</v>
      </c>
      <c r="BS33" s="322">
        <f t="shared" si="34"/>
        <v>0</v>
      </c>
      <c r="BT33" s="330">
        <f t="shared" si="35"/>
        <v>0</v>
      </c>
    </row>
    <row r="34" spans="1:72" ht="14.25">
      <c r="A34" s="295"/>
      <c r="B34" s="321"/>
      <c r="C34" s="321"/>
      <c r="D34" s="2198"/>
      <c r="E34" s="322">
        <f t="shared" si="7"/>
        <v>0</v>
      </c>
      <c r="F34" s="323"/>
      <c r="G34" s="324">
        <f t="shared" si="8"/>
        <v>0</v>
      </c>
      <c r="H34" s="325">
        <f t="shared" si="9"/>
        <v>0</v>
      </c>
      <c r="I34" s="326"/>
      <c r="J34" s="326"/>
      <c r="K34" s="326"/>
      <c r="L34" s="326"/>
      <c r="M34" s="326"/>
      <c r="N34" s="326"/>
      <c r="O34" s="326"/>
      <c r="P34" s="326"/>
      <c r="Q34" s="326"/>
      <c r="R34" s="326"/>
      <c r="S34" s="326"/>
      <c r="T34" s="326"/>
      <c r="U34" s="326"/>
      <c r="V34" s="326"/>
      <c r="W34" s="326"/>
      <c r="X34" s="326"/>
      <c r="Y34" s="326"/>
      <c r="Z34" s="326"/>
      <c r="AA34" s="326"/>
      <c r="AB34" s="326"/>
      <c r="AC34" s="322">
        <f t="shared" si="10"/>
        <v>0</v>
      </c>
      <c r="AD34" s="327"/>
      <c r="AE34" s="327"/>
      <c r="AF34" s="327"/>
      <c r="AG34" s="327"/>
      <c r="AH34" s="327"/>
      <c r="AI34" s="327"/>
      <c r="AJ34" s="327"/>
      <c r="AK34" s="327"/>
      <c r="AL34" s="327"/>
      <c r="AM34" s="327"/>
      <c r="AN34" s="327"/>
      <c r="AO34" s="327"/>
      <c r="AP34" s="327"/>
      <c r="AQ34" s="327"/>
      <c r="AR34" s="327"/>
      <c r="AS34" s="327"/>
      <c r="AT34" s="328"/>
      <c r="AU34" s="8"/>
      <c r="AV34" s="2193">
        <f t="shared" si="11"/>
        <v>0</v>
      </c>
      <c r="AW34" s="2193">
        <f t="shared" si="12"/>
        <v>0</v>
      </c>
      <c r="AX34" s="2193">
        <f t="shared" si="13"/>
        <v>0</v>
      </c>
      <c r="AY34" s="329">
        <f t="shared" si="14"/>
        <v>0</v>
      </c>
      <c r="AZ34" s="322">
        <f t="shared" si="15"/>
        <v>0</v>
      </c>
      <c r="BA34" s="322">
        <f t="shared" si="16"/>
        <v>0</v>
      </c>
      <c r="BB34" s="322">
        <f t="shared" si="17"/>
        <v>0</v>
      </c>
      <c r="BC34" s="322">
        <f t="shared" si="18"/>
        <v>0</v>
      </c>
      <c r="BD34" s="322">
        <f t="shared" si="19"/>
        <v>0</v>
      </c>
      <c r="BE34" s="322">
        <f t="shared" si="20"/>
        <v>0</v>
      </c>
      <c r="BF34" s="322">
        <f t="shared" si="21"/>
        <v>0</v>
      </c>
      <c r="BG34" s="322">
        <f t="shared" si="22"/>
        <v>0</v>
      </c>
      <c r="BH34" s="322">
        <f t="shared" si="23"/>
        <v>0</v>
      </c>
      <c r="BI34" s="322">
        <f t="shared" si="24"/>
        <v>0</v>
      </c>
      <c r="BJ34" s="322">
        <f t="shared" si="25"/>
        <v>0</v>
      </c>
      <c r="BK34" s="322">
        <f t="shared" si="26"/>
        <v>0</v>
      </c>
      <c r="BL34" s="322">
        <f t="shared" si="27"/>
        <v>0</v>
      </c>
      <c r="BM34" s="322">
        <f t="shared" si="28"/>
        <v>0</v>
      </c>
      <c r="BN34" s="322">
        <f t="shared" si="29"/>
        <v>0</v>
      </c>
      <c r="BO34" s="322">
        <f t="shared" si="30"/>
        <v>0</v>
      </c>
      <c r="BP34" s="322">
        <f t="shared" si="31"/>
        <v>0</v>
      </c>
      <c r="BQ34" s="322">
        <f t="shared" si="32"/>
        <v>0</v>
      </c>
      <c r="BR34" s="322">
        <f t="shared" si="33"/>
        <v>0</v>
      </c>
      <c r="BS34" s="322">
        <f t="shared" si="34"/>
        <v>0</v>
      </c>
      <c r="BT34" s="330">
        <f t="shared" si="35"/>
        <v>0</v>
      </c>
    </row>
    <row r="35" spans="1:72" ht="14.25">
      <c r="A35" s="295"/>
      <c r="B35" s="321"/>
      <c r="C35" s="321"/>
      <c r="D35" s="2198"/>
      <c r="E35" s="322">
        <f t="shared" si="7"/>
        <v>0</v>
      </c>
      <c r="F35" s="323"/>
      <c r="G35" s="324">
        <f t="shared" si="8"/>
        <v>0</v>
      </c>
      <c r="H35" s="325">
        <f t="shared" si="9"/>
        <v>0</v>
      </c>
      <c r="I35" s="326"/>
      <c r="J35" s="326"/>
      <c r="K35" s="326"/>
      <c r="L35" s="326"/>
      <c r="M35" s="326"/>
      <c r="N35" s="326"/>
      <c r="O35" s="326"/>
      <c r="P35" s="326"/>
      <c r="Q35" s="326"/>
      <c r="R35" s="326"/>
      <c r="S35" s="326"/>
      <c r="T35" s="326"/>
      <c r="U35" s="326"/>
      <c r="V35" s="326"/>
      <c r="W35" s="326"/>
      <c r="X35" s="326"/>
      <c r="Y35" s="326"/>
      <c r="Z35" s="326"/>
      <c r="AA35" s="326"/>
      <c r="AB35" s="326"/>
      <c r="AC35" s="322">
        <f t="shared" si="10"/>
        <v>0</v>
      </c>
      <c r="AD35" s="327"/>
      <c r="AE35" s="327"/>
      <c r="AF35" s="327"/>
      <c r="AG35" s="327"/>
      <c r="AH35" s="327"/>
      <c r="AI35" s="327"/>
      <c r="AJ35" s="327"/>
      <c r="AK35" s="327"/>
      <c r="AL35" s="327"/>
      <c r="AM35" s="327"/>
      <c r="AN35" s="327"/>
      <c r="AO35" s="327"/>
      <c r="AP35" s="327"/>
      <c r="AQ35" s="327"/>
      <c r="AR35" s="327"/>
      <c r="AS35" s="327"/>
      <c r="AT35" s="328"/>
      <c r="AU35" s="8"/>
      <c r="AV35" s="2193">
        <f t="shared" si="11"/>
        <v>0</v>
      </c>
      <c r="AW35" s="2193">
        <f t="shared" si="12"/>
        <v>0</v>
      </c>
      <c r="AX35" s="2193">
        <f t="shared" si="13"/>
        <v>0</v>
      </c>
      <c r="AY35" s="329">
        <f t="shared" si="14"/>
        <v>0</v>
      </c>
      <c r="AZ35" s="322">
        <f t="shared" si="15"/>
        <v>0</v>
      </c>
      <c r="BA35" s="322">
        <f t="shared" si="16"/>
        <v>0</v>
      </c>
      <c r="BB35" s="322">
        <f t="shared" si="17"/>
        <v>0</v>
      </c>
      <c r="BC35" s="322">
        <f t="shared" si="18"/>
        <v>0</v>
      </c>
      <c r="BD35" s="322">
        <f t="shared" si="19"/>
        <v>0</v>
      </c>
      <c r="BE35" s="322">
        <f t="shared" si="20"/>
        <v>0</v>
      </c>
      <c r="BF35" s="322">
        <f t="shared" si="21"/>
        <v>0</v>
      </c>
      <c r="BG35" s="322">
        <f t="shared" si="22"/>
        <v>0</v>
      </c>
      <c r="BH35" s="322">
        <f t="shared" si="23"/>
        <v>0</v>
      </c>
      <c r="BI35" s="322">
        <f t="shared" si="24"/>
        <v>0</v>
      </c>
      <c r="BJ35" s="322">
        <f t="shared" si="25"/>
        <v>0</v>
      </c>
      <c r="BK35" s="322">
        <f t="shared" si="26"/>
        <v>0</v>
      </c>
      <c r="BL35" s="322">
        <f t="shared" si="27"/>
        <v>0</v>
      </c>
      <c r="BM35" s="322">
        <f t="shared" si="28"/>
        <v>0</v>
      </c>
      <c r="BN35" s="322">
        <f t="shared" si="29"/>
        <v>0</v>
      </c>
      <c r="BO35" s="322">
        <f t="shared" si="30"/>
        <v>0</v>
      </c>
      <c r="BP35" s="322">
        <f t="shared" si="31"/>
        <v>0</v>
      </c>
      <c r="BQ35" s="322">
        <f t="shared" si="32"/>
        <v>0</v>
      </c>
      <c r="BR35" s="322">
        <f t="shared" si="33"/>
        <v>0</v>
      </c>
      <c r="BS35" s="322">
        <f t="shared" si="34"/>
        <v>0</v>
      </c>
      <c r="BT35" s="330">
        <f t="shared" si="35"/>
        <v>0</v>
      </c>
    </row>
    <row r="36" spans="1:72" ht="14.25">
      <c r="A36" s="295"/>
      <c r="B36" s="321"/>
      <c r="C36" s="321"/>
      <c r="D36" s="2198"/>
      <c r="E36" s="322">
        <f t="shared" si="7"/>
        <v>0</v>
      </c>
      <c r="F36" s="323"/>
      <c r="G36" s="324">
        <f t="shared" si="8"/>
        <v>0</v>
      </c>
      <c r="H36" s="325">
        <f t="shared" si="9"/>
        <v>0</v>
      </c>
      <c r="I36" s="326"/>
      <c r="J36" s="326"/>
      <c r="K36" s="326"/>
      <c r="L36" s="326"/>
      <c r="M36" s="326"/>
      <c r="N36" s="326"/>
      <c r="O36" s="326"/>
      <c r="P36" s="326"/>
      <c r="Q36" s="326"/>
      <c r="R36" s="326"/>
      <c r="S36" s="326"/>
      <c r="T36" s="326"/>
      <c r="U36" s="326"/>
      <c r="V36" s="326"/>
      <c r="W36" s="326"/>
      <c r="X36" s="326"/>
      <c r="Y36" s="326"/>
      <c r="Z36" s="326"/>
      <c r="AA36" s="326"/>
      <c r="AB36" s="326"/>
      <c r="AC36" s="322">
        <f t="shared" si="10"/>
        <v>0</v>
      </c>
      <c r="AD36" s="327"/>
      <c r="AE36" s="327"/>
      <c r="AF36" s="327"/>
      <c r="AG36" s="327"/>
      <c r="AH36" s="327"/>
      <c r="AI36" s="327"/>
      <c r="AJ36" s="327"/>
      <c r="AK36" s="327"/>
      <c r="AL36" s="327"/>
      <c r="AM36" s="327"/>
      <c r="AN36" s="327"/>
      <c r="AO36" s="327"/>
      <c r="AP36" s="327"/>
      <c r="AQ36" s="327"/>
      <c r="AR36" s="327"/>
      <c r="AS36" s="327"/>
      <c r="AT36" s="328"/>
      <c r="AU36" s="8"/>
      <c r="AV36" s="2193">
        <f t="shared" si="11"/>
        <v>0</v>
      </c>
      <c r="AW36" s="2193">
        <f t="shared" si="12"/>
        <v>0</v>
      </c>
      <c r="AX36" s="2193">
        <f t="shared" si="13"/>
        <v>0</v>
      </c>
      <c r="AY36" s="329">
        <f t="shared" si="14"/>
        <v>0</v>
      </c>
      <c r="AZ36" s="322">
        <f t="shared" si="15"/>
        <v>0</v>
      </c>
      <c r="BA36" s="322">
        <f t="shared" si="16"/>
        <v>0</v>
      </c>
      <c r="BB36" s="322">
        <f t="shared" si="17"/>
        <v>0</v>
      </c>
      <c r="BC36" s="322">
        <f t="shared" si="18"/>
        <v>0</v>
      </c>
      <c r="BD36" s="322">
        <f t="shared" si="19"/>
        <v>0</v>
      </c>
      <c r="BE36" s="322">
        <f t="shared" si="20"/>
        <v>0</v>
      </c>
      <c r="BF36" s="322">
        <f t="shared" si="21"/>
        <v>0</v>
      </c>
      <c r="BG36" s="322">
        <f t="shared" si="22"/>
        <v>0</v>
      </c>
      <c r="BH36" s="322">
        <f t="shared" si="23"/>
        <v>0</v>
      </c>
      <c r="BI36" s="322">
        <f t="shared" si="24"/>
        <v>0</v>
      </c>
      <c r="BJ36" s="322">
        <f t="shared" si="25"/>
        <v>0</v>
      </c>
      <c r="BK36" s="322">
        <f t="shared" si="26"/>
        <v>0</v>
      </c>
      <c r="BL36" s="322">
        <f t="shared" si="27"/>
        <v>0</v>
      </c>
      <c r="BM36" s="322">
        <f t="shared" si="28"/>
        <v>0</v>
      </c>
      <c r="BN36" s="322">
        <f t="shared" si="29"/>
        <v>0</v>
      </c>
      <c r="BO36" s="322">
        <f t="shared" si="30"/>
        <v>0</v>
      </c>
      <c r="BP36" s="322">
        <f t="shared" si="31"/>
        <v>0</v>
      </c>
      <c r="BQ36" s="322">
        <f t="shared" si="32"/>
        <v>0</v>
      </c>
      <c r="BR36" s="322">
        <f t="shared" si="33"/>
        <v>0</v>
      </c>
      <c r="BS36" s="322">
        <f t="shared" si="34"/>
        <v>0</v>
      </c>
      <c r="BT36" s="330">
        <f t="shared" si="35"/>
        <v>0</v>
      </c>
    </row>
    <row r="37" spans="1:72" ht="14.25">
      <c r="A37" s="295"/>
      <c r="B37" s="321"/>
      <c r="C37" s="321"/>
      <c r="D37" s="2198"/>
      <c r="E37" s="322">
        <f t="shared" si="7"/>
        <v>0</v>
      </c>
      <c r="F37" s="323"/>
      <c r="G37" s="324">
        <f t="shared" si="8"/>
        <v>0</v>
      </c>
      <c r="H37" s="325">
        <f t="shared" si="9"/>
        <v>0</v>
      </c>
      <c r="I37" s="326"/>
      <c r="J37" s="326"/>
      <c r="K37" s="326"/>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8"/>
      <c r="AV37" s="2193">
        <f t="shared" si="11"/>
        <v>0</v>
      </c>
      <c r="AW37" s="2193">
        <f t="shared" si="12"/>
        <v>0</v>
      </c>
      <c r="AX37" s="2193">
        <f t="shared" si="13"/>
        <v>0</v>
      </c>
      <c r="AY37" s="329">
        <f t="shared" si="14"/>
        <v>0</v>
      </c>
      <c r="AZ37" s="322">
        <f t="shared" si="15"/>
        <v>0</v>
      </c>
      <c r="BA37" s="322">
        <f t="shared" si="16"/>
        <v>0</v>
      </c>
      <c r="BB37" s="322">
        <f t="shared" si="17"/>
        <v>0</v>
      </c>
      <c r="BC37" s="322">
        <f t="shared" si="18"/>
        <v>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14.25">
      <c r="A38" s="295"/>
      <c r="B38" s="321"/>
      <c r="C38" s="321"/>
      <c r="D38" s="2198"/>
      <c r="E38" s="322">
        <f t="shared" si="7"/>
        <v>0</v>
      </c>
      <c r="F38" s="323"/>
      <c r="G38" s="324">
        <f t="shared" si="8"/>
        <v>0</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0</v>
      </c>
      <c r="AD38" s="327"/>
      <c r="AE38" s="327"/>
      <c r="AF38" s="327"/>
      <c r="AG38" s="327"/>
      <c r="AH38" s="327"/>
      <c r="AI38" s="327"/>
      <c r="AJ38" s="327"/>
      <c r="AK38" s="327"/>
      <c r="AL38" s="327"/>
      <c r="AM38" s="327"/>
      <c r="AN38" s="327"/>
      <c r="AO38" s="327"/>
      <c r="AP38" s="327"/>
      <c r="AQ38" s="327"/>
      <c r="AR38" s="327"/>
      <c r="AS38" s="327"/>
      <c r="AT38" s="328"/>
      <c r="AU38" s="8"/>
      <c r="AV38" s="2193">
        <f t="shared" si="11"/>
        <v>0</v>
      </c>
      <c r="AW38" s="2193">
        <f t="shared" si="12"/>
        <v>0</v>
      </c>
      <c r="AX38" s="2193">
        <f t="shared" si="13"/>
        <v>0</v>
      </c>
      <c r="AY38" s="329">
        <f t="shared" si="14"/>
        <v>0</v>
      </c>
      <c r="AZ38" s="322">
        <f t="shared" si="15"/>
        <v>0</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0</v>
      </c>
      <c r="BM38" s="322">
        <f t="shared" si="28"/>
        <v>0</v>
      </c>
      <c r="BN38" s="322">
        <f t="shared" si="29"/>
        <v>0</v>
      </c>
      <c r="BO38" s="322">
        <f t="shared" si="30"/>
        <v>0</v>
      </c>
      <c r="BP38" s="322">
        <f t="shared" si="31"/>
        <v>0</v>
      </c>
      <c r="BQ38" s="322">
        <f t="shared" si="32"/>
        <v>0</v>
      </c>
      <c r="BR38" s="322">
        <f t="shared" si="33"/>
        <v>0</v>
      </c>
      <c r="BS38" s="322">
        <f t="shared" si="34"/>
        <v>0</v>
      </c>
      <c r="BT38" s="330">
        <f t="shared" si="35"/>
        <v>0</v>
      </c>
    </row>
    <row r="39" spans="1:72" ht="14.25">
      <c r="A39" s="295"/>
      <c r="B39" s="321"/>
      <c r="C39" s="321"/>
      <c r="D39" s="2198"/>
      <c r="E39" s="322">
        <f t="shared" si="7"/>
        <v>0</v>
      </c>
      <c r="F39" s="323"/>
      <c r="G39" s="324">
        <f t="shared" si="8"/>
        <v>0</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0</v>
      </c>
      <c r="AD39" s="327"/>
      <c r="AE39" s="327"/>
      <c r="AF39" s="327"/>
      <c r="AG39" s="327"/>
      <c r="AH39" s="327"/>
      <c r="AI39" s="327"/>
      <c r="AJ39" s="327"/>
      <c r="AK39" s="327"/>
      <c r="AL39" s="327"/>
      <c r="AM39" s="327"/>
      <c r="AN39" s="327"/>
      <c r="AO39" s="327"/>
      <c r="AP39" s="327"/>
      <c r="AQ39" s="327"/>
      <c r="AR39" s="327"/>
      <c r="AS39" s="327"/>
      <c r="AT39" s="328"/>
      <c r="AU39" s="8"/>
      <c r="AV39" s="2193">
        <f t="shared" si="11"/>
        <v>0</v>
      </c>
      <c r="AW39" s="2193">
        <f t="shared" si="12"/>
        <v>0</v>
      </c>
      <c r="AX39" s="2193">
        <f t="shared" si="13"/>
        <v>0</v>
      </c>
      <c r="AY39" s="329">
        <f t="shared" si="14"/>
        <v>0</v>
      </c>
      <c r="AZ39" s="322">
        <f t="shared" si="15"/>
        <v>0</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0</v>
      </c>
      <c r="BM39" s="322">
        <f t="shared" si="28"/>
        <v>0</v>
      </c>
      <c r="BN39" s="322">
        <f t="shared" si="29"/>
        <v>0</v>
      </c>
      <c r="BO39" s="322">
        <f t="shared" si="30"/>
        <v>0</v>
      </c>
      <c r="BP39" s="322">
        <f t="shared" si="31"/>
        <v>0</v>
      </c>
      <c r="BQ39" s="322">
        <f t="shared" si="32"/>
        <v>0</v>
      </c>
      <c r="BR39" s="322">
        <f t="shared" si="33"/>
        <v>0</v>
      </c>
      <c r="BS39" s="322">
        <f t="shared" si="34"/>
        <v>0</v>
      </c>
      <c r="BT39" s="330">
        <f t="shared" si="35"/>
        <v>0</v>
      </c>
    </row>
    <row r="40" spans="1:72" ht="14.25">
      <c r="A40" s="295"/>
      <c r="B40" s="321"/>
      <c r="C40" s="321"/>
      <c r="D40" s="2198"/>
      <c r="E40" s="322">
        <f t="shared" si="7"/>
        <v>0</v>
      </c>
      <c r="F40" s="323"/>
      <c r="G40" s="324">
        <f t="shared" si="8"/>
        <v>0</v>
      </c>
      <c r="H40" s="325">
        <f t="shared" si="9"/>
        <v>0</v>
      </c>
      <c r="I40" s="326"/>
      <c r="J40" s="326"/>
      <c r="K40" s="326"/>
      <c r="L40" s="326"/>
      <c r="M40" s="326"/>
      <c r="N40" s="326"/>
      <c r="O40" s="326"/>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8"/>
      <c r="AV40" s="2193">
        <f t="shared" si="11"/>
        <v>0</v>
      </c>
      <c r="AW40" s="2193">
        <f t="shared" si="12"/>
        <v>0</v>
      </c>
      <c r="AX40" s="2193">
        <f t="shared" si="13"/>
        <v>0</v>
      </c>
      <c r="AY40" s="329">
        <f t="shared" si="14"/>
        <v>0</v>
      </c>
      <c r="AZ40" s="322">
        <f t="shared" si="15"/>
        <v>0</v>
      </c>
      <c r="BA40" s="322">
        <f t="shared" si="16"/>
        <v>0</v>
      </c>
      <c r="BB40" s="322">
        <f t="shared" si="17"/>
        <v>0</v>
      </c>
      <c r="BC40" s="322">
        <f t="shared" si="18"/>
        <v>0</v>
      </c>
      <c r="BD40" s="322">
        <f t="shared" si="19"/>
        <v>0</v>
      </c>
      <c r="BE40" s="322">
        <f t="shared" si="20"/>
        <v>0</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14.25">
      <c r="A41" s="295"/>
      <c r="B41" s="321"/>
      <c r="C41" s="321"/>
      <c r="D41" s="2198"/>
      <c r="E41" s="322">
        <f t="shared" si="7"/>
        <v>0</v>
      </c>
      <c r="F41" s="323"/>
      <c r="G41" s="324">
        <f t="shared" si="8"/>
        <v>0</v>
      </c>
      <c r="H41" s="325">
        <f t="shared" si="9"/>
        <v>0</v>
      </c>
      <c r="I41" s="326"/>
      <c r="J41" s="326"/>
      <c r="K41" s="326"/>
      <c r="L41" s="326"/>
      <c r="M41" s="326"/>
      <c r="N41" s="326"/>
      <c r="O41" s="326"/>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8"/>
      <c r="AV41" s="2193">
        <f t="shared" si="11"/>
        <v>0</v>
      </c>
      <c r="AW41" s="2193">
        <f t="shared" si="12"/>
        <v>0</v>
      </c>
      <c r="AX41" s="2193">
        <f t="shared" si="13"/>
        <v>0</v>
      </c>
      <c r="AY41" s="329">
        <f t="shared" si="14"/>
        <v>0</v>
      </c>
      <c r="AZ41" s="322">
        <f t="shared" si="15"/>
        <v>0</v>
      </c>
      <c r="BA41" s="322">
        <f t="shared" si="16"/>
        <v>0</v>
      </c>
      <c r="BB41" s="322">
        <f t="shared" si="17"/>
        <v>0</v>
      </c>
      <c r="BC41" s="322">
        <f t="shared" si="18"/>
        <v>0</v>
      </c>
      <c r="BD41" s="322">
        <f t="shared" si="19"/>
        <v>0</v>
      </c>
      <c r="BE41" s="322">
        <f t="shared" si="20"/>
        <v>0</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14.25">
      <c r="A42" s="295"/>
      <c r="B42" s="321"/>
      <c r="C42" s="321"/>
      <c r="D42" s="2198"/>
      <c r="E42" s="322">
        <f t="shared" si="7"/>
        <v>0</v>
      </c>
      <c r="F42" s="323"/>
      <c r="G42" s="324">
        <f t="shared" si="8"/>
        <v>0</v>
      </c>
      <c r="H42" s="325">
        <f t="shared" si="9"/>
        <v>0</v>
      </c>
      <c r="I42" s="326"/>
      <c r="J42" s="326"/>
      <c r="K42" s="326"/>
      <c r="L42" s="326"/>
      <c r="M42" s="326"/>
      <c r="N42" s="326"/>
      <c r="O42" s="326"/>
      <c r="P42" s="326"/>
      <c r="Q42" s="326"/>
      <c r="R42" s="326"/>
      <c r="S42" s="326"/>
      <c r="T42" s="326"/>
      <c r="U42" s="326"/>
      <c r="V42" s="326"/>
      <c r="W42" s="326"/>
      <c r="X42" s="326"/>
      <c r="Y42" s="326"/>
      <c r="Z42" s="326"/>
      <c r="AA42" s="326"/>
      <c r="AB42" s="326"/>
      <c r="AC42" s="322">
        <f t="shared" si="10"/>
        <v>0</v>
      </c>
      <c r="AD42" s="327"/>
      <c r="AE42" s="327"/>
      <c r="AF42" s="327"/>
      <c r="AG42" s="327"/>
      <c r="AH42" s="327"/>
      <c r="AI42" s="327"/>
      <c r="AJ42" s="327"/>
      <c r="AK42" s="327"/>
      <c r="AL42" s="327"/>
      <c r="AM42" s="327"/>
      <c r="AN42" s="327"/>
      <c r="AO42" s="327"/>
      <c r="AP42" s="327"/>
      <c r="AQ42" s="327"/>
      <c r="AR42" s="327"/>
      <c r="AS42" s="327"/>
      <c r="AT42" s="328"/>
      <c r="AU42" s="8"/>
      <c r="AV42" s="2193">
        <f t="shared" si="11"/>
        <v>0</v>
      </c>
      <c r="AW42" s="2193">
        <f t="shared" si="12"/>
        <v>0</v>
      </c>
      <c r="AX42" s="2193">
        <f t="shared" si="13"/>
        <v>0</v>
      </c>
      <c r="AY42" s="329">
        <f t="shared" si="14"/>
        <v>0</v>
      </c>
      <c r="AZ42" s="322">
        <f t="shared" si="15"/>
        <v>0</v>
      </c>
      <c r="BA42" s="322">
        <f t="shared" si="16"/>
        <v>0</v>
      </c>
      <c r="BB42" s="322">
        <f t="shared" si="17"/>
        <v>0</v>
      </c>
      <c r="BC42" s="322">
        <f t="shared" si="18"/>
        <v>0</v>
      </c>
      <c r="BD42" s="322">
        <f t="shared" si="19"/>
        <v>0</v>
      </c>
      <c r="BE42" s="322">
        <f t="shared" si="20"/>
        <v>0</v>
      </c>
      <c r="BF42" s="322">
        <f t="shared" si="21"/>
        <v>0</v>
      </c>
      <c r="BG42" s="322">
        <f t="shared" si="22"/>
        <v>0</v>
      </c>
      <c r="BH42" s="322">
        <f t="shared" si="23"/>
        <v>0</v>
      </c>
      <c r="BI42" s="322">
        <f t="shared" si="24"/>
        <v>0</v>
      </c>
      <c r="BJ42" s="322">
        <f t="shared" si="25"/>
        <v>0</v>
      </c>
      <c r="BK42" s="322">
        <f t="shared" si="26"/>
        <v>0</v>
      </c>
      <c r="BL42" s="322">
        <f t="shared" si="27"/>
        <v>0</v>
      </c>
      <c r="BM42" s="322">
        <f t="shared" si="28"/>
        <v>0</v>
      </c>
      <c r="BN42" s="322">
        <f t="shared" si="29"/>
        <v>0</v>
      </c>
      <c r="BO42" s="322">
        <f t="shared" si="30"/>
        <v>0</v>
      </c>
      <c r="BP42" s="322">
        <f t="shared" si="31"/>
        <v>0</v>
      </c>
      <c r="BQ42" s="322">
        <f t="shared" si="32"/>
        <v>0</v>
      </c>
      <c r="BR42" s="322">
        <f t="shared" si="33"/>
        <v>0</v>
      </c>
      <c r="BS42" s="322">
        <f t="shared" si="34"/>
        <v>0</v>
      </c>
      <c r="BT42" s="330">
        <f t="shared" si="35"/>
        <v>0</v>
      </c>
    </row>
    <row r="43" spans="1:72" ht="14.25">
      <c r="A43" s="295"/>
      <c r="B43" s="321"/>
      <c r="C43" s="321"/>
      <c r="D43" s="2198"/>
      <c r="E43" s="322">
        <f t="shared" si="7"/>
        <v>0</v>
      </c>
      <c r="F43" s="323"/>
      <c r="G43" s="324">
        <f t="shared" si="8"/>
        <v>0</v>
      </c>
      <c r="H43" s="325">
        <f t="shared" si="9"/>
        <v>0</v>
      </c>
      <c r="I43" s="326"/>
      <c r="J43" s="326"/>
      <c r="K43" s="326"/>
      <c r="L43" s="326"/>
      <c r="M43" s="326"/>
      <c r="N43" s="326"/>
      <c r="O43" s="326"/>
      <c r="P43" s="326"/>
      <c r="Q43" s="326"/>
      <c r="R43" s="326"/>
      <c r="S43" s="326"/>
      <c r="T43" s="326"/>
      <c r="U43" s="326"/>
      <c r="V43" s="326"/>
      <c r="W43" s="326"/>
      <c r="X43" s="326"/>
      <c r="Y43" s="326"/>
      <c r="Z43" s="326"/>
      <c r="AA43" s="326"/>
      <c r="AB43" s="326"/>
      <c r="AC43" s="322">
        <f t="shared" si="10"/>
        <v>0</v>
      </c>
      <c r="AD43" s="327"/>
      <c r="AE43" s="327"/>
      <c r="AF43" s="327"/>
      <c r="AG43" s="327"/>
      <c r="AH43" s="327"/>
      <c r="AI43" s="327"/>
      <c r="AJ43" s="327"/>
      <c r="AK43" s="327"/>
      <c r="AL43" s="327"/>
      <c r="AM43" s="327"/>
      <c r="AN43" s="327"/>
      <c r="AO43" s="327"/>
      <c r="AP43" s="327"/>
      <c r="AQ43" s="327"/>
      <c r="AR43" s="327"/>
      <c r="AS43" s="327"/>
      <c r="AT43" s="328"/>
      <c r="AU43" s="8"/>
      <c r="AV43" s="2193">
        <f t="shared" si="11"/>
        <v>0</v>
      </c>
      <c r="AW43" s="2193">
        <f t="shared" si="12"/>
        <v>0</v>
      </c>
      <c r="AX43" s="2193">
        <f t="shared" si="13"/>
        <v>0</v>
      </c>
      <c r="AY43" s="329">
        <f t="shared" si="14"/>
        <v>0</v>
      </c>
      <c r="AZ43" s="322">
        <f t="shared" si="15"/>
        <v>0</v>
      </c>
      <c r="BA43" s="322">
        <f t="shared" si="16"/>
        <v>0</v>
      </c>
      <c r="BB43" s="322">
        <f t="shared" si="17"/>
        <v>0</v>
      </c>
      <c r="BC43" s="322">
        <f t="shared" si="18"/>
        <v>0</v>
      </c>
      <c r="BD43" s="322">
        <f t="shared" si="19"/>
        <v>0</v>
      </c>
      <c r="BE43" s="322">
        <f t="shared" si="20"/>
        <v>0</v>
      </c>
      <c r="BF43" s="322">
        <f t="shared" si="21"/>
        <v>0</v>
      </c>
      <c r="BG43" s="322">
        <f t="shared" si="22"/>
        <v>0</v>
      </c>
      <c r="BH43" s="322">
        <f t="shared" si="23"/>
        <v>0</v>
      </c>
      <c r="BI43" s="322">
        <f t="shared" si="24"/>
        <v>0</v>
      </c>
      <c r="BJ43" s="322">
        <f t="shared" si="25"/>
        <v>0</v>
      </c>
      <c r="BK43" s="322">
        <f t="shared" si="26"/>
        <v>0</v>
      </c>
      <c r="BL43" s="322">
        <f t="shared" si="27"/>
        <v>0</v>
      </c>
      <c r="BM43" s="322">
        <f t="shared" si="28"/>
        <v>0</v>
      </c>
      <c r="BN43" s="322">
        <f t="shared" si="29"/>
        <v>0</v>
      </c>
      <c r="BO43" s="322">
        <f t="shared" si="30"/>
        <v>0</v>
      </c>
      <c r="BP43" s="322">
        <f t="shared" si="31"/>
        <v>0</v>
      </c>
      <c r="BQ43" s="322">
        <f t="shared" si="32"/>
        <v>0</v>
      </c>
      <c r="BR43" s="322">
        <f t="shared" si="33"/>
        <v>0</v>
      </c>
      <c r="BS43" s="322">
        <f t="shared" si="34"/>
        <v>0</v>
      </c>
      <c r="BT43" s="330">
        <f t="shared" si="35"/>
        <v>0</v>
      </c>
    </row>
    <row r="44" spans="1:72" ht="14.25">
      <c r="A44" s="295"/>
      <c r="B44" s="321"/>
      <c r="C44" s="321"/>
      <c r="D44" s="2198"/>
      <c r="E44" s="322">
        <f t="shared" si="7"/>
        <v>0</v>
      </c>
      <c r="F44" s="323"/>
      <c r="G44" s="324">
        <f t="shared" si="8"/>
        <v>0</v>
      </c>
      <c r="H44" s="325">
        <f t="shared" si="9"/>
        <v>0</v>
      </c>
      <c r="I44" s="326"/>
      <c r="J44" s="326"/>
      <c r="K44" s="326"/>
      <c r="L44" s="326"/>
      <c r="M44" s="326"/>
      <c r="N44" s="326"/>
      <c r="O44" s="326"/>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c r="AU44" s="8"/>
      <c r="AV44" s="2193">
        <f t="shared" si="11"/>
        <v>0</v>
      </c>
      <c r="AW44" s="2193">
        <f t="shared" si="12"/>
        <v>0</v>
      </c>
      <c r="AX44" s="2193">
        <f t="shared" si="13"/>
        <v>0</v>
      </c>
      <c r="AY44" s="329">
        <f t="shared" si="14"/>
        <v>0</v>
      </c>
      <c r="AZ44" s="322">
        <f t="shared" si="15"/>
        <v>0</v>
      </c>
      <c r="BA44" s="322">
        <f t="shared" si="16"/>
        <v>0</v>
      </c>
      <c r="BB44" s="322">
        <f t="shared" si="17"/>
        <v>0</v>
      </c>
      <c r="BC44" s="322">
        <f t="shared" si="18"/>
        <v>0</v>
      </c>
      <c r="BD44" s="322">
        <f t="shared" si="19"/>
        <v>0</v>
      </c>
      <c r="BE44" s="322">
        <f t="shared" si="20"/>
        <v>0</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 r="A45" s="295"/>
      <c r="B45" s="321"/>
      <c r="C45" s="321"/>
      <c r="D45" s="2198"/>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8"/>
      <c r="AV45" s="2193">
        <f t="shared" si="11"/>
        <v>0</v>
      </c>
      <c r="AW45" s="2193">
        <f t="shared" si="12"/>
        <v>0</v>
      </c>
      <c r="AX45" s="2193">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4.25">
      <c r="A46" s="295"/>
      <c r="B46" s="321"/>
      <c r="C46" s="321"/>
      <c r="D46" s="2198"/>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8"/>
      <c r="AV46" s="2193">
        <f t="shared" si="11"/>
        <v>0</v>
      </c>
      <c r="AW46" s="2193">
        <f t="shared" si="12"/>
        <v>0</v>
      </c>
      <c r="AX46" s="2193">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 r="A47" s="295"/>
      <c r="B47" s="321"/>
      <c r="C47" s="321"/>
      <c r="D47" s="2198"/>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8"/>
      <c r="AV47" s="2193">
        <f t="shared" si="11"/>
        <v>0</v>
      </c>
      <c r="AW47" s="2193">
        <f t="shared" si="12"/>
        <v>0</v>
      </c>
      <c r="AX47" s="2193">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4.25">
      <c r="A48" s="295"/>
      <c r="B48" s="321"/>
      <c r="C48" s="321"/>
      <c r="D48" s="2198"/>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8"/>
      <c r="AV48" s="2193">
        <f t="shared" si="11"/>
        <v>0</v>
      </c>
      <c r="AW48" s="2193">
        <f t="shared" si="12"/>
        <v>0</v>
      </c>
      <c r="AX48" s="2193">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4.25">
      <c r="A49" s="295"/>
      <c r="B49" s="321"/>
      <c r="C49" s="321"/>
      <c r="D49" s="2198"/>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8"/>
      <c r="AV49" s="2193">
        <f t="shared" si="11"/>
        <v>0</v>
      </c>
      <c r="AW49" s="2193">
        <f t="shared" si="12"/>
        <v>0</v>
      </c>
      <c r="AX49" s="2193">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4.25">
      <c r="A50" s="295"/>
      <c r="B50" s="321"/>
      <c r="C50" s="321"/>
      <c r="D50" s="2198"/>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8"/>
      <c r="AV50" s="2193">
        <f t="shared" si="11"/>
        <v>0</v>
      </c>
      <c r="AW50" s="2193">
        <f t="shared" si="12"/>
        <v>0</v>
      </c>
      <c r="AX50" s="2193">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198"/>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8"/>
      <c r="AV51" s="2193">
        <f t="shared" si="11"/>
        <v>0</v>
      </c>
      <c r="AW51" s="2193">
        <f t="shared" si="12"/>
        <v>0</v>
      </c>
      <c r="AX51" s="2193">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198"/>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8"/>
      <c r="AV52" s="2193">
        <f t="shared" si="11"/>
        <v>0</v>
      </c>
      <c r="AW52" s="2193">
        <f t="shared" si="12"/>
        <v>0</v>
      </c>
      <c r="AX52" s="2193">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198"/>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8"/>
      <c r="AV53" s="2193">
        <f t="shared" si="11"/>
        <v>0</v>
      </c>
      <c r="AW53" s="2193">
        <f t="shared" si="12"/>
        <v>0</v>
      </c>
      <c r="AX53" s="2193">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198"/>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8"/>
      <c r="AV54" s="2193">
        <f t="shared" si="11"/>
        <v>0</v>
      </c>
      <c r="AW54" s="2193">
        <f t="shared" si="12"/>
        <v>0</v>
      </c>
      <c r="AX54" s="2193">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198"/>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8"/>
      <c r="AV55" s="2193">
        <f t="shared" si="11"/>
        <v>0</v>
      </c>
      <c r="AW55" s="2193">
        <f t="shared" si="12"/>
        <v>0</v>
      </c>
      <c r="AX55" s="2193">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198"/>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8"/>
      <c r="AV56" s="2193">
        <f t="shared" si="11"/>
        <v>0</v>
      </c>
      <c r="AW56" s="2193">
        <f t="shared" si="12"/>
        <v>0</v>
      </c>
      <c r="AX56" s="2193">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198"/>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8"/>
      <c r="AV57" s="2193">
        <f t="shared" si="11"/>
        <v>0</v>
      </c>
      <c r="AW57" s="2193">
        <f t="shared" si="12"/>
        <v>0</v>
      </c>
      <c r="AX57" s="2193">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198"/>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8"/>
      <c r="AV58" s="2193">
        <f t="shared" si="11"/>
        <v>0</v>
      </c>
      <c r="AW58" s="2193">
        <f t="shared" si="12"/>
        <v>0</v>
      </c>
      <c r="AX58" s="2193">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198"/>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8"/>
      <c r="AV59" s="2193">
        <f t="shared" si="11"/>
        <v>0</v>
      </c>
      <c r="AW59" s="2193">
        <f t="shared" si="12"/>
        <v>0</v>
      </c>
      <c r="AX59" s="2193">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198"/>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8"/>
      <c r="AV60" s="2193">
        <f t="shared" si="11"/>
        <v>0</v>
      </c>
      <c r="AW60" s="2193">
        <f t="shared" si="12"/>
        <v>0</v>
      </c>
      <c r="AX60" s="2193">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198"/>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8"/>
      <c r="AV61" s="2193">
        <f t="shared" si="11"/>
        <v>0</v>
      </c>
      <c r="AW61" s="2193">
        <f t="shared" si="12"/>
        <v>0</v>
      </c>
      <c r="AX61" s="2193">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198"/>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8"/>
      <c r="AV62" s="2193">
        <f t="shared" si="11"/>
        <v>0</v>
      </c>
      <c r="AW62" s="2193">
        <f t="shared" si="12"/>
        <v>0</v>
      </c>
      <c r="AX62" s="2193">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198"/>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8"/>
      <c r="AV63" s="2193">
        <f t="shared" si="11"/>
        <v>0</v>
      </c>
      <c r="AW63" s="2193">
        <f t="shared" si="12"/>
        <v>0</v>
      </c>
      <c r="AX63" s="2193">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198"/>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8"/>
      <c r="AV64" s="2193">
        <f t="shared" si="11"/>
        <v>0</v>
      </c>
      <c r="AW64" s="2193">
        <f t="shared" si="12"/>
        <v>0</v>
      </c>
      <c r="AX64" s="2193">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198"/>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8"/>
      <c r="AV65" s="2193">
        <f t="shared" si="11"/>
        <v>0</v>
      </c>
      <c r="AW65" s="2193">
        <f t="shared" si="12"/>
        <v>0</v>
      </c>
      <c r="AX65" s="2193">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198"/>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8"/>
      <c r="AV66" s="2193">
        <f t="shared" si="11"/>
        <v>0</v>
      </c>
      <c r="AW66" s="2193">
        <f t="shared" si="12"/>
        <v>0</v>
      </c>
      <c r="AX66" s="2193">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198"/>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8"/>
      <c r="AV67" s="2193">
        <f t="shared" si="11"/>
        <v>0</v>
      </c>
      <c r="AW67" s="2193">
        <f t="shared" si="12"/>
        <v>0</v>
      </c>
      <c r="AX67" s="2193">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198"/>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8"/>
      <c r="AV68" s="2193">
        <f t="shared" si="11"/>
        <v>0</v>
      </c>
      <c r="AW68" s="2193">
        <f t="shared" si="12"/>
        <v>0</v>
      </c>
      <c r="AX68" s="2193">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198"/>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8"/>
      <c r="AV69" s="2193">
        <f t="shared" si="11"/>
        <v>0</v>
      </c>
      <c r="AW69" s="2193">
        <f t="shared" si="12"/>
        <v>0</v>
      </c>
      <c r="AX69" s="2193">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198"/>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8"/>
      <c r="AV70" s="2193">
        <f t="shared" si="11"/>
        <v>0</v>
      </c>
      <c r="AW70" s="2193">
        <f t="shared" si="12"/>
        <v>0</v>
      </c>
      <c r="AX70" s="2193">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198"/>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8"/>
      <c r="AV71" s="2193">
        <f t="shared" si="11"/>
        <v>0</v>
      </c>
      <c r="AW71" s="2193">
        <f t="shared" si="12"/>
        <v>0</v>
      </c>
      <c r="AX71" s="2193">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198"/>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8"/>
      <c r="AV72" s="2193">
        <f t="shared" si="11"/>
        <v>0</v>
      </c>
      <c r="AW72" s="2193">
        <f t="shared" si="12"/>
        <v>0</v>
      </c>
      <c r="AX72" s="2193">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198"/>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8"/>
      <c r="AV73" s="2193">
        <f t="shared" si="11"/>
        <v>0</v>
      </c>
      <c r="AW73" s="2193">
        <f t="shared" si="12"/>
        <v>0</v>
      </c>
      <c r="AX73" s="2193">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198"/>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8"/>
      <c r="AV74" s="2193">
        <f t="shared" si="11"/>
        <v>0</v>
      </c>
      <c r="AW74" s="2193">
        <f t="shared" si="12"/>
        <v>0</v>
      </c>
      <c r="AX74" s="2193">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198"/>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8"/>
      <c r="AV75" s="2193">
        <f t="shared" si="11"/>
        <v>0</v>
      </c>
      <c r="AW75" s="2193">
        <f t="shared" si="12"/>
        <v>0</v>
      </c>
      <c r="AX75" s="2193">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198"/>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8"/>
      <c r="AV76" s="2193">
        <f t="shared" si="11"/>
        <v>0</v>
      </c>
      <c r="AW76" s="2193">
        <f t="shared" si="12"/>
        <v>0</v>
      </c>
      <c r="AX76" s="2193">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198"/>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8"/>
      <c r="AV77" s="2193">
        <f t="shared" si="11"/>
        <v>0</v>
      </c>
      <c r="AW77" s="2193">
        <f t="shared" si="12"/>
        <v>0</v>
      </c>
      <c r="AX77" s="2193">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198"/>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8"/>
      <c r="AV78" s="2193">
        <f t="shared" si="11"/>
        <v>0</v>
      </c>
      <c r="AW78" s="2193">
        <f t="shared" si="12"/>
        <v>0</v>
      </c>
      <c r="AX78" s="2193">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198"/>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8"/>
      <c r="AV79" s="2193">
        <f t="shared" si="11"/>
        <v>0</v>
      </c>
      <c r="AW79" s="2193">
        <f t="shared" si="12"/>
        <v>0</v>
      </c>
      <c r="AX79" s="2193">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198"/>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8"/>
      <c r="AV80" s="2193">
        <f t="shared" si="11"/>
        <v>0</v>
      </c>
      <c r="AW80" s="2193">
        <f t="shared" si="12"/>
        <v>0</v>
      </c>
      <c r="AX80" s="2193">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198"/>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8"/>
      <c r="AV81" s="2193">
        <f t="shared" si="11"/>
        <v>0</v>
      </c>
      <c r="AW81" s="2193">
        <f t="shared" si="12"/>
        <v>0</v>
      </c>
      <c r="AX81" s="2193">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198"/>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8"/>
      <c r="AV82" s="2193">
        <f t="shared" si="11"/>
        <v>0</v>
      </c>
      <c r="AW82" s="2193">
        <f t="shared" si="12"/>
        <v>0</v>
      </c>
      <c r="AX82" s="2193">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198"/>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8"/>
      <c r="AV83" s="2193">
        <f t="shared" si="11"/>
        <v>0</v>
      </c>
      <c r="AW83" s="2193">
        <f t="shared" si="12"/>
        <v>0</v>
      </c>
      <c r="AX83" s="2193">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198"/>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8"/>
      <c r="AV84" s="2193">
        <f t="shared" si="11"/>
        <v>0</v>
      </c>
      <c r="AW84" s="2193">
        <f t="shared" si="12"/>
        <v>0</v>
      </c>
      <c r="AX84" s="2193">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198"/>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8"/>
      <c r="AV85" s="2193">
        <f t="shared" si="11"/>
        <v>0</v>
      </c>
      <c r="AW85" s="2193">
        <f t="shared" si="12"/>
        <v>0</v>
      </c>
      <c r="AX85" s="2193">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198"/>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8"/>
      <c r="AV86" s="2193">
        <f t="shared" si="11"/>
        <v>0</v>
      </c>
      <c r="AW86" s="2193">
        <f t="shared" si="12"/>
        <v>0</v>
      </c>
      <c r="AX86" s="2193">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198"/>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8"/>
      <c r="AV87" s="2193">
        <f t="shared" si="11"/>
        <v>0</v>
      </c>
      <c r="AW87" s="2193">
        <f t="shared" si="12"/>
        <v>0</v>
      </c>
      <c r="AX87" s="2193">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198"/>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8"/>
      <c r="AV88" s="2193">
        <f t="shared" si="11"/>
        <v>0</v>
      </c>
      <c r="AW88" s="2193">
        <f t="shared" si="12"/>
        <v>0</v>
      </c>
      <c r="AX88" s="2193">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198"/>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8"/>
      <c r="AV89" s="2193">
        <f t="shared" si="11"/>
        <v>0</v>
      </c>
      <c r="AW89" s="2193">
        <f t="shared" si="12"/>
        <v>0</v>
      </c>
      <c r="AX89" s="2193">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198"/>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8"/>
      <c r="AV90" s="2193">
        <f t="shared" si="11"/>
        <v>0</v>
      </c>
      <c r="AW90" s="2193">
        <f t="shared" si="12"/>
        <v>0</v>
      </c>
      <c r="AX90" s="2193">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198"/>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8"/>
      <c r="AV91" s="2193">
        <f t="shared" si="11"/>
        <v>0</v>
      </c>
      <c r="AW91" s="2193">
        <f t="shared" si="12"/>
        <v>0</v>
      </c>
      <c r="AX91" s="2193">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198"/>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8"/>
      <c r="AV92" s="2193">
        <f t="shared" si="11"/>
        <v>0</v>
      </c>
      <c r="AW92" s="2193">
        <f t="shared" si="12"/>
        <v>0</v>
      </c>
      <c r="AX92" s="2193">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198"/>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8"/>
      <c r="AV93" s="2193">
        <f t="shared" si="11"/>
        <v>0</v>
      </c>
      <c r="AW93" s="2193">
        <f t="shared" si="12"/>
        <v>0</v>
      </c>
      <c r="AX93" s="2193">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198"/>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8"/>
      <c r="AV94" s="2193">
        <f t="shared" si="11"/>
        <v>0</v>
      </c>
      <c r="AW94" s="2193">
        <f t="shared" si="12"/>
        <v>0</v>
      </c>
      <c r="AX94" s="2193">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198"/>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8"/>
      <c r="AV95" s="2193">
        <f t="shared" si="11"/>
        <v>0</v>
      </c>
      <c r="AW95" s="2193">
        <f t="shared" si="12"/>
        <v>0</v>
      </c>
      <c r="AX95" s="2193">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198"/>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8"/>
      <c r="AV96" s="2193">
        <f t="shared" si="11"/>
        <v>0</v>
      </c>
      <c r="AW96" s="2193">
        <f t="shared" si="12"/>
        <v>0</v>
      </c>
      <c r="AX96" s="2193">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198"/>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8"/>
      <c r="AV97" s="2193">
        <f t="shared" si="11"/>
        <v>0</v>
      </c>
      <c r="AW97" s="2193">
        <f t="shared" si="12"/>
        <v>0</v>
      </c>
      <c r="AX97" s="2193">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198"/>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8"/>
      <c r="AV98" s="2193">
        <f t="shared" si="11"/>
        <v>0</v>
      </c>
      <c r="AW98" s="2193">
        <f t="shared" si="12"/>
        <v>0</v>
      </c>
      <c r="AX98" s="2193">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198"/>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8"/>
      <c r="AV99" s="2193">
        <f t="shared" si="11"/>
        <v>0</v>
      </c>
      <c r="AW99" s="2193">
        <f t="shared" si="12"/>
        <v>0</v>
      </c>
      <c r="AX99" s="2193">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198"/>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8"/>
      <c r="AV100" s="2193">
        <f t="shared" si="11"/>
        <v>0</v>
      </c>
      <c r="AW100" s="2193">
        <f t="shared" si="12"/>
        <v>0</v>
      </c>
      <c r="AX100" s="2193">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198"/>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8"/>
      <c r="AV101" s="2193">
        <f t="shared" si="11"/>
        <v>0</v>
      </c>
      <c r="AW101" s="2193">
        <f t="shared" si="12"/>
        <v>0</v>
      </c>
      <c r="AX101" s="2193">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198"/>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8"/>
      <c r="AV102" s="2193">
        <f t="shared" si="11"/>
        <v>0</v>
      </c>
      <c r="AW102" s="2193">
        <f t="shared" si="12"/>
        <v>0</v>
      </c>
      <c r="AX102" s="2193">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198"/>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8"/>
      <c r="AV103" s="2193">
        <f t="shared" si="11"/>
        <v>0</v>
      </c>
      <c r="AW103" s="2193">
        <f t="shared" si="12"/>
        <v>0</v>
      </c>
      <c r="AX103" s="2193">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198"/>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8"/>
      <c r="AV104" s="2193">
        <f t="shared" si="11"/>
        <v>0</v>
      </c>
      <c r="AW104" s="2193">
        <f t="shared" si="12"/>
        <v>0</v>
      </c>
      <c r="AX104" s="2193">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198"/>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8"/>
      <c r="AV105" s="2193">
        <f t="shared" si="11"/>
        <v>0</v>
      </c>
      <c r="AW105" s="2193">
        <f t="shared" si="12"/>
        <v>0</v>
      </c>
      <c r="AX105" s="2193">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198"/>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8"/>
      <c r="AV106" s="2193">
        <f t="shared" si="11"/>
        <v>0</v>
      </c>
      <c r="AW106" s="2193">
        <f t="shared" si="12"/>
        <v>0</v>
      </c>
      <c r="AX106" s="2193">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198"/>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8"/>
      <c r="AV107" s="2193">
        <f t="shared" si="11"/>
        <v>0</v>
      </c>
      <c r="AW107" s="2193">
        <f t="shared" si="12"/>
        <v>0</v>
      </c>
      <c r="AX107" s="2193">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198"/>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8"/>
      <c r="AV108" s="2193">
        <f t="shared" si="11"/>
        <v>0</v>
      </c>
      <c r="AW108" s="2193">
        <f t="shared" si="12"/>
        <v>0</v>
      </c>
      <c r="AX108" s="2193">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198"/>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8"/>
      <c r="AV109" s="2193">
        <f t="shared" si="11"/>
        <v>0</v>
      </c>
      <c r="AW109" s="2193">
        <f t="shared" si="12"/>
        <v>0</v>
      </c>
      <c r="AX109" s="2193">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198"/>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9"/>
      <c r="AV110" s="2193">
        <f t="shared" si="11"/>
        <v>0</v>
      </c>
      <c r="AW110" s="2193">
        <f t="shared" si="12"/>
        <v>0</v>
      </c>
      <c r="AX110" s="2193">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198"/>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9"/>
      <c r="AV111" s="2193">
        <f t="shared" si="11"/>
        <v>0</v>
      </c>
      <c r="AW111" s="2193">
        <f t="shared" si="12"/>
        <v>0</v>
      </c>
      <c r="AX111" s="2193">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198"/>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9"/>
      <c r="AV112" s="2193">
        <f t="shared" si="11"/>
        <v>0</v>
      </c>
      <c r="AW112" s="2193">
        <f t="shared" si="12"/>
        <v>0</v>
      </c>
      <c r="AX112" s="2193">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198"/>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8"/>
      <c r="AV113" s="2193">
        <f t="shared" ref="AV113:AV144" si="62">A113</f>
        <v>0</v>
      </c>
      <c r="AW113" s="2193">
        <f t="shared" ref="AW113:AW144" si="63">B113</f>
        <v>0</v>
      </c>
      <c r="AX113" s="2193">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198"/>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8"/>
      <c r="AV114" s="2193">
        <f t="shared" si="62"/>
        <v>0</v>
      </c>
      <c r="AW114" s="2193">
        <f t="shared" si="63"/>
        <v>0</v>
      </c>
      <c r="AX114" s="2193">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198"/>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8"/>
      <c r="AV115" s="2193">
        <f t="shared" si="62"/>
        <v>0</v>
      </c>
      <c r="AW115" s="2193">
        <f t="shared" si="63"/>
        <v>0</v>
      </c>
      <c r="AX115" s="2193">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198"/>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8"/>
      <c r="AV116" s="2193">
        <f t="shared" si="62"/>
        <v>0</v>
      </c>
      <c r="AW116" s="2193">
        <f t="shared" si="63"/>
        <v>0</v>
      </c>
      <c r="AX116" s="2193">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198"/>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193">
        <f t="shared" si="62"/>
        <v>0</v>
      </c>
      <c r="AW117" s="2193">
        <f t="shared" si="63"/>
        <v>0</v>
      </c>
      <c r="AX117" s="2193">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198"/>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193">
        <f t="shared" si="62"/>
        <v>0</v>
      </c>
      <c r="AW118" s="2193">
        <f t="shared" si="63"/>
        <v>0</v>
      </c>
      <c r="AX118" s="2193">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198"/>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193">
        <f t="shared" si="62"/>
        <v>0</v>
      </c>
      <c r="AW119" s="2193">
        <f t="shared" si="63"/>
        <v>0</v>
      </c>
      <c r="AX119" s="2193">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198"/>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193">
        <f t="shared" si="62"/>
        <v>0</v>
      </c>
      <c r="AW120" s="2193">
        <f t="shared" si="63"/>
        <v>0</v>
      </c>
      <c r="AX120" s="2193">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198"/>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193">
        <f t="shared" si="62"/>
        <v>0</v>
      </c>
      <c r="AW121" s="2193">
        <f t="shared" si="63"/>
        <v>0</v>
      </c>
      <c r="AX121" s="2193">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198"/>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193">
        <f t="shared" si="62"/>
        <v>0</v>
      </c>
      <c r="AW122" s="2193">
        <f t="shared" si="63"/>
        <v>0</v>
      </c>
      <c r="AX122" s="2193">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198"/>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193">
        <f t="shared" si="62"/>
        <v>0</v>
      </c>
      <c r="AW123" s="2193">
        <f t="shared" si="63"/>
        <v>0</v>
      </c>
      <c r="AX123" s="2193">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198"/>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193">
        <f t="shared" si="62"/>
        <v>0</v>
      </c>
      <c r="AW124" s="2193">
        <f t="shared" si="63"/>
        <v>0</v>
      </c>
      <c r="AX124" s="2193">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198"/>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193">
        <f t="shared" si="62"/>
        <v>0</v>
      </c>
      <c r="AW125" s="2193">
        <f t="shared" si="63"/>
        <v>0</v>
      </c>
      <c r="AX125" s="2193">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198"/>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193">
        <f t="shared" si="62"/>
        <v>0</v>
      </c>
      <c r="AW126" s="2193">
        <f t="shared" si="63"/>
        <v>0</v>
      </c>
      <c r="AX126" s="2193">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198"/>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193">
        <f t="shared" si="62"/>
        <v>0</v>
      </c>
      <c r="AW127" s="2193">
        <f t="shared" si="63"/>
        <v>0</v>
      </c>
      <c r="AX127" s="2193">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198"/>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193">
        <f t="shared" si="62"/>
        <v>0</v>
      </c>
      <c r="AW128" s="2193">
        <f t="shared" si="63"/>
        <v>0</v>
      </c>
      <c r="AX128" s="2193">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198"/>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193">
        <f t="shared" si="62"/>
        <v>0</v>
      </c>
      <c r="AW129" s="2193">
        <f t="shared" si="63"/>
        <v>0</v>
      </c>
      <c r="AX129" s="2193">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198"/>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193">
        <f t="shared" si="62"/>
        <v>0</v>
      </c>
      <c r="AW130" s="2193">
        <f t="shared" si="63"/>
        <v>0</v>
      </c>
      <c r="AX130" s="2193">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198"/>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193">
        <f t="shared" si="62"/>
        <v>0</v>
      </c>
      <c r="AW131" s="2193">
        <f t="shared" si="63"/>
        <v>0</v>
      </c>
      <c r="AX131" s="2193">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198"/>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193">
        <f t="shared" si="62"/>
        <v>0</v>
      </c>
      <c r="AW132" s="2193">
        <f t="shared" si="63"/>
        <v>0</v>
      </c>
      <c r="AX132" s="2193">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198"/>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193">
        <f t="shared" si="62"/>
        <v>0</v>
      </c>
      <c r="AW133" s="2193">
        <f t="shared" si="63"/>
        <v>0</v>
      </c>
      <c r="AX133" s="2193">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198"/>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193">
        <f t="shared" si="62"/>
        <v>0</v>
      </c>
      <c r="AW134" s="2193">
        <f t="shared" si="63"/>
        <v>0</v>
      </c>
      <c r="AX134" s="2193">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198"/>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193">
        <f t="shared" si="62"/>
        <v>0</v>
      </c>
      <c r="AW135" s="2193">
        <f t="shared" si="63"/>
        <v>0</v>
      </c>
      <c r="AX135" s="2193">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198"/>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193">
        <f t="shared" si="62"/>
        <v>0</v>
      </c>
      <c r="AW136" s="2193">
        <f t="shared" si="63"/>
        <v>0</v>
      </c>
      <c r="AX136" s="2193">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198"/>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193">
        <f t="shared" si="62"/>
        <v>0</v>
      </c>
      <c r="AW137" s="2193">
        <f t="shared" si="63"/>
        <v>0</v>
      </c>
      <c r="AX137" s="2193">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198"/>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193">
        <f t="shared" si="62"/>
        <v>0</v>
      </c>
      <c r="AW138" s="2193">
        <f t="shared" si="63"/>
        <v>0</v>
      </c>
      <c r="AX138" s="2193">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198"/>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193">
        <f t="shared" si="62"/>
        <v>0</v>
      </c>
      <c r="AW139" s="2193">
        <f t="shared" si="63"/>
        <v>0</v>
      </c>
      <c r="AX139" s="2193">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198"/>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193">
        <f t="shared" si="62"/>
        <v>0</v>
      </c>
      <c r="AW140" s="2193">
        <f t="shared" si="63"/>
        <v>0</v>
      </c>
      <c r="AX140" s="2193">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198"/>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193">
        <f t="shared" si="62"/>
        <v>0</v>
      </c>
      <c r="AW141" s="2193">
        <f t="shared" si="63"/>
        <v>0</v>
      </c>
      <c r="AX141" s="2193">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198"/>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193">
        <f t="shared" si="62"/>
        <v>0</v>
      </c>
      <c r="AW142" s="2193">
        <f t="shared" si="63"/>
        <v>0</v>
      </c>
      <c r="AX142" s="2193">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198"/>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193">
        <f t="shared" si="62"/>
        <v>0</v>
      </c>
      <c r="AW143" s="2193">
        <f t="shared" si="63"/>
        <v>0</v>
      </c>
      <c r="AX143" s="2193">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198"/>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193">
        <f t="shared" si="62"/>
        <v>0</v>
      </c>
      <c r="AW144" s="2193">
        <f t="shared" si="63"/>
        <v>0</v>
      </c>
      <c r="AX144" s="2193">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198"/>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193">
        <f t="shared" ref="AV145:AV176" si="91">A145</f>
        <v>0</v>
      </c>
      <c r="AW145" s="2193">
        <f t="shared" ref="AW145:AW176" si="92">B145</f>
        <v>0</v>
      </c>
      <c r="AX145" s="2193">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198"/>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193">
        <f t="shared" si="91"/>
        <v>0</v>
      </c>
      <c r="AW146" s="2193">
        <f t="shared" si="92"/>
        <v>0</v>
      </c>
      <c r="AX146" s="2193">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198"/>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193">
        <f t="shared" si="91"/>
        <v>0</v>
      </c>
      <c r="AW147" s="2193">
        <f t="shared" si="92"/>
        <v>0</v>
      </c>
      <c r="AX147" s="2193">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198"/>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193">
        <f t="shared" si="91"/>
        <v>0</v>
      </c>
      <c r="AW148" s="2193">
        <f t="shared" si="92"/>
        <v>0</v>
      </c>
      <c r="AX148" s="2193">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198"/>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193">
        <f t="shared" si="91"/>
        <v>0</v>
      </c>
      <c r="AW149" s="2193">
        <f t="shared" si="92"/>
        <v>0</v>
      </c>
      <c r="AX149" s="2193">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198"/>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193">
        <f t="shared" si="91"/>
        <v>0</v>
      </c>
      <c r="AW150" s="2193">
        <f t="shared" si="92"/>
        <v>0</v>
      </c>
      <c r="AX150" s="2193">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198"/>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193">
        <f t="shared" si="91"/>
        <v>0</v>
      </c>
      <c r="AW151" s="2193">
        <f t="shared" si="92"/>
        <v>0</v>
      </c>
      <c r="AX151" s="2193">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198"/>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193">
        <f t="shared" si="91"/>
        <v>0</v>
      </c>
      <c r="AW152" s="2193">
        <f t="shared" si="92"/>
        <v>0</v>
      </c>
      <c r="AX152" s="2193">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198"/>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193">
        <f t="shared" si="91"/>
        <v>0</v>
      </c>
      <c r="AW153" s="2193">
        <f t="shared" si="92"/>
        <v>0</v>
      </c>
      <c r="AX153" s="2193">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198"/>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193">
        <f t="shared" si="91"/>
        <v>0</v>
      </c>
      <c r="AW154" s="2193">
        <f t="shared" si="92"/>
        <v>0</v>
      </c>
      <c r="AX154" s="2193">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198"/>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193">
        <f t="shared" si="91"/>
        <v>0</v>
      </c>
      <c r="AW155" s="2193">
        <f t="shared" si="92"/>
        <v>0</v>
      </c>
      <c r="AX155" s="2193">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198"/>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193">
        <f t="shared" si="91"/>
        <v>0</v>
      </c>
      <c r="AW156" s="2193">
        <f t="shared" si="92"/>
        <v>0</v>
      </c>
      <c r="AX156" s="2193">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198"/>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193">
        <f t="shared" si="91"/>
        <v>0</v>
      </c>
      <c r="AW157" s="2193">
        <f t="shared" si="92"/>
        <v>0</v>
      </c>
      <c r="AX157" s="2193">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198"/>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193">
        <f t="shared" si="91"/>
        <v>0</v>
      </c>
      <c r="AW158" s="2193">
        <f t="shared" si="92"/>
        <v>0</v>
      </c>
      <c r="AX158" s="2193">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198"/>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193">
        <f t="shared" si="91"/>
        <v>0</v>
      </c>
      <c r="AW159" s="2193">
        <f t="shared" si="92"/>
        <v>0</v>
      </c>
      <c r="AX159" s="2193">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198"/>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193">
        <f t="shared" si="91"/>
        <v>0</v>
      </c>
      <c r="AW160" s="2193">
        <f t="shared" si="92"/>
        <v>0</v>
      </c>
      <c r="AX160" s="2193">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198"/>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193">
        <f t="shared" si="91"/>
        <v>0</v>
      </c>
      <c r="AW161" s="2193">
        <f t="shared" si="92"/>
        <v>0</v>
      </c>
      <c r="AX161" s="2193">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198"/>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193">
        <f t="shared" si="91"/>
        <v>0</v>
      </c>
      <c r="AW162" s="2193">
        <f t="shared" si="92"/>
        <v>0</v>
      </c>
      <c r="AX162" s="2193">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198"/>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193">
        <f t="shared" si="91"/>
        <v>0</v>
      </c>
      <c r="AW163" s="2193">
        <f t="shared" si="92"/>
        <v>0</v>
      </c>
      <c r="AX163" s="2193">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198"/>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193">
        <f t="shared" si="91"/>
        <v>0</v>
      </c>
      <c r="AW164" s="2193">
        <f t="shared" si="92"/>
        <v>0</v>
      </c>
      <c r="AX164" s="2193">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198"/>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193">
        <f t="shared" si="91"/>
        <v>0</v>
      </c>
      <c r="AW165" s="2193">
        <f t="shared" si="92"/>
        <v>0</v>
      </c>
      <c r="AX165" s="2193">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198"/>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193">
        <f t="shared" si="91"/>
        <v>0</v>
      </c>
      <c r="AW166" s="2193">
        <f t="shared" si="92"/>
        <v>0</v>
      </c>
      <c r="AX166" s="2193">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198"/>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193">
        <f t="shared" si="91"/>
        <v>0</v>
      </c>
      <c r="AW167" s="2193">
        <f t="shared" si="92"/>
        <v>0</v>
      </c>
      <c r="AX167" s="2193">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198"/>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193">
        <f t="shared" si="91"/>
        <v>0</v>
      </c>
      <c r="AW168" s="2193">
        <f t="shared" si="92"/>
        <v>0</v>
      </c>
      <c r="AX168" s="2193">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198"/>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193">
        <f t="shared" si="91"/>
        <v>0</v>
      </c>
      <c r="AW169" s="2193">
        <f t="shared" si="92"/>
        <v>0</v>
      </c>
      <c r="AX169" s="2193">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198"/>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193">
        <f t="shared" si="91"/>
        <v>0</v>
      </c>
      <c r="AW170" s="2193">
        <f t="shared" si="92"/>
        <v>0</v>
      </c>
      <c r="AX170" s="2193">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198"/>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193">
        <f t="shared" si="91"/>
        <v>0</v>
      </c>
      <c r="AW171" s="2193">
        <f t="shared" si="92"/>
        <v>0</v>
      </c>
      <c r="AX171" s="2193">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198"/>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193">
        <f t="shared" si="91"/>
        <v>0</v>
      </c>
      <c r="AW172" s="2193">
        <f t="shared" si="92"/>
        <v>0</v>
      </c>
      <c r="AX172" s="2193">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198"/>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193">
        <f t="shared" si="91"/>
        <v>0</v>
      </c>
      <c r="AW173" s="2193">
        <f t="shared" si="92"/>
        <v>0</v>
      </c>
      <c r="AX173" s="2193">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198"/>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193">
        <f t="shared" si="91"/>
        <v>0</v>
      </c>
      <c r="AW174" s="2193">
        <f t="shared" si="92"/>
        <v>0</v>
      </c>
      <c r="AX174" s="2193">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198"/>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193">
        <f t="shared" si="91"/>
        <v>0</v>
      </c>
      <c r="AW175" s="2193">
        <f t="shared" si="92"/>
        <v>0</v>
      </c>
      <c r="AX175" s="2193">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198"/>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193">
        <f t="shared" si="91"/>
        <v>0</v>
      </c>
      <c r="AW176" s="2193">
        <f t="shared" si="92"/>
        <v>0</v>
      </c>
      <c r="AX176" s="2193">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198"/>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193">
        <f t="shared" ref="AV177:AV207" si="120">A177</f>
        <v>0</v>
      </c>
      <c r="AW177" s="2193">
        <f t="shared" ref="AW177:AW207" si="121">B177</f>
        <v>0</v>
      </c>
      <c r="AX177" s="2193">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198"/>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193">
        <f t="shared" si="120"/>
        <v>0</v>
      </c>
      <c r="AW178" s="2193">
        <f t="shared" si="121"/>
        <v>0</v>
      </c>
      <c r="AX178" s="2193">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198"/>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193">
        <f t="shared" si="120"/>
        <v>0</v>
      </c>
      <c r="AW179" s="2193">
        <f t="shared" si="121"/>
        <v>0</v>
      </c>
      <c r="AX179" s="2193">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198"/>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193">
        <f t="shared" si="120"/>
        <v>0</v>
      </c>
      <c r="AW180" s="2193">
        <f t="shared" si="121"/>
        <v>0</v>
      </c>
      <c r="AX180" s="2193">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198"/>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193">
        <f t="shared" si="120"/>
        <v>0</v>
      </c>
      <c r="AW181" s="2193">
        <f t="shared" si="121"/>
        <v>0</v>
      </c>
      <c r="AX181" s="2193">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198"/>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193">
        <f t="shared" si="120"/>
        <v>0</v>
      </c>
      <c r="AW182" s="2193">
        <f t="shared" si="121"/>
        <v>0</v>
      </c>
      <c r="AX182" s="2193">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198"/>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193">
        <f t="shared" si="120"/>
        <v>0</v>
      </c>
      <c r="AW183" s="2193">
        <f t="shared" si="121"/>
        <v>0</v>
      </c>
      <c r="AX183" s="2193">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198"/>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193">
        <f t="shared" si="120"/>
        <v>0</v>
      </c>
      <c r="AW184" s="2193">
        <f t="shared" si="121"/>
        <v>0</v>
      </c>
      <c r="AX184" s="2193">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198"/>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193">
        <f t="shared" si="120"/>
        <v>0</v>
      </c>
      <c r="AW185" s="2193">
        <f t="shared" si="121"/>
        <v>0</v>
      </c>
      <c r="AX185" s="2193">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198"/>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193">
        <f t="shared" si="120"/>
        <v>0</v>
      </c>
      <c r="AW186" s="2193">
        <f t="shared" si="121"/>
        <v>0</v>
      </c>
      <c r="AX186" s="2193">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198"/>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193">
        <f t="shared" si="120"/>
        <v>0</v>
      </c>
      <c r="AW187" s="2193">
        <f t="shared" si="121"/>
        <v>0</v>
      </c>
      <c r="AX187" s="2193">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198"/>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193">
        <f t="shared" si="120"/>
        <v>0</v>
      </c>
      <c r="AW188" s="2193">
        <f t="shared" si="121"/>
        <v>0</v>
      </c>
      <c r="AX188" s="2193">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198"/>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193">
        <f t="shared" si="120"/>
        <v>0</v>
      </c>
      <c r="AW189" s="2193">
        <f t="shared" si="121"/>
        <v>0</v>
      </c>
      <c r="AX189" s="2193">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198"/>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193">
        <f t="shared" si="120"/>
        <v>0</v>
      </c>
      <c r="AW190" s="2193">
        <f t="shared" si="121"/>
        <v>0</v>
      </c>
      <c r="AX190" s="2193">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198"/>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193">
        <f t="shared" si="120"/>
        <v>0</v>
      </c>
      <c r="AW191" s="2193">
        <f t="shared" si="121"/>
        <v>0</v>
      </c>
      <c r="AX191" s="2193">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198"/>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193">
        <f t="shared" si="120"/>
        <v>0</v>
      </c>
      <c r="AW192" s="2193">
        <f t="shared" si="121"/>
        <v>0</v>
      </c>
      <c r="AX192" s="2193">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198"/>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193">
        <f t="shared" si="120"/>
        <v>0</v>
      </c>
      <c r="AW193" s="2193">
        <f t="shared" si="121"/>
        <v>0</v>
      </c>
      <c r="AX193" s="2193">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198"/>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193">
        <f t="shared" si="120"/>
        <v>0</v>
      </c>
      <c r="AW194" s="2193">
        <f t="shared" si="121"/>
        <v>0</v>
      </c>
      <c r="AX194" s="2193">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198"/>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193">
        <f t="shared" si="120"/>
        <v>0</v>
      </c>
      <c r="AW195" s="2193">
        <f t="shared" si="121"/>
        <v>0</v>
      </c>
      <c r="AX195" s="2193">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198"/>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193">
        <f t="shared" si="120"/>
        <v>0</v>
      </c>
      <c r="AW196" s="2193">
        <f t="shared" si="121"/>
        <v>0</v>
      </c>
      <c r="AX196" s="2193">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198"/>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193">
        <f t="shared" si="120"/>
        <v>0</v>
      </c>
      <c r="AW197" s="2193">
        <f t="shared" si="121"/>
        <v>0</v>
      </c>
      <c r="AX197" s="2193">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198"/>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193">
        <f t="shared" si="120"/>
        <v>0</v>
      </c>
      <c r="AW198" s="2193">
        <f t="shared" si="121"/>
        <v>0</v>
      </c>
      <c r="AX198" s="2193">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198"/>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193">
        <f t="shared" si="120"/>
        <v>0</v>
      </c>
      <c r="AW199" s="2193">
        <f t="shared" si="121"/>
        <v>0</v>
      </c>
      <c r="AX199" s="2193">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198"/>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193">
        <f t="shared" si="120"/>
        <v>0</v>
      </c>
      <c r="AW200" s="2193">
        <f t="shared" si="121"/>
        <v>0</v>
      </c>
      <c r="AX200" s="2193">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198"/>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193">
        <f t="shared" si="120"/>
        <v>0</v>
      </c>
      <c r="AW201" s="2193">
        <f t="shared" si="121"/>
        <v>0</v>
      </c>
      <c r="AX201" s="2193">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198"/>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193">
        <f t="shared" si="120"/>
        <v>0</v>
      </c>
      <c r="AW202" s="2193">
        <f t="shared" si="121"/>
        <v>0</v>
      </c>
      <c r="AX202" s="2193">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198"/>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193">
        <f t="shared" si="120"/>
        <v>0</v>
      </c>
      <c r="AW203" s="2193">
        <f t="shared" si="121"/>
        <v>0</v>
      </c>
      <c r="AX203" s="2193">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198"/>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193">
        <f t="shared" si="120"/>
        <v>0</v>
      </c>
      <c r="AW204" s="2193">
        <f t="shared" si="121"/>
        <v>0</v>
      </c>
      <c r="AX204" s="2193">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198"/>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193">
        <f t="shared" si="120"/>
        <v>0</v>
      </c>
      <c r="AW205" s="2193">
        <f t="shared" si="121"/>
        <v>0</v>
      </c>
      <c r="AX205" s="2193">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198"/>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193">
        <f t="shared" si="120"/>
        <v>0</v>
      </c>
      <c r="AW206" s="2193">
        <f t="shared" si="121"/>
        <v>0</v>
      </c>
      <c r="AX206" s="2193">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198"/>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193">
        <f t="shared" si="120"/>
        <v>0</v>
      </c>
      <c r="AW207" s="2193">
        <f t="shared" si="121"/>
        <v>0</v>
      </c>
      <c r="AX207" s="2193">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198"/>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193">
        <f t="shared" ref="AV208:AV302" si="127">A208</f>
        <v>0</v>
      </c>
      <c r="AW208" s="2193">
        <f t="shared" ref="AW208:AW302" si="128">B208</f>
        <v>0</v>
      </c>
      <c r="AX208" s="2193">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198"/>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193">
        <f t="shared" si="127"/>
        <v>0</v>
      </c>
      <c r="AW209" s="2193">
        <f t="shared" si="128"/>
        <v>0</v>
      </c>
      <c r="AX209" s="2193">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198"/>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193">
        <f t="shared" si="127"/>
        <v>0</v>
      </c>
      <c r="AW210" s="2193">
        <f t="shared" si="128"/>
        <v>0</v>
      </c>
      <c r="AX210" s="2193">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198"/>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193">
        <f t="shared" si="127"/>
        <v>0</v>
      </c>
      <c r="AW211" s="2193">
        <f t="shared" si="128"/>
        <v>0</v>
      </c>
      <c r="AX211" s="2193">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198"/>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193">
        <f t="shared" si="127"/>
        <v>0</v>
      </c>
      <c r="AW212" s="2193">
        <f t="shared" si="128"/>
        <v>0</v>
      </c>
      <c r="AX212" s="2193">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198"/>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193">
        <f t="shared" si="127"/>
        <v>0</v>
      </c>
      <c r="AW213" s="2193">
        <f t="shared" si="128"/>
        <v>0</v>
      </c>
      <c r="AX213" s="2193">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198"/>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193">
        <f t="shared" si="127"/>
        <v>0</v>
      </c>
      <c r="AW214" s="2193">
        <f t="shared" si="128"/>
        <v>0</v>
      </c>
      <c r="AX214" s="2193">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198"/>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193">
        <f t="shared" si="127"/>
        <v>0</v>
      </c>
      <c r="AW215" s="2193">
        <f t="shared" si="128"/>
        <v>0</v>
      </c>
      <c r="AX215" s="2193">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198"/>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193">
        <f t="shared" si="127"/>
        <v>0</v>
      </c>
      <c r="AW216" s="2193">
        <f t="shared" si="128"/>
        <v>0</v>
      </c>
      <c r="AX216" s="2193">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198"/>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193">
        <f t="shared" si="127"/>
        <v>0</v>
      </c>
      <c r="AW217" s="2193">
        <f t="shared" si="128"/>
        <v>0</v>
      </c>
      <c r="AX217" s="2193">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198"/>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193">
        <f t="shared" si="127"/>
        <v>0</v>
      </c>
      <c r="AW218" s="2193">
        <f t="shared" si="128"/>
        <v>0</v>
      </c>
      <c r="AX218" s="2193">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198"/>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193">
        <f t="shared" si="127"/>
        <v>0</v>
      </c>
      <c r="AW219" s="2193">
        <f t="shared" si="128"/>
        <v>0</v>
      </c>
      <c r="AX219" s="2193">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198"/>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193">
        <f t="shared" si="127"/>
        <v>0</v>
      </c>
      <c r="AW220" s="2193">
        <f t="shared" si="128"/>
        <v>0</v>
      </c>
      <c r="AX220" s="2193">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198"/>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193">
        <f t="shared" si="127"/>
        <v>0</v>
      </c>
      <c r="AW221" s="2193">
        <f t="shared" si="128"/>
        <v>0</v>
      </c>
      <c r="AX221" s="2193">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198"/>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193">
        <f t="shared" si="127"/>
        <v>0</v>
      </c>
      <c r="AW222" s="2193">
        <f t="shared" si="128"/>
        <v>0</v>
      </c>
      <c r="AX222" s="2193">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198"/>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193">
        <f t="shared" si="127"/>
        <v>0</v>
      </c>
      <c r="AW223" s="2193">
        <f t="shared" si="128"/>
        <v>0</v>
      </c>
      <c r="AX223" s="2193">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198"/>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193">
        <f t="shared" si="127"/>
        <v>0</v>
      </c>
      <c r="AW224" s="2193">
        <f t="shared" si="128"/>
        <v>0</v>
      </c>
      <c r="AX224" s="2193">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198"/>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193">
        <f t="shared" si="127"/>
        <v>0</v>
      </c>
      <c r="AW225" s="2193">
        <f t="shared" si="128"/>
        <v>0</v>
      </c>
      <c r="AX225" s="2193">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198"/>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193">
        <f t="shared" si="127"/>
        <v>0</v>
      </c>
      <c r="AW226" s="2193">
        <f t="shared" si="128"/>
        <v>0</v>
      </c>
      <c r="AX226" s="2193">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198"/>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193">
        <f t="shared" si="127"/>
        <v>0</v>
      </c>
      <c r="AW227" s="2193">
        <f t="shared" si="128"/>
        <v>0</v>
      </c>
      <c r="AX227" s="2193">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198"/>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193">
        <f t="shared" si="127"/>
        <v>0</v>
      </c>
      <c r="AW228" s="2193">
        <f t="shared" si="128"/>
        <v>0</v>
      </c>
      <c r="AX228" s="2193">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198"/>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193">
        <f t="shared" si="127"/>
        <v>0</v>
      </c>
      <c r="AW229" s="2193">
        <f t="shared" si="128"/>
        <v>0</v>
      </c>
      <c r="AX229" s="2193">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198"/>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193">
        <f t="shared" si="127"/>
        <v>0</v>
      </c>
      <c r="AW230" s="2193">
        <f t="shared" si="128"/>
        <v>0</v>
      </c>
      <c r="AX230" s="2193">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198"/>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193">
        <f t="shared" si="127"/>
        <v>0</v>
      </c>
      <c r="AW231" s="2193">
        <f t="shared" si="128"/>
        <v>0</v>
      </c>
      <c r="AX231" s="2193">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198"/>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193">
        <f t="shared" si="127"/>
        <v>0</v>
      </c>
      <c r="AW232" s="2193">
        <f t="shared" si="128"/>
        <v>0</v>
      </c>
      <c r="AX232" s="2193">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198"/>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193">
        <f t="shared" si="127"/>
        <v>0</v>
      </c>
      <c r="AW233" s="2193">
        <f t="shared" si="128"/>
        <v>0</v>
      </c>
      <c r="AX233" s="2193">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198"/>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193">
        <f t="shared" si="127"/>
        <v>0</v>
      </c>
      <c r="AW234" s="2193">
        <f t="shared" si="128"/>
        <v>0</v>
      </c>
      <c r="AX234" s="2193">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198"/>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193">
        <f t="shared" si="127"/>
        <v>0</v>
      </c>
      <c r="AW235" s="2193">
        <f t="shared" si="128"/>
        <v>0</v>
      </c>
      <c r="AX235" s="2193">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198"/>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193">
        <f t="shared" si="127"/>
        <v>0</v>
      </c>
      <c r="AW236" s="2193">
        <f t="shared" si="128"/>
        <v>0</v>
      </c>
      <c r="AX236" s="2193">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198"/>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193">
        <f t="shared" si="127"/>
        <v>0</v>
      </c>
      <c r="AW237" s="2193">
        <f t="shared" si="128"/>
        <v>0</v>
      </c>
      <c r="AX237" s="2193">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198"/>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193">
        <f t="shared" si="127"/>
        <v>0</v>
      </c>
      <c r="AW238" s="2193">
        <f t="shared" si="128"/>
        <v>0</v>
      </c>
      <c r="AX238" s="2193">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198"/>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193">
        <f t="shared" si="127"/>
        <v>0</v>
      </c>
      <c r="AW239" s="2193">
        <f t="shared" si="128"/>
        <v>0</v>
      </c>
      <c r="AX239" s="2193">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198"/>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193">
        <f t="shared" si="127"/>
        <v>0</v>
      </c>
      <c r="AW240" s="2193">
        <f t="shared" si="128"/>
        <v>0</v>
      </c>
      <c r="AX240" s="2193">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198"/>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193">
        <f t="shared" si="127"/>
        <v>0</v>
      </c>
      <c r="AW241" s="2193">
        <f t="shared" si="128"/>
        <v>0</v>
      </c>
      <c r="AX241" s="2193">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198"/>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193">
        <f t="shared" si="127"/>
        <v>0</v>
      </c>
      <c r="AW242" s="2193">
        <f t="shared" si="128"/>
        <v>0</v>
      </c>
      <c r="AX242" s="2193">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198"/>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193">
        <f t="shared" si="127"/>
        <v>0</v>
      </c>
      <c r="AW243" s="2193">
        <f t="shared" si="128"/>
        <v>0</v>
      </c>
      <c r="AX243" s="2193">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198"/>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193">
        <f t="shared" si="127"/>
        <v>0</v>
      </c>
      <c r="AW244" s="2193">
        <f t="shared" si="128"/>
        <v>0</v>
      </c>
      <c r="AX244" s="2193">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198"/>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193">
        <f t="shared" si="127"/>
        <v>0</v>
      </c>
      <c r="AW245" s="2193">
        <f t="shared" si="128"/>
        <v>0</v>
      </c>
      <c r="AX245" s="2193">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198"/>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193">
        <f t="shared" si="127"/>
        <v>0</v>
      </c>
      <c r="AW246" s="2193">
        <f t="shared" si="128"/>
        <v>0</v>
      </c>
      <c r="AX246" s="2193">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198"/>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193">
        <f t="shared" si="127"/>
        <v>0</v>
      </c>
      <c r="AW247" s="2193">
        <f t="shared" si="128"/>
        <v>0</v>
      </c>
      <c r="AX247" s="2193">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198"/>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193">
        <f t="shared" si="127"/>
        <v>0</v>
      </c>
      <c r="AW248" s="2193">
        <f t="shared" si="128"/>
        <v>0</v>
      </c>
      <c r="AX248" s="2193">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198"/>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193">
        <f t="shared" si="127"/>
        <v>0</v>
      </c>
      <c r="AW249" s="2193">
        <f t="shared" si="128"/>
        <v>0</v>
      </c>
      <c r="AX249" s="2193">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198"/>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193">
        <f t="shared" si="127"/>
        <v>0</v>
      </c>
      <c r="AW250" s="2193">
        <f t="shared" si="128"/>
        <v>0</v>
      </c>
      <c r="AX250" s="2193">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198"/>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193">
        <f t="shared" si="127"/>
        <v>0</v>
      </c>
      <c r="AW251" s="2193">
        <f t="shared" si="128"/>
        <v>0</v>
      </c>
      <c r="AX251" s="2193">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198"/>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193">
        <f t="shared" si="127"/>
        <v>0</v>
      </c>
      <c r="AW252" s="2193">
        <f t="shared" si="128"/>
        <v>0</v>
      </c>
      <c r="AX252" s="2193">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198"/>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193">
        <f t="shared" si="127"/>
        <v>0</v>
      </c>
      <c r="AW253" s="2193">
        <f t="shared" si="128"/>
        <v>0</v>
      </c>
      <c r="AX253" s="2193">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198"/>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193">
        <f t="shared" si="127"/>
        <v>0</v>
      </c>
      <c r="AW254" s="2193">
        <f t="shared" si="128"/>
        <v>0</v>
      </c>
      <c r="AX254" s="2193">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198"/>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193">
        <f t="shared" si="127"/>
        <v>0</v>
      </c>
      <c r="AW255" s="2193">
        <f t="shared" si="128"/>
        <v>0</v>
      </c>
      <c r="AX255" s="2193">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198"/>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193">
        <f t="shared" si="127"/>
        <v>0</v>
      </c>
      <c r="AW256" s="2193">
        <f t="shared" si="128"/>
        <v>0</v>
      </c>
      <c r="AX256" s="2193">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198"/>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193">
        <f t="shared" si="127"/>
        <v>0</v>
      </c>
      <c r="AW257" s="2193">
        <f t="shared" si="128"/>
        <v>0</v>
      </c>
      <c r="AX257" s="2193">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198"/>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193">
        <f t="shared" si="127"/>
        <v>0</v>
      </c>
      <c r="AW258" s="2193">
        <f t="shared" si="128"/>
        <v>0</v>
      </c>
      <c r="AX258" s="2193">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198"/>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193">
        <f t="shared" si="127"/>
        <v>0</v>
      </c>
      <c r="AW259" s="2193">
        <f t="shared" si="128"/>
        <v>0</v>
      </c>
      <c r="AX259" s="2193">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198"/>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193">
        <f t="shared" si="127"/>
        <v>0</v>
      </c>
      <c r="AW260" s="2193">
        <f t="shared" si="128"/>
        <v>0</v>
      </c>
      <c r="AX260" s="2193">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198"/>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193">
        <f t="shared" si="127"/>
        <v>0</v>
      </c>
      <c r="AW261" s="2193">
        <f t="shared" si="128"/>
        <v>0</v>
      </c>
      <c r="AX261" s="2193">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198"/>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193">
        <f t="shared" si="127"/>
        <v>0</v>
      </c>
      <c r="AW262" s="2193">
        <f t="shared" si="128"/>
        <v>0</v>
      </c>
      <c r="AX262" s="2193">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198"/>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193">
        <f t="shared" si="127"/>
        <v>0</v>
      </c>
      <c r="AW263" s="2193">
        <f t="shared" si="128"/>
        <v>0</v>
      </c>
      <c r="AX263" s="2193">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198"/>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193">
        <f t="shared" si="127"/>
        <v>0</v>
      </c>
      <c r="AW264" s="2193">
        <f t="shared" si="128"/>
        <v>0</v>
      </c>
      <c r="AX264" s="2193">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198"/>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193">
        <f t="shared" si="127"/>
        <v>0</v>
      </c>
      <c r="AW265" s="2193">
        <f t="shared" si="128"/>
        <v>0</v>
      </c>
      <c r="AX265" s="2193">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198"/>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193">
        <f t="shared" si="127"/>
        <v>0</v>
      </c>
      <c r="AW266" s="2193">
        <f t="shared" si="128"/>
        <v>0</v>
      </c>
      <c r="AX266" s="2193">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198"/>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193">
        <f t="shared" si="127"/>
        <v>0</v>
      </c>
      <c r="AW267" s="2193">
        <f t="shared" si="128"/>
        <v>0</v>
      </c>
      <c r="AX267" s="2193">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198"/>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193">
        <f t="shared" si="127"/>
        <v>0</v>
      </c>
      <c r="AW268" s="2193">
        <f t="shared" si="128"/>
        <v>0</v>
      </c>
      <c r="AX268" s="2193">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198"/>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193">
        <f t="shared" si="127"/>
        <v>0</v>
      </c>
      <c r="AW269" s="2193">
        <f t="shared" si="128"/>
        <v>0</v>
      </c>
      <c r="AX269" s="2193">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198"/>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193">
        <f t="shared" si="127"/>
        <v>0</v>
      </c>
      <c r="AW270" s="2193">
        <f t="shared" si="128"/>
        <v>0</v>
      </c>
      <c r="AX270" s="2193">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198"/>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193">
        <f t="shared" si="127"/>
        <v>0</v>
      </c>
      <c r="AW271" s="2193">
        <f t="shared" si="128"/>
        <v>0</v>
      </c>
      <c r="AX271" s="2193">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198"/>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193">
        <f t="shared" si="127"/>
        <v>0</v>
      </c>
      <c r="AW272" s="2193">
        <f t="shared" si="128"/>
        <v>0</v>
      </c>
      <c r="AX272" s="2193">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198"/>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193">
        <f t="shared" si="127"/>
        <v>0</v>
      </c>
      <c r="AW273" s="2193">
        <f t="shared" si="128"/>
        <v>0</v>
      </c>
      <c r="AX273" s="2193">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198"/>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193">
        <f t="shared" si="127"/>
        <v>0</v>
      </c>
      <c r="AW274" s="2193">
        <f t="shared" si="128"/>
        <v>0</v>
      </c>
      <c r="AX274" s="2193">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198"/>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193">
        <f t="shared" si="127"/>
        <v>0</v>
      </c>
      <c r="AW275" s="2193">
        <f t="shared" si="128"/>
        <v>0</v>
      </c>
      <c r="AX275" s="2193">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198"/>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193">
        <f t="shared" si="127"/>
        <v>0</v>
      </c>
      <c r="AW276" s="2193">
        <f t="shared" si="128"/>
        <v>0</v>
      </c>
      <c r="AX276" s="2193">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198"/>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193">
        <f t="shared" si="127"/>
        <v>0</v>
      </c>
      <c r="AW277" s="2193">
        <f t="shared" si="128"/>
        <v>0</v>
      </c>
      <c r="AX277" s="2193">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198"/>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193">
        <f t="shared" si="127"/>
        <v>0</v>
      </c>
      <c r="AW278" s="2193">
        <f t="shared" si="128"/>
        <v>0</v>
      </c>
      <c r="AX278" s="2193">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198"/>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193">
        <f t="shared" si="127"/>
        <v>0</v>
      </c>
      <c r="AW279" s="2193">
        <f t="shared" si="128"/>
        <v>0</v>
      </c>
      <c r="AX279" s="2193">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198"/>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193">
        <f t="shared" si="127"/>
        <v>0</v>
      </c>
      <c r="AW280" s="2193">
        <f t="shared" si="128"/>
        <v>0</v>
      </c>
      <c r="AX280" s="2193">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198"/>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193">
        <f t="shared" si="127"/>
        <v>0</v>
      </c>
      <c r="AW281" s="2193">
        <f t="shared" si="128"/>
        <v>0</v>
      </c>
      <c r="AX281" s="2193">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198"/>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193">
        <f t="shared" si="127"/>
        <v>0</v>
      </c>
      <c r="AW282" s="2193">
        <f t="shared" si="128"/>
        <v>0</v>
      </c>
      <c r="AX282" s="2193">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198"/>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193">
        <f t="shared" si="127"/>
        <v>0</v>
      </c>
      <c r="AW283" s="2193">
        <f t="shared" si="128"/>
        <v>0</v>
      </c>
      <c r="AX283" s="2193">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198"/>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193">
        <f t="shared" si="127"/>
        <v>0</v>
      </c>
      <c r="AW284" s="2193">
        <f t="shared" si="128"/>
        <v>0</v>
      </c>
      <c r="AX284" s="2193">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198"/>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193">
        <f t="shared" si="127"/>
        <v>0</v>
      </c>
      <c r="AW285" s="2193">
        <f t="shared" si="128"/>
        <v>0</v>
      </c>
      <c r="AX285" s="2193">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198"/>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193">
        <f t="shared" si="127"/>
        <v>0</v>
      </c>
      <c r="AW286" s="2193">
        <f t="shared" si="128"/>
        <v>0</v>
      </c>
      <c r="AX286" s="2193">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198"/>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193">
        <f t="shared" si="127"/>
        <v>0</v>
      </c>
      <c r="AW287" s="2193">
        <f t="shared" si="128"/>
        <v>0</v>
      </c>
      <c r="AX287" s="2193">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198"/>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193">
        <f t="shared" si="127"/>
        <v>0</v>
      </c>
      <c r="AW288" s="2193">
        <f t="shared" si="128"/>
        <v>0</v>
      </c>
      <c r="AX288" s="2193">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198"/>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193">
        <f t="shared" si="127"/>
        <v>0</v>
      </c>
      <c r="AW289" s="2193">
        <f t="shared" si="128"/>
        <v>0</v>
      </c>
      <c r="AX289" s="2193">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198"/>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193">
        <f t="shared" si="127"/>
        <v>0</v>
      </c>
      <c r="AW290" s="2193">
        <f t="shared" si="128"/>
        <v>0</v>
      </c>
      <c r="AX290" s="2193">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198"/>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193">
        <f t="shared" si="127"/>
        <v>0</v>
      </c>
      <c r="AW291" s="2193">
        <f t="shared" si="128"/>
        <v>0</v>
      </c>
      <c r="AX291" s="2193">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198"/>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193">
        <f t="shared" si="127"/>
        <v>0</v>
      </c>
      <c r="AW292" s="2193">
        <f t="shared" si="128"/>
        <v>0</v>
      </c>
      <c r="AX292" s="2193">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198"/>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193">
        <f t="shared" si="127"/>
        <v>0</v>
      </c>
      <c r="AW293" s="2193">
        <f t="shared" si="128"/>
        <v>0</v>
      </c>
      <c r="AX293" s="2193">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198"/>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193">
        <f t="shared" si="127"/>
        <v>0</v>
      </c>
      <c r="AW294" s="2193">
        <f t="shared" si="128"/>
        <v>0</v>
      </c>
      <c r="AX294" s="2193">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198"/>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193">
        <f t="shared" si="127"/>
        <v>0</v>
      </c>
      <c r="AW295" s="2193">
        <f t="shared" si="128"/>
        <v>0</v>
      </c>
      <c r="AX295" s="2193">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198"/>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193">
        <f t="shared" si="127"/>
        <v>0</v>
      </c>
      <c r="AW296" s="2193">
        <f t="shared" si="128"/>
        <v>0</v>
      </c>
      <c r="AX296" s="2193">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198"/>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193">
        <f t="shared" si="127"/>
        <v>0</v>
      </c>
      <c r="AW297" s="2193">
        <f t="shared" si="128"/>
        <v>0</v>
      </c>
      <c r="AX297" s="2193">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198"/>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193">
        <f t="shared" si="127"/>
        <v>0</v>
      </c>
      <c r="AW298" s="2193">
        <f t="shared" si="128"/>
        <v>0</v>
      </c>
      <c r="AX298" s="2193">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198"/>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193">
        <f t="shared" si="127"/>
        <v>0</v>
      </c>
      <c r="AW299" s="2193">
        <f t="shared" si="128"/>
        <v>0</v>
      </c>
      <c r="AX299" s="2193">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198"/>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193">
        <f t="shared" si="127"/>
        <v>0</v>
      </c>
      <c r="AW300" s="2193">
        <f t="shared" si="128"/>
        <v>0</v>
      </c>
      <c r="AX300" s="2193">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198"/>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193">
        <f t="shared" si="127"/>
        <v>0</v>
      </c>
      <c r="AW301" s="2193">
        <f t="shared" si="128"/>
        <v>0</v>
      </c>
      <c r="AX301" s="2193">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198"/>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193">
        <f t="shared" si="127"/>
        <v>0</v>
      </c>
      <c r="AW302" s="2193">
        <f t="shared" si="128"/>
        <v>0</v>
      </c>
      <c r="AX302" s="2193">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198"/>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193">
        <f t="shared" ref="AV303:AV334" si="178">A303</f>
        <v>0</v>
      </c>
      <c r="AW303" s="2193">
        <f t="shared" ref="AW303:AW334" si="179">B303</f>
        <v>0</v>
      </c>
      <c r="AX303" s="2193">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198"/>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193">
        <f t="shared" si="178"/>
        <v>0</v>
      </c>
      <c r="AW304" s="2193">
        <f t="shared" si="179"/>
        <v>0</v>
      </c>
      <c r="AX304" s="2193">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198"/>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193">
        <f t="shared" si="178"/>
        <v>0</v>
      </c>
      <c r="AW305" s="2193">
        <f t="shared" si="179"/>
        <v>0</v>
      </c>
      <c r="AX305" s="2193">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198"/>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193">
        <f t="shared" si="178"/>
        <v>0</v>
      </c>
      <c r="AW306" s="2193">
        <f t="shared" si="179"/>
        <v>0</v>
      </c>
      <c r="AX306" s="2193">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198"/>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193">
        <f t="shared" si="178"/>
        <v>0</v>
      </c>
      <c r="AW307" s="2193">
        <f t="shared" si="179"/>
        <v>0</v>
      </c>
      <c r="AX307" s="2193">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198"/>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193">
        <f t="shared" si="178"/>
        <v>0</v>
      </c>
      <c r="AW308" s="2193">
        <f t="shared" si="179"/>
        <v>0</v>
      </c>
      <c r="AX308" s="2193">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198"/>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193">
        <f t="shared" si="178"/>
        <v>0</v>
      </c>
      <c r="AW309" s="2193">
        <f t="shared" si="179"/>
        <v>0</v>
      </c>
      <c r="AX309" s="2193">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198"/>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193">
        <f t="shared" si="178"/>
        <v>0</v>
      </c>
      <c r="AW310" s="2193">
        <f t="shared" si="179"/>
        <v>0</v>
      </c>
      <c r="AX310" s="2193">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198"/>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193">
        <f t="shared" si="178"/>
        <v>0</v>
      </c>
      <c r="AW311" s="2193">
        <f t="shared" si="179"/>
        <v>0</v>
      </c>
      <c r="AX311" s="2193">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198"/>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193">
        <f t="shared" si="178"/>
        <v>0</v>
      </c>
      <c r="AW312" s="2193">
        <f t="shared" si="179"/>
        <v>0</v>
      </c>
      <c r="AX312" s="2193">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198"/>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193">
        <f t="shared" si="178"/>
        <v>0</v>
      </c>
      <c r="AW313" s="2193">
        <f t="shared" si="179"/>
        <v>0</v>
      </c>
      <c r="AX313" s="2193">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198"/>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193">
        <f t="shared" si="178"/>
        <v>0</v>
      </c>
      <c r="AW314" s="2193">
        <f t="shared" si="179"/>
        <v>0</v>
      </c>
      <c r="AX314" s="2193">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198"/>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193">
        <f t="shared" si="178"/>
        <v>0</v>
      </c>
      <c r="AW315" s="2193">
        <f t="shared" si="179"/>
        <v>0</v>
      </c>
      <c r="AX315" s="2193">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198"/>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193">
        <f t="shared" si="178"/>
        <v>0</v>
      </c>
      <c r="AW316" s="2193">
        <f t="shared" si="179"/>
        <v>0</v>
      </c>
      <c r="AX316" s="2193">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198"/>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193">
        <f t="shared" si="178"/>
        <v>0</v>
      </c>
      <c r="AW317" s="2193">
        <f t="shared" si="179"/>
        <v>0</v>
      </c>
      <c r="AX317" s="2193">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198"/>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193">
        <f t="shared" si="178"/>
        <v>0</v>
      </c>
      <c r="AW318" s="2193">
        <f t="shared" si="179"/>
        <v>0</v>
      </c>
      <c r="AX318" s="2193">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198"/>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193">
        <f t="shared" si="178"/>
        <v>0</v>
      </c>
      <c r="AW319" s="2193">
        <f t="shared" si="179"/>
        <v>0</v>
      </c>
      <c r="AX319" s="2193">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198"/>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193">
        <f t="shared" si="178"/>
        <v>0</v>
      </c>
      <c r="AW320" s="2193">
        <f t="shared" si="179"/>
        <v>0</v>
      </c>
      <c r="AX320" s="2193">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198"/>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193">
        <f t="shared" si="178"/>
        <v>0</v>
      </c>
      <c r="AW321" s="2193">
        <f t="shared" si="179"/>
        <v>0</v>
      </c>
      <c r="AX321" s="2193">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198"/>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193">
        <f t="shared" si="178"/>
        <v>0</v>
      </c>
      <c r="AW322" s="2193">
        <f t="shared" si="179"/>
        <v>0</v>
      </c>
      <c r="AX322" s="2193">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198"/>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193">
        <f t="shared" si="178"/>
        <v>0</v>
      </c>
      <c r="AW323" s="2193">
        <f t="shared" si="179"/>
        <v>0</v>
      </c>
      <c r="AX323" s="2193">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198"/>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193">
        <f t="shared" si="178"/>
        <v>0</v>
      </c>
      <c r="AW324" s="2193">
        <f t="shared" si="179"/>
        <v>0</v>
      </c>
      <c r="AX324" s="2193">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198"/>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193">
        <f t="shared" si="178"/>
        <v>0</v>
      </c>
      <c r="AW325" s="2193">
        <f t="shared" si="179"/>
        <v>0</v>
      </c>
      <c r="AX325" s="2193">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198"/>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193">
        <f t="shared" si="178"/>
        <v>0</v>
      </c>
      <c r="AW326" s="2193">
        <f t="shared" si="179"/>
        <v>0</v>
      </c>
      <c r="AX326" s="2193">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198"/>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193">
        <f t="shared" si="178"/>
        <v>0</v>
      </c>
      <c r="AW327" s="2193">
        <f t="shared" si="179"/>
        <v>0</v>
      </c>
      <c r="AX327" s="2193">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198"/>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193">
        <f t="shared" si="178"/>
        <v>0</v>
      </c>
      <c r="AW328" s="2193">
        <f t="shared" si="179"/>
        <v>0</v>
      </c>
      <c r="AX328" s="2193">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198"/>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193">
        <f t="shared" si="178"/>
        <v>0</v>
      </c>
      <c r="AW329" s="2193">
        <f t="shared" si="179"/>
        <v>0</v>
      </c>
      <c r="AX329" s="2193">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198"/>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193">
        <f t="shared" si="178"/>
        <v>0</v>
      </c>
      <c r="AW330" s="2193">
        <f t="shared" si="179"/>
        <v>0</v>
      </c>
      <c r="AX330" s="2193">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198"/>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193">
        <f t="shared" si="178"/>
        <v>0</v>
      </c>
      <c r="AW331" s="2193">
        <f t="shared" si="179"/>
        <v>0</v>
      </c>
      <c r="AX331" s="2193">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198"/>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193">
        <f t="shared" si="178"/>
        <v>0</v>
      </c>
      <c r="AW332" s="2193">
        <f t="shared" si="179"/>
        <v>0</v>
      </c>
      <c r="AX332" s="2193">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198"/>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193">
        <f t="shared" si="178"/>
        <v>0</v>
      </c>
      <c r="AW333" s="2193">
        <f t="shared" si="179"/>
        <v>0</v>
      </c>
      <c r="AX333" s="2193">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198"/>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193">
        <f t="shared" si="178"/>
        <v>0</v>
      </c>
      <c r="AW334" s="2193">
        <f t="shared" si="179"/>
        <v>0</v>
      </c>
      <c r="AX334" s="2193">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198"/>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193">
        <f t="shared" ref="AV335:AV366" si="207">A335</f>
        <v>0</v>
      </c>
      <c r="AW335" s="2193">
        <f t="shared" ref="AW335:AW366" si="208">B335</f>
        <v>0</v>
      </c>
      <c r="AX335" s="2193">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198"/>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193">
        <f t="shared" si="207"/>
        <v>0</v>
      </c>
      <c r="AW336" s="2193">
        <f t="shared" si="208"/>
        <v>0</v>
      </c>
      <c r="AX336" s="2193">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198"/>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193">
        <f t="shared" si="207"/>
        <v>0</v>
      </c>
      <c r="AW337" s="2193">
        <f t="shared" si="208"/>
        <v>0</v>
      </c>
      <c r="AX337" s="2193">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198"/>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193">
        <f t="shared" si="207"/>
        <v>0</v>
      </c>
      <c r="AW338" s="2193">
        <f t="shared" si="208"/>
        <v>0</v>
      </c>
      <c r="AX338" s="2193">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198"/>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193">
        <f t="shared" si="207"/>
        <v>0</v>
      </c>
      <c r="AW339" s="2193">
        <f t="shared" si="208"/>
        <v>0</v>
      </c>
      <c r="AX339" s="2193">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198"/>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193">
        <f t="shared" si="207"/>
        <v>0</v>
      </c>
      <c r="AW340" s="2193">
        <f t="shared" si="208"/>
        <v>0</v>
      </c>
      <c r="AX340" s="2193">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198"/>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193">
        <f t="shared" si="207"/>
        <v>0</v>
      </c>
      <c r="AW341" s="2193">
        <f t="shared" si="208"/>
        <v>0</v>
      </c>
      <c r="AX341" s="2193">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198"/>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193">
        <f t="shared" si="207"/>
        <v>0</v>
      </c>
      <c r="AW342" s="2193">
        <f t="shared" si="208"/>
        <v>0</v>
      </c>
      <c r="AX342" s="2193">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198"/>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193">
        <f t="shared" si="207"/>
        <v>0</v>
      </c>
      <c r="AW343" s="2193">
        <f t="shared" si="208"/>
        <v>0</v>
      </c>
      <c r="AX343" s="2193">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198"/>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193">
        <f t="shared" si="207"/>
        <v>0</v>
      </c>
      <c r="AW344" s="2193">
        <f t="shared" si="208"/>
        <v>0</v>
      </c>
      <c r="AX344" s="2193">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198"/>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193">
        <f t="shared" si="207"/>
        <v>0</v>
      </c>
      <c r="AW345" s="2193">
        <f t="shared" si="208"/>
        <v>0</v>
      </c>
      <c r="AX345" s="2193">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198"/>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193">
        <f t="shared" si="207"/>
        <v>0</v>
      </c>
      <c r="AW346" s="2193">
        <f t="shared" si="208"/>
        <v>0</v>
      </c>
      <c r="AX346" s="2193">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198"/>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193">
        <f t="shared" si="207"/>
        <v>0</v>
      </c>
      <c r="AW347" s="2193">
        <f t="shared" si="208"/>
        <v>0</v>
      </c>
      <c r="AX347" s="2193">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198"/>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193">
        <f t="shared" si="207"/>
        <v>0</v>
      </c>
      <c r="AW348" s="2193">
        <f t="shared" si="208"/>
        <v>0</v>
      </c>
      <c r="AX348" s="2193">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198"/>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193">
        <f t="shared" si="207"/>
        <v>0</v>
      </c>
      <c r="AW349" s="2193">
        <f t="shared" si="208"/>
        <v>0</v>
      </c>
      <c r="AX349" s="2193">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198"/>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193">
        <f t="shared" si="207"/>
        <v>0</v>
      </c>
      <c r="AW350" s="2193">
        <f t="shared" si="208"/>
        <v>0</v>
      </c>
      <c r="AX350" s="2193">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198"/>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193">
        <f t="shared" si="207"/>
        <v>0</v>
      </c>
      <c r="AW351" s="2193">
        <f t="shared" si="208"/>
        <v>0</v>
      </c>
      <c r="AX351" s="2193">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198"/>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193">
        <f t="shared" si="207"/>
        <v>0</v>
      </c>
      <c r="AW352" s="2193">
        <f t="shared" si="208"/>
        <v>0</v>
      </c>
      <c r="AX352" s="2193">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198"/>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193">
        <f t="shared" si="207"/>
        <v>0</v>
      </c>
      <c r="AW353" s="2193">
        <f t="shared" si="208"/>
        <v>0</v>
      </c>
      <c r="AX353" s="2193">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198"/>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193">
        <f t="shared" si="207"/>
        <v>0</v>
      </c>
      <c r="AW354" s="2193">
        <f t="shared" si="208"/>
        <v>0</v>
      </c>
      <c r="AX354" s="2193">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198"/>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193">
        <f t="shared" si="207"/>
        <v>0</v>
      </c>
      <c r="AW355" s="2193">
        <f t="shared" si="208"/>
        <v>0</v>
      </c>
      <c r="AX355" s="2193">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198"/>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193">
        <f t="shared" si="207"/>
        <v>0</v>
      </c>
      <c r="AW356" s="2193">
        <f t="shared" si="208"/>
        <v>0</v>
      </c>
      <c r="AX356" s="2193">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198"/>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193">
        <f t="shared" si="207"/>
        <v>0</v>
      </c>
      <c r="AW357" s="2193">
        <f t="shared" si="208"/>
        <v>0</v>
      </c>
      <c r="AX357" s="2193">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198"/>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193">
        <f t="shared" si="207"/>
        <v>0</v>
      </c>
      <c r="AW358" s="2193">
        <f t="shared" si="208"/>
        <v>0</v>
      </c>
      <c r="AX358" s="2193">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198"/>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193">
        <f t="shared" si="207"/>
        <v>0</v>
      </c>
      <c r="AW359" s="2193">
        <f t="shared" si="208"/>
        <v>0</v>
      </c>
      <c r="AX359" s="2193">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198"/>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193">
        <f t="shared" si="207"/>
        <v>0</v>
      </c>
      <c r="AW360" s="2193">
        <f t="shared" si="208"/>
        <v>0</v>
      </c>
      <c r="AX360" s="2193">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198"/>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193">
        <f t="shared" si="207"/>
        <v>0</v>
      </c>
      <c r="AW361" s="2193">
        <f t="shared" si="208"/>
        <v>0</v>
      </c>
      <c r="AX361" s="2193">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198"/>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193">
        <f t="shared" si="207"/>
        <v>0</v>
      </c>
      <c r="AW362" s="2193">
        <f t="shared" si="208"/>
        <v>0</v>
      </c>
      <c r="AX362" s="2193">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198"/>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193">
        <f t="shared" si="207"/>
        <v>0</v>
      </c>
      <c r="AW363" s="2193">
        <f t="shared" si="208"/>
        <v>0</v>
      </c>
      <c r="AX363" s="2193">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198"/>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193">
        <f t="shared" si="207"/>
        <v>0</v>
      </c>
      <c r="AW364" s="2193">
        <f t="shared" si="208"/>
        <v>0</v>
      </c>
      <c r="AX364" s="2193">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198"/>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193">
        <f t="shared" si="207"/>
        <v>0</v>
      </c>
      <c r="AW365" s="2193">
        <f t="shared" si="208"/>
        <v>0</v>
      </c>
      <c r="AX365" s="2193">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198"/>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193">
        <f t="shared" si="207"/>
        <v>0</v>
      </c>
      <c r="AW366" s="2193">
        <f t="shared" si="208"/>
        <v>0</v>
      </c>
      <c r="AX366" s="2193">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198"/>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193">
        <f t="shared" ref="AV367:AV397" si="236">A367</f>
        <v>0</v>
      </c>
      <c r="AW367" s="2193">
        <f t="shared" ref="AW367:AW397" si="237">B367</f>
        <v>0</v>
      </c>
      <c r="AX367" s="2193">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198"/>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193">
        <f t="shared" si="236"/>
        <v>0</v>
      </c>
      <c r="AW368" s="2193">
        <f t="shared" si="237"/>
        <v>0</v>
      </c>
      <c r="AX368" s="2193">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198"/>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193">
        <f t="shared" si="236"/>
        <v>0</v>
      </c>
      <c r="AW369" s="2193">
        <f t="shared" si="237"/>
        <v>0</v>
      </c>
      <c r="AX369" s="2193">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198"/>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193">
        <f t="shared" si="236"/>
        <v>0</v>
      </c>
      <c r="AW370" s="2193">
        <f t="shared" si="237"/>
        <v>0</v>
      </c>
      <c r="AX370" s="2193">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198"/>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193">
        <f t="shared" si="236"/>
        <v>0</v>
      </c>
      <c r="AW371" s="2193">
        <f t="shared" si="237"/>
        <v>0</v>
      </c>
      <c r="AX371" s="2193">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198"/>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193">
        <f t="shared" si="236"/>
        <v>0</v>
      </c>
      <c r="AW372" s="2193">
        <f t="shared" si="237"/>
        <v>0</v>
      </c>
      <c r="AX372" s="2193">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198"/>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193">
        <f t="shared" si="236"/>
        <v>0</v>
      </c>
      <c r="AW373" s="2193">
        <f t="shared" si="237"/>
        <v>0</v>
      </c>
      <c r="AX373" s="2193">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198"/>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193">
        <f t="shared" si="236"/>
        <v>0</v>
      </c>
      <c r="AW374" s="2193">
        <f t="shared" si="237"/>
        <v>0</v>
      </c>
      <c r="AX374" s="2193">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198"/>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193">
        <f t="shared" si="236"/>
        <v>0</v>
      </c>
      <c r="AW375" s="2193">
        <f t="shared" si="237"/>
        <v>0</v>
      </c>
      <c r="AX375" s="2193">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198"/>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193">
        <f t="shared" si="236"/>
        <v>0</v>
      </c>
      <c r="AW376" s="2193">
        <f t="shared" si="237"/>
        <v>0</v>
      </c>
      <c r="AX376" s="2193">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198"/>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193">
        <f t="shared" si="236"/>
        <v>0</v>
      </c>
      <c r="AW377" s="2193">
        <f t="shared" si="237"/>
        <v>0</v>
      </c>
      <c r="AX377" s="2193">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198"/>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193">
        <f t="shared" si="236"/>
        <v>0</v>
      </c>
      <c r="AW378" s="2193">
        <f t="shared" si="237"/>
        <v>0</v>
      </c>
      <c r="AX378" s="2193">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198"/>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193">
        <f t="shared" si="236"/>
        <v>0</v>
      </c>
      <c r="AW379" s="2193">
        <f t="shared" si="237"/>
        <v>0</v>
      </c>
      <c r="AX379" s="2193">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198"/>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193">
        <f t="shared" si="236"/>
        <v>0</v>
      </c>
      <c r="AW380" s="2193">
        <f t="shared" si="237"/>
        <v>0</v>
      </c>
      <c r="AX380" s="2193">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198"/>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193">
        <f t="shared" si="236"/>
        <v>0</v>
      </c>
      <c r="AW381" s="2193">
        <f t="shared" si="237"/>
        <v>0</v>
      </c>
      <c r="AX381" s="2193">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198"/>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193">
        <f t="shared" si="236"/>
        <v>0</v>
      </c>
      <c r="AW382" s="2193">
        <f t="shared" si="237"/>
        <v>0</v>
      </c>
      <c r="AX382" s="2193">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198"/>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193">
        <f t="shared" si="236"/>
        <v>0</v>
      </c>
      <c r="AW383" s="2193">
        <f t="shared" si="237"/>
        <v>0</v>
      </c>
      <c r="AX383" s="2193">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198"/>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193">
        <f t="shared" si="236"/>
        <v>0</v>
      </c>
      <c r="AW384" s="2193">
        <f t="shared" si="237"/>
        <v>0</v>
      </c>
      <c r="AX384" s="2193">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198"/>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193">
        <f t="shared" si="236"/>
        <v>0</v>
      </c>
      <c r="AW385" s="2193">
        <f t="shared" si="237"/>
        <v>0</v>
      </c>
      <c r="AX385" s="2193">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198"/>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193">
        <f t="shared" si="236"/>
        <v>0</v>
      </c>
      <c r="AW386" s="2193">
        <f t="shared" si="237"/>
        <v>0</v>
      </c>
      <c r="AX386" s="2193">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198"/>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193">
        <f t="shared" si="236"/>
        <v>0</v>
      </c>
      <c r="AW387" s="2193">
        <f t="shared" si="237"/>
        <v>0</v>
      </c>
      <c r="AX387" s="2193">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198"/>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193">
        <f t="shared" si="236"/>
        <v>0</v>
      </c>
      <c r="AW388" s="2193">
        <f t="shared" si="237"/>
        <v>0</v>
      </c>
      <c r="AX388" s="2193">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198"/>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193">
        <f t="shared" si="236"/>
        <v>0</v>
      </c>
      <c r="AW389" s="2193">
        <f t="shared" si="237"/>
        <v>0</v>
      </c>
      <c r="AX389" s="2193">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198"/>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193">
        <f t="shared" si="236"/>
        <v>0</v>
      </c>
      <c r="AW390" s="2193">
        <f t="shared" si="237"/>
        <v>0</v>
      </c>
      <c r="AX390" s="2193">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198"/>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193">
        <f t="shared" si="236"/>
        <v>0</v>
      </c>
      <c r="AW391" s="2193">
        <f t="shared" si="237"/>
        <v>0</v>
      </c>
      <c r="AX391" s="2193">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198"/>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193">
        <f t="shared" si="236"/>
        <v>0</v>
      </c>
      <c r="AW392" s="2193">
        <f t="shared" si="237"/>
        <v>0</v>
      </c>
      <c r="AX392" s="2193">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198"/>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193">
        <f t="shared" si="236"/>
        <v>0</v>
      </c>
      <c r="AW393" s="2193">
        <f t="shared" si="237"/>
        <v>0</v>
      </c>
      <c r="AX393" s="2193">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198"/>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193">
        <f t="shared" si="236"/>
        <v>0</v>
      </c>
      <c r="AW394" s="2193">
        <f t="shared" si="237"/>
        <v>0</v>
      </c>
      <c r="AX394" s="2193">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198"/>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193">
        <f t="shared" si="236"/>
        <v>0</v>
      </c>
      <c r="AW395" s="2193">
        <f t="shared" si="237"/>
        <v>0</v>
      </c>
      <c r="AX395" s="2193">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198"/>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193">
        <f t="shared" si="236"/>
        <v>0</v>
      </c>
      <c r="AW396" s="2193">
        <f t="shared" si="237"/>
        <v>0</v>
      </c>
      <c r="AX396" s="2193">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198"/>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193">
        <f t="shared" si="236"/>
        <v>0</v>
      </c>
      <c r="AW397" s="2193">
        <f t="shared" si="237"/>
        <v>0</v>
      </c>
      <c r="AX397" s="2193">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198"/>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193">
        <f t="shared" ref="AV398:AV492" si="243">A398</f>
        <v>0</v>
      </c>
      <c r="AW398" s="2193">
        <f t="shared" ref="AW398:AW492" si="244">B398</f>
        <v>0</v>
      </c>
      <c r="AX398" s="2193">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198"/>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193">
        <f t="shared" si="243"/>
        <v>0</v>
      </c>
      <c r="AW399" s="2193">
        <f t="shared" si="244"/>
        <v>0</v>
      </c>
      <c r="AX399" s="2193">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198"/>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193">
        <f t="shared" si="243"/>
        <v>0</v>
      </c>
      <c r="AW400" s="2193">
        <f t="shared" si="244"/>
        <v>0</v>
      </c>
      <c r="AX400" s="2193">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198"/>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193">
        <f t="shared" si="243"/>
        <v>0</v>
      </c>
      <c r="AW401" s="2193">
        <f t="shared" si="244"/>
        <v>0</v>
      </c>
      <c r="AX401" s="2193">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198"/>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193">
        <f t="shared" si="243"/>
        <v>0</v>
      </c>
      <c r="AW402" s="2193">
        <f t="shared" si="244"/>
        <v>0</v>
      </c>
      <c r="AX402" s="2193">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198"/>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193">
        <f t="shared" si="243"/>
        <v>0</v>
      </c>
      <c r="AW403" s="2193">
        <f t="shared" si="244"/>
        <v>0</v>
      </c>
      <c r="AX403" s="2193">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198"/>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193">
        <f t="shared" si="243"/>
        <v>0</v>
      </c>
      <c r="AW404" s="2193">
        <f t="shared" si="244"/>
        <v>0</v>
      </c>
      <c r="AX404" s="2193">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198"/>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193">
        <f t="shared" si="243"/>
        <v>0</v>
      </c>
      <c r="AW405" s="2193">
        <f t="shared" si="244"/>
        <v>0</v>
      </c>
      <c r="AX405" s="2193">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198"/>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193">
        <f t="shared" si="243"/>
        <v>0</v>
      </c>
      <c r="AW406" s="2193">
        <f t="shared" si="244"/>
        <v>0</v>
      </c>
      <c r="AX406" s="2193">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198"/>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193">
        <f t="shared" si="243"/>
        <v>0</v>
      </c>
      <c r="AW407" s="2193">
        <f t="shared" si="244"/>
        <v>0</v>
      </c>
      <c r="AX407" s="2193">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198"/>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193">
        <f t="shared" si="243"/>
        <v>0</v>
      </c>
      <c r="AW408" s="2193">
        <f t="shared" si="244"/>
        <v>0</v>
      </c>
      <c r="AX408" s="2193">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198"/>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193">
        <f t="shared" si="243"/>
        <v>0</v>
      </c>
      <c r="AW409" s="2193">
        <f t="shared" si="244"/>
        <v>0</v>
      </c>
      <c r="AX409" s="2193">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198"/>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193">
        <f t="shared" si="243"/>
        <v>0</v>
      </c>
      <c r="AW410" s="2193">
        <f t="shared" si="244"/>
        <v>0</v>
      </c>
      <c r="AX410" s="2193">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198"/>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193">
        <f t="shared" si="243"/>
        <v>0</v>
      </c>
      <c r="AW411" s="2193">
        <f t="shared" si="244"/>
        <v>0</v>
      </c>
      <c r="AX411" s="2193">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198"/>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193">
        <f t="shared" si="243"/>
        <v>0</v>
      </c>
      <c r="AW412" s="2193">
        <f t="shared" si="244"/>
        <v>0</v>
      </c>
      <c r="AX412" s="2193">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198"/>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193">
        <f t="shared" si="243"/>
        <v>0</v>
      </c>
      <c r="AW413" s="2193">
        <f t="shared" si="244"/>
        <v>0</v>
      </c>
      <c r="AX413" s="2193">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198"/>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193">
        <f t="shared" si="243"/>
        <v>0</v>
      </c>
      <c r="AW414" s="2193">
        <f t="shared" si="244"/>
        <v>0</v>
      </c>
      <c r="AX414" s="2193">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198"/>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193">
        <f t="shared" si="243"/>
        <v>0</v>
      </c>
      <c r="AW415" s="2193">
        <f t="shared" si="244"/>
        <v>0</v>
      </c>
      <c r="AX415" s="2193">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198"/>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193">
        <f t="shared" si="243"/>
        <v>0</v>
      </c>
      <c r="AW416" s="2193">
        <f t="shared" si="244"/>
        <v>0</v>
      </c>
      <c r="AX416" s="2193">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198"/>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193">
        <f t="shared" si="243"/>
        <v>0</v>
      </c>
      <c r="AW417" s="2193">
        <f t="shared" si="244"/>
        <v>0</v>
      </c>
      <c r="AX417" s="2193">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198"/>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193">
        <f t="shared" si="243"/>
        <v>0</v>
      </c>
      <c r="AW418" s="2193">
        <f t="shared" si="244"/>
        <v>0</v>
      </c>
      <c r="AX418" s="2193">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198"/>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193">
        <f t="shared" si="243"/>
        <v>0</v>
      </c>
      <c r="AW419" s="2193">
        <f t="shared" si="244"/>
        <v>0</v>
      </c>
      <c r="AX419" s="2193">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198"/>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193">
        <f t="shared" si="243"/>
        <v>0</v>
      </c>
      <c r="AW420" s="2193">
        <f t="shared" si="244"/>
        <v>0</v>
      </c>
      <c r="AX420" s="2193">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198"/>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193">
        <f t="shared" si="243"/>
        <v>0</v>
      </c>
      <c r="AW421" s="2193">
        <f t="shared" si="244"/>
        <v>0</v>
      </c>
      <c r="AX421" s="2193">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198"/>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193">
        <f t="shared" si="243"/>
        <v>0</v>
      </c>
      <c r="AW422" s="2193">
        <f t="shared" si="244"/>
        <v>0</v>
      </c>
      <c r="AX422" s="2193">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198"/>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193">
        <f t="shared" si="243"/>
        <v>0</v>
      </c>
      <c r="AW423" s="2193">
        <f t="shared" si="244"/>
        <v>0</v>
      </c>
      <c r="AX423" s="2193">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198"/>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193">
        <f t="shared" si="243"/>
        <v>0</v>
      </c>
      <c r="AW424" s="2193">
        <f t="shared" si="244"/>
        <v>0</v>
      </c>
      <c r="AX424" s="2193">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198"/>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193">
        <f t="shared" si="243"/>
        <v>0</v>
      </c>
      <c r="AW425" s="2193">
        <f t="shared" si="244"/>
        <v>0</v>
      </c>
      <c r="AX425" s="2193">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198"/>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193">
        <f t="shared" si="243"/>
        <v>0</v>
      </c>
      <c r="AW426" s="2193">
        <f t="shared" si="244"/>
        <v>0</v>
      </c>
      <c r="AX426" s="2193">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198"/>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193">
        <f t="shared" si="243"/>
        <v>0</v>
      </c>
      <c r="AW427" s="2193">
        <f t="shared" si="244"/>
        <v>0</v>
      </c>
      <c r="AX427" s="2193">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198"/>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193">
        <f t="shared" si="243"/>
        <v>0</v>
      </c>
      <c r="AW428" s="2193">
        <f t="shared" si="244"/>
        <v>0</v>
      </c>
      <c r="AX428" s="2193">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198"/>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193">
        <f t="shared" si="243"/>
        <v>0</v>
      </c>
      <c r="AW429" s="2193">
        <f t="shared" si="244"/>
        <v>0</v>
      </c>
      <c r="AX429" s="2193">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198"/>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193">
        <f t="shared" si="243"/>
        <v>0</v>
      </c>
      <c r="AW430" s="2193">
        <f t="shared" si="244"/>
        <v>0</v>
      </c>
      <c r="AX430" s="2193">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198"/>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193">
        <f t="shared" si="243"/>
        <v>0</v>
      </c>
      <c r="AW431" s="2193">
        <f t="shared" si="244"/>
        <v>0</v>
      </c>
      <c r="AX431" s="2193">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198"/>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193">
        <f t="shared" si="243"/>
        <v>0</v>
      </c>
      <c r="AW432" s="2193">
        <f t="shared" si="244"/>
        <v>0</v>
      </c>
      <c r="AX432" s="2193">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198"/>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193">
        <f t="shared" si="243"/>
        <v>0</v>
      </c>
      <c r="AW433" s="2193">
        <f t="shared" si="244"/>
        <v>0</v>
      </c>
      <c r="AX433" s="2193">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198"/>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193">
        <f t="shared" si="243"/>
        <v>0</v>
      </c>
      <c r="AW434" s="2193">
        <f t="shared" si="244"/>
        <v>0</v>
      </c>
      <c r="AX434" s="2193">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198"/>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193">
        <f t="shared" si="243"/>
        <v>0</v>
      </c>
      <c r="AW435" s="2193">
        <f t="shared" si="244"/>
        <v>0</v>
      </c>
      <c r="AX435" s="2193">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198"/>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193">
        <f t="shared" si="243"/>
        <v>0</v>
      </c>
      <c r="AW436" s="2193">
        <f t="shared" si="244"/>
        <v>0</v>
      </c>
      <c r="AX436" s="2193">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198"/>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193">
        <f t="shared" si="243"/>
        <v>0</v>
      </c>
      <c r="AW437" s="2193">
        <f t="shared" si="244"/>
        <v>0</v>
      </c>
      <c r="AX437" s="2193">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198"/>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193">
        <f t="shared" si="243"/>
        <v>0</v>
      </c>
      <c r="AW438" s="2193">
        <f t="shared" si="244"/>
        <v>0</v>
      </c>
      <c r="AX438" s="2193">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198"/>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193">
        <f t="shared" si="243"/>
        <v>0</v>
      </c>
      <c r="AW439" s="2193">
        <f t="shared" si="244"/>
        <v>0</v>
      </c>
      <c r="AX439" s="2193">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198"/>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193">
        <f t="shared" si="243"/>
        <v>0</v>
      </c>
      <c r="AW440" s="2193">
        <f t="shared" si="244"/>
        <v>0</v>
      </c>
      <c r="AX440" s="2193">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198"/>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193">
        <f t="shared" si="243"/>
        <v>0</v>
      </c>
      <c r="AW441" s="2193">
        <f t="shared" si="244"/>
        <v>0</v>
      </c>
      <c r="AX441" s="2193">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198"/>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193">
        <f t="shared" si="243"/>
        <v>0</v>
      </c>
      <c r="AW442" s="2193">
        <f t="shared" si="244"/>
        <v>0</v>
      </c>
      <c r="AX442" s="2193">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198"/>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193">
        <f t="shared" si="243"/>
        <v>0</v>
      </c>
      <c r="AW443" s="2193">
        <f t="shared" si="244"/>
        <v>0</v>
      </c>
      <c r="AX443" s="2193">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198"/>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193">
        <f t="shared" si="243"/>
        <v>0</v>
      </c>
      <c r="AW444" s="2193">
        <f t="shared" si="244"/>
        <v>0</v>
      </c>
      <c r="AX444" s="2193">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198"/>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193">
        <f t="shared" si="243"/>
        <v>0</v>
      </c>
      <c r="AW445" s="2193">
        <f t="shared" si="244"/>
        <v>0</v>
      </c>
      <c r="AX445" s="2193">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198"/>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193">
        <f t="shared" si="243"/>
        <v>0</v>
      </c>
      <c r="AW446" s="2193">
        <f t="shared" si="244"/>
        <v>0</v>
      </c>
      <c r="AX446" s="2193">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198"/>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193">
        <f t="shared" si="243"/>
        <v>0</v>
      </c>
      <c r="AW447" s="2193">
        <f t="shared" si="244"/>
        <v>0</v>
      </c>
      <c r="AX447" s="2193">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198"/>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193">
        <f t="shared" si="243"/>
        <v>0</v>
      </c>
      <c r="AW448" s="2193">
        <f t="shared" si="244"/>
        <v>0</v>
      </c>
      <c r="AX448" s="2193">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198"/>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193">
        <f t="shared" si="243"/>
        <v>0</v>
      </c>
      <c r="AW449" s="2193">
        <f t="shared" si="244"/>
        <v>0</v>
      </c>
      <c r="AX449" s="2193">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198"/>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193">
        <f t="shared" si="243"/>
        <v>0</v>
      </c>
      <c r="AW450" s="2193">
        <f t="shared" si="244"/>
        <v>0</v>
      </c>
      <c r="AX450" s="2193">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198"/>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193">
        <f t="shared" si="243"/>
        <v>0</v>
      </c>
      <c r="AW451" s="2193">
        <f t="shared" si="244"/>
        <v>0</v>
      </c>
      <c r="AX451" s="2193">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198"/>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193">
        <f t="shared" si="243"/>
        <v>0</v>
      </c>
      <c r="AW452" s="2193">
        <f t="shared" si="244"/>
        <v>0</v>
      </c>
      <c r="AX452" s="2193">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198"/>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193">
        <f t="shared" si="243"/>
        <v>0</v>
      </c>
      <c r="AW453" s="2193">
        <f t="shared" si="244"/>
        <v>0</v>
      </c>
      <c r="AX453" s="2193">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198"/>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193">
        <f t="shared" si="243"/>
        <v>0</v>
      </c>
      <c r="AW454" s="2193">
        <f t="shared" si="244"/>
        <v>0</v>
      </c>
      <c r="AX454" s="2193">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198"/>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193">
        <f t="shared" si="243"/>
        <v>0</v>
      </c>
      <c r="AW455" s="2193">
        <f t="shared" si="244"/>
        <v>0</v>
      </c>
      <c r="AX455" s="2193">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198"/>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193">
        <f t="shared" si="243"/>
        <v>0</v>
      </c>
      <c r="AW456" s="2193">
        <f t="shared" si="244"/>
        <v>0</v>
      </c>
      <c r="AX456" s="2193">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198"/>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193">
        <f t="shared" si="243"/>
        <v>0</v>
      </c>
      <c r="AW457" s="2193">
        <f t="shared" si="244"/>
        <v>0</v>
      </c>
      <c r="AX457" s="2193">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198"/>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193">
        <f t="shared" si="243"/>
        <v>0</v>
      </c>
      <c r="AW458" s="2193">
        <f t="shared" si="244"/>
        <v>0</v>
      </c>
      <c r="AX458" s="2193">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198"/>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193">
        <f t="shared" si="243"/>
        <v>0</v>
      </c>
      <c r="AW459" s="2193">
        <f t="shared" si="244"/>
        <v>0</v>
      </c>
      <c r="AX459" s="2193">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198"/>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193">
        <f t="shared" si="243"/>
        <v>0</v>
      </c>
      <c r="AW460" s="2193">
        <f t="shared" si="244"/>
        <v>0</v>
      </c>
      <c r="AX460" s="2193">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198"/>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193">
        <f t="shared" si="243"/>
        <v>0</v>
      </c>
      <c r="AW461" s="2193">
        <f t="shared" si="244"/>
        <v>0</v>
      </c>
      <c r="AX461" s="2193">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198"/>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193">
        <f t="shared" si="243"/>
        <v>0</v>
      </c>
      <c r="AW462" s="2193">
        <f t="shared" si="244"/>
        <v>0</v>
      </c>
      <c r="AX462" s="2193">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198"/>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193">
        <f t="shared" si="243"/>
        <v>0</v>
      </c>
      <c r="AW463" s="2193">
        <f t="shared" si="244"/>
        <v>0</v>
      </c>
      <c r="AX463" s="2193">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198"/>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193">
        <f t="shared" si="243"/>
        <v>0</v>
      </c>
      <c r="AW464" s="2193">
        <f t="shared" si="244"/>
        <v>0</v>
      </c>
      <c r="AX464" s="2193">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198"/>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193">
        <f t="shared" si="243"/>
        <v>0</v>
      </c>
      <c r="AW465" s="2193">
        <f t="shared" si="244"/>
        <v>0</v>
      </c>
      <c r="AX465" s="2193">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198"/>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193">
        <f t="shared" si="243"/>
        <v>0</v>
      </c>
      <c r="AW466" s="2193">
        <f t="shared" si="244"/>
        <v>0</v>
      </c>
      <c r="AX466" s="2193">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198"/>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193">
        <f t="shared" si="243"/>
        <v>0</v>
      </c>
      <c r="AW467" s="2193">
        <f t="shared" si="244"/>
        <v>0</v>
      </c>
      <c r="AX467" s="2193">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198"/>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193">
        <f t="shared" si="243"/>
        <v>0</v>
      </c>
      <c r="AW468" s="2193">
        <f t="shared" si="244"/>
        <v>0</v>
      </c>
      <c r="AX468" s="2193">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198"/>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193">
        <f t="shared" si="243"/>
        <v>0</v>
      </c>
      <c r="AW469" s="2193">
        <f t="shared" si="244"/>
        <v>0</v>
      </c>
      <c r="AX469" s="2193">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198"/>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193">
        <f t="shared" si="243"/>
        <v>0</v>
      </c>
      <c r="AW470" s="2193">
        <f t="shared" si="244"/>
        <v>0</v>
      </c>
      <c r="AX470" s="2193">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198"/>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193">
        <f t="shared" si="243"/>
        <v>0</v>
      </c>
      <c r="AW471" s="2193">
        <f t="shared" si="244"/>
        <v>0</v>
      </c>
      <c r="AX471" s="2193">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198"/>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193">
        <f t="shared" si="243"/>
        <v>0</v>
      </c>
      <c r="AW472" s="2193">
        <f t="shared" si="244"/>
        <v>0</v>
      </c>
      <c r="AX472" s="2193">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198"/>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193">
        <f t="shared" si="243"/>
        <v>0</v>
      </c>
      <c r="AW473" s="2193">
        <f t="shared" si="244"/>
        <v>0</v>
      </c>
      <c r="AX473" s="2193">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198"/>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193">
        <f t="shared" si="243"/>
        <v>0</v>
      </c>
      <c r="AW474" s="2193">
        <f t="shared" si="244"/>
        <v>0</v>
      </c>
      <c r="AX474" s="2193">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198"/>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193">
        <f t="shared" si="243"/>
        <v>0</v>
      </c>
      <c r="AW475" s="2193">
        <f t="shared" si="244"/>
        <v>0</v>
      </c>
      <c r="AX475" s="2193">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198"/>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193">
        <f t="shared" si="243"/>
        <v>0</v>
      </c>
      <c r="AW476" s="2193">
        <f t="shared" si="244"/>
        <v>0</v>
      </c>
      <c r="AX476" s="2193">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198"/>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193">
        <f t="shared" si="243"/>
        <v>0</v>
      </c>
      <c r="AW477" s="2193">
        <f t="shared" si="244"/>
        <v>0</v>
      </c>
      <c r="AX477" s="2193">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198"/>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193">
        <f t="shared" si="243"/>
        <v>0</v>
      </c>
      <c r="AW478" s="2193">
        <f t="shared" si="244"/>
        <v>0</v>
      </c>
      <c r="AX478" s="2193">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198"/>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193">
        <f t="shared" si="243"/>
        <v>0</v>
      </c>
      <c r="AW479" s="2193">
        <f t="shared" si="244"/>
        <v>0</v>
      </c>
      <c r="AX479" s="2193">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198"/>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193">
        <f t="shared" si="243"/>
        <v>0</v>
      </c>
      <c r="AW480" s="2193">
        <f t="shared" si="244"/>
        <v>0</v>
      </c>
      <c r="AX480" s="2193">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198"/>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193">
        <f t="shared" si="243"/>
        <v>0</v>
      </c>
      <c r="AW481" s="2193">
        <f t="shared" si="244"/>
        <v>0</v>
      </c>
      <c r="AX481" s="2193">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198"/>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193">
        <f t="shared" si="243"/>
        <v>0</v>
      </c>
      <c r="AW482" s="2193">
        <f t="shared" si="244"/>
        <v>0</v>
      </c>
      <c r="AX482" s="2193">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198"/>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193">
        <f t="shared" si="243"/>
        <v>0</v>
      </c>
      <c r="AW483" s="2193">
        <f t="shared" si="244"/>
        <v>0</v>
      </c>
      <c r="AX483" s="2193">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198"/>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193">
        <f t="shared" si="243"/>
        <v>0</v>
      </c>
      <c r="AW484" s="2193">
        <f t="shared" si="244"/>
        <v>0</v>
      </c>
      <c r="AX484" s="2193">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198"/>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193">
        <f t="shared" si="243"/>
        <v>0</v>
      </c>
      <c r="AW485" s="2193">
        <f t="shared" si="244"/>
        <v>0</v>
      </c>
      <c r="AX485" s="2193">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198"/>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193">
        <f t="shared" si="243"/>
        <v>0</v>
      </c>
      <c r="AW486" s="2193">
        <f t="shared" si="244"/>
        <v>0</v>
      </c>
      <c r="AX486" s="2193">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198"/>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193">
        <f t="shared" si="243"/>
        <v>0</v>
      </c>
      <c r="AW487" s="2193">
        <f t="shared" si="244"/>
        <v>0</v>
      </c>
      <c r="AX487" s="2193">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198"/>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193">
        <f t="shared" si="243"/>
        <v>0</v>
      </c>
      <c r="AW488" s="2193">
        <f t="shared" si="244"/>
        <v>0</v>
      </c>
      <c r="AX488" s="2193">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198"/>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193">
        <f t="shared" si="243"/>
        <v>0</v>
      </c>
      <c r="AW489" s="2193">
        <f t="shared" si="244"/>
        <v>0</v>
      </c>
      <c r="AX489" s="2193">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198"/>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193">
        <f t="shared" si="243"/>
        <v>0</v>
      </c>
      <c r="AW490" s="2193">
        <f t="shared" si="244"/>
        <v>0</v>
      </c>
      <c r="AX490" s="2193">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198"/>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193">
        <f t="shared" si="243"/>
        <v>0</v>
      </c>
      <c r="AW491" s="2193">
        <f t="shared" si="244"/>
        <v>0</v>
      </c>
      <c r="AX491" s="2193">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198"/>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193">
        <f t="shared" si="243"/>
        <v>0</v>
      </c>
      <c r="AW492" s="2193">
        <f t="shared" si="244"/>
        <v>0</v>
      </c>
      <c r="AX492" s="2193">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66" customFormat="1">
      <c r="A588" s="1164"/>
      <c r="B588" s="1164"/>
      <c r="C588" s="1164"/>
      <c r="D588" s="1164"/>
      <c r="E588" s="1165"/>
      <c r="F588" s="1165"/>
      <c r="G588" s="1164"/>
      <c r="H588" s="1165"/>
      <c r="I588" s="1165"/>
      <c r="J588" s="1165"/>
      <c r="K588" s="1165"/>
      <c r="L588" s="1165"/>
      <c r="M588" s="1165"/>
      <c r="N588" s="1165"/>
      <c r="O588" s="1165"/>
      <c r="P588" s="1165"/>
      <c r="Q588" s="1165"/>
      <c r="R588" s="1165"/>
      <c r="S588" s="1165"/>
      <c r="T588" s="1165"/>
      <c r="U588" s="1165"/>
      <c r="V588" s="1165"/>
      <c r="W588" s="1165"/>
      <c r="X588" s="1165"/>
      <c r="Y588" s="1165"/>
      <c r="Z588" s="1165"/>
      <c r="AA588" s="1165"/>
      <c r="AB588" s="1165"/>
      <c r="AC588" s="1165"/>
      <c r="AD588" s="1165"/>
      <c r="AE588" s="1165"/>
      <c r="AF588" s="1165"/>
      <c r="AG588" s="1165"/>
      <c r="AH588" s="1165"/>
      <c r="AI588" s="1165"/>
      <c r="AJ588" s="1165"/>
      <c r="AK588" s="1165"/>
      <c r="AL588" s="1165"/>
      <c r="AM588" s="1165"/>
      <c r="AN588" s="1165"/>
      <c r="AO588" s="1165"/>
      <c r="AP588" s="1165"/>
      <c r="AQ588" s="1165"/>
      <c r="AR588" s="1165"/>
      <c r="AS588" s="1165"/>
      <c r="AT588" s="1165"/>
      <c r="AU588" s="1164"/>
      <c r="AV588" s="1164"/>
      <c r="AW588" s="1164"/>
      <c r="AX588" s="1164"/>
    </row>
    <row r="589" spans="1:72" s="1167" customFormat="1">
      <c r="C589" s="1168"/>
      <c r="D589" s="1168"/>
    </row>
    <row r="590" spans="1:72" s="1167" customFormat="1">
      <c r="C590" s="1168"/>
      <c r="D590" s="1168"/>
    </row>
    <row r="593" spans="2:2">
      <c r="B593" s="116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402" t="s">
        <v>2</v>
      </c>
      <c r="B1" s="3402" t="s">
        <v>37</v>
      </c>
      <c r="C1" s="3402" t="s">
        <v>38</v>
      </c>
      <c r="D1" s="3459" t="s">
        <v>199</v>
      </c>
      <c r="E1" s="3459" t="s">
        <v>200</v>
      </c>
      <c r="F1" s="3459"/>
      <c r="G1" s="3459"/>
      <c r="H1" s="3459"/>
      <c r="I1" s="3459"/>
      <c r="J1" s="3459"/>
      <c r="K1" s="3459"/>
      <c r="L1" s="3459"/>
      <c r="M1" s="3459"/>
    </row>
    <row r="2" spans="1:13" ht="27" customHeight="1">
      <c r="A2" s="3402"/>
      <c r="B2" s="3402"/>
      <c r="C2" s="3402"/>
      <c r="D2" s="3459"/>
      <c r="E2" s="3459" t="s">
        <v>183</v>
      </c>
      <c r="F2" s="3459" t="s">
        <v>184</v>
      </c>
      <c r="G2" s="3459"/>
      <c r="H2" s="3459"/>
      <c r="I2" s="3459"/>
      <c r="J2" s="3459" t="s">
        <v>185</v>
      </c>
      <c r="K2" s="3459"/>
      <c r="L2" s="3459"/>
      <c r="M2" s="3459"/>
    </row>
    <row r="3" spans="1:13" ht="28.5">
      <c r="A3" s="3402"/>
      <c r="B3" s="3402"/>
      <c r="C3" s="3402"/>
      <c r="D3" s="3459"/>
      <c r="E3" s="3459"/>
      <c r="F3" s="267" t="s">
        <v>186</v>
      </c>
      <c r="G3" s="267" t="s">
        <v>181</v>
      </c>
      <c r="H3" s="267" t="s">
        <v>182</v>
      </c>
      <c r="I3" s="267" t="s">
        <v>195</v>
      </c>
      <c r="J3" s="267" t="s">
        <v>186</v>
      </c>
      <c r="K3" s="267" t="s">
        <v>197</v>
      </c>
      <c r="L3" s="267" t="s">
        <v>196</v>
      </c>
      <c r="M3" s="267" t="s">
        <v>198</v>
      </c>
    </row>
    <row r="4" spans="1:13" ht="42.75">
      <c r="A4" s="267" t="s">
        <v>187</v>
      </c>
      <c r="B4" s="267" t="s">
        <v>188</v>
      </c>
      <c r="C4" s="267" t="s">
        <v>189</v>
      </c>
      <c r="D4" s="268">
        <v>3807.94</v>
      </c>
      <c r="E4" s="268">
        <v>20666.91</v>
      </c>
      <c r="F4" s="268">
        <v>19673</v>
      </c>
      <c r="G4" s="268">
        <v>0</v>
      </c>
      <c r="H4" s="268">
        <v>19673</v>
      </c>
      <c r="I4" s="268">
        <v>0</v>
      </c>
      <c r="J4" s="268">
        <v>993.90999999999985</v>
      </c>
      <c r="K4" s="268">
        <v>0</v>
      </c>
      <c r="L4" s="268">
        <v>0</v>
      </c>
      <c r="M4" s="268">
        <v>993.90999999999985</v>
      </c>
    </row>
    <row r="5" spans="1:13" ht="42.75">
      <c r="A5" s="267" t="s">
        <v>187</v>
      </c>
      <c r="B5" s="267" t="s">
        <v>190</v>
      </c>
      <c r="C5" s="267" t="s">
        <v>191</v>
      </c>
      <c r="D5" s="268">
        <v>3667.86</v>
      </c>
      <c r="E5" s="268">
        <v>19906.61</v>
      </c>
      <c r="F5" s="268">
        <v>18792.87</v>
      </c>
      <c r="G5" s="268">
        <v>18792.87</v>
      </c>
      <c r="H5" s="268">
        <v>0</v>
      </c>
      <c r="I5" s="268">
        <v>0</v>
      </c>
      <c r="J5" s="268">
        <v>1113.74</v>
      </c>
      <c r="K5" s="268">
        <v>55.59</v>
      </c>
      <c r="L5" s="268">
        <v>0</v>
      </c>
      <c r="M5" s="268">
        <v>1058.1500000000001</v>
      </c>
    </row>
    <row r="6" spans="1:13" ht="42.75">
      <c r="A6" s="267" t="s">
        <v>187</v>
      </c>
      <c r="B6" s="267" t="s">
        <v>190</v>
      </c>
      <c r="C6" s="267" t="s">
        <v>192</v>
      </c>
      <c r="D6" s="268">
        <v>2067.52</v>
      </c>
      <c r="E6" s="268">
        <v>11221.06</v>
      </c>
      <c r="F6" s="268">
        <v>9934.1299999999992</v>
      </c>
      <c r="G6" s="268">
        <v>9934.1299999999992</v>
      </c>
      <c r="H6" s="268">
        <v>0</v>
      </c>
      <c r="I6" s="268">
        <v>0</v>
      </c>
      <c r="J6" s="268">
        <v>1286.93</v>
      </c>
      <c r="K6" s="268">
        <v>0</v>
      </c>
      <c r="L6" s="268">
        <v>0</v>
      </c>
      <c r="M6" s="268">
        <v>1286.93</v>
      </c>
    </row>
    <row r="7" spans="1:13" ht="42.75">
      <c r="A7" s="267" t="s">
        <v>187</v>
      </c>
      <c r="B7" s="267" t="s">
        <v>190</v>
      </c>
      <c r="C7" s="267" t="s">
        <v>193</v>
      </c>
      <c r="D7" s="268">
        <v>8.18</v>
      </c>
      <c r="E7" s="268">
        <v>44.41</v>
      </c>
      <c r="F7" s="268">
        <v>0</v>
      </c>
      <c r="G7" s="268">
        <v>0</v>
      </c>
      <c r="H7" s="268">
        <v>0</v>
      </c>
      <c r="I7" s="268">
        <v>0</v>
      </c>
      <c r="J7" s="268">
        <v>44.41</v>
      </c>
      <c r="K7" s="268">
        <v>44.41</v>
      </c>
      <c r="L7" s="268">
        <v>0</v>
      </c>
      <c r="M7" s="268">
        <v>0</v>
      </c>
    </row>
    <row r="8" spans="1:13" ht="42.75">
      <c r="A8" s="267" t="s">
        <v>187</v>
      </c>
      <c r="B8" s="267" t="s">
        <v>190</v>
      </c>
      <c r="C8" s="267" t="s">
        <v>194</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459" t="s">
        <v>201</v>
      </c>
      <c r="B9" s="3459"/>
      <c r="C9" s="3459"/>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E27" sqref="E27"/>
    </sheetView>
  </sheetViews>
  <sheetFormatPr defaultColWidth="9.25" defaultRowHeight="13.5"/>
  <cols>
    <col min="1" max="1" width="12.125" style="2205" customWidth="1"/>
    <col min="2" max="2" width="10.25" style="2205" customWidth="1"/>
    <col min="3" max="3" width="18.5" style="2205" customWidth="1"/>
    <col min="4" max="4" width="11.625" style="2205" customWidth="1"/>
    <col min="5" max="5" width="13.375" style="2205" customWidth="1"/>
    <col min="6" max="8" width="11.5" style="2205" customWidth="1"/>
    <col min="9" max="9" width="11.125" style="2205" customWidth="1"/>
    <col min="10" max="10" width="3.125" style="2205" customWidth="1"/>
    <col min="11" max="16" width="10" style="2205" customWidth="1"/>
    <col min="17" max="17" width="2.625" style="2205" customWidth="1"/>
    <col min="18" max="16384" width="9.25" style="2205"/>
  </cols>
  <sheetData>
    <row r="1" spans="1:16" ht="18.75">
      <c r="A1" s="17" t="s">
        <v>640</v>
      </c>
      <c r="B1" s="2207"/>
      <c r="C1" s="2207"/>
      <c r="D1" s="2207"/>
      <c r="E1" s="2207"/>
      <c r="F1" s="2207"/>
      <c r="G1" s="2207"/>
      <c r="H1" s="2207"/>
      <c r="I1" s="2207"/>
      <c r="J1" s="2207"/>
      <c r="K1" s="2207"/>
      <c r="L1" s="2207"/>
      <c r="M1" s="2207"/>
      <c r="N1" s="2207"/>
      <c r="O1" s="2207"/>
      <c r="P1" s="2207"/>
    </row>
    <row r="2" spans="1:16">
      <c r="A2" s="3469" t="s">
        <v>641</v>
      </c>
      <c r="B2" s="3469"/>
      <c r="C2" s="3469"/>
      <c r="D2" s="2191" t="s">
        <v>642</v>
      </c>
      <c r="E2" s="19" t="s">
        <v>643</v>
      </c>
      <c r="F2" s="2207"/>
      <c r="G2" s="1170"/>
      <c r="H2" s="1171"/>
      <c r="I2" s="2199" t="s">
        <v>644</v>
      </c>
      <c r="J2" s="2207"/>
      <c r="K2" s="2207"/>
      <c r="L2" s="2207"/>
      <c r="M2" s="2207"/>
      <c r="N2" s="2216"/>
      <c r="O2" s="2207"/>
      <c r="P2" s="2207"/>
    </row>
    <row r="3" spans="1:16" ht="15.75" thickBot="1">
      <c r="A3" s="3470" t="s">
        <v>645</v>
      </c>
      <c r="B3" s="3470"/>
      <c r="C3" s="3470"/>
      <c r="D3" s="333">
        <f>'数据-基础表'!AY6</f>
        <v>10808.06</v>
      </c>
      <c r="E3" s="333">
        <f>'数据-基础表'!AZ5</f>
        <v>43758.520000000004</v>
      </c>
      <c r="F3" s="2207"/>
      <c r="G3" s="438"/>
      <c r="H3" s="436" t="s">
        <v>646</v>
      </c>
      <c r="I3" s="342">
        <f>ROUND('数据-基础表'!B3/'数据-基础表'!A3,2)</f>
        <v>1.33</v>
      </c>
      <c r="J3" s="2207"/>
      <c r="K3" s="2207"/>
      <c r="L3" s="2207"/>
      <c r="M3" s="2207"/>
      <c r="N3" s="2216"/>
      <c r="O3" s="2207"/>
      <c r="P3" s="2207"/>
    </row>
    <row r="4" spans="1:16" ht="14.25">
      <c r="A4" s="3471"/>
      <c r="B4" s="3472"/>
      <c r="C4" s="3473"/>
      <c r="D4" s="20" t="s">
        <v>642</v>
      </c>
      <c r="E4" s="21" t="s">
        <v>643</v>
      </c>
      <c r="F4" s="2207"/>
      <c r="G4" s="1172" t="s">
        <v>1785</v>
      </c>
      <c r="H4" s="436" t="s">
        <v>647</v>
      </c>
      <c r="I4" s="342">
        <f>ROUND(SUMIF('数据-基础表'!I9:AS9,"地上",'数据-基础表'!I5:AS5)/'数据-基础表'!A3,2)</f>
        <v>1.02</v>
      </c>
      <c r="J4" s="2207"/>
      <c r="K4" s="2207"/>
      <c r="L4" s="2207"/>
      <c r="M4" s="2207"/>
      <c r="N4" s="2216"/>
      <c r="O4" s="2207"/>
      <c r="P4" s="2207"/>
    </row>
    <row r="5" spans="1:16" ht="14.25">
      <c r="A5" s="22" t="s">
        <v>648</v>
      </c>
      <c r="B5" s="3474" t="s">
        <v>649</v>
      </c>
      <c r="C5" s="3474"/>
      <c r="D5" s="335">
        <f>ROUND($D$3*E5/$E$3,2)</f>
        <v>8214.1</v>
      </c>
      <c r="E5" s="336">
        <f>SUMIF('数据-基础表'!$11:$11,"住宅",'数据-基础表'!$5:$5)</f>
        <v>33256.36</v>
      </c>
      <c r="F5" s="2207"/>
      <c r="G5" s="438"/>
      <c r="H5" s="436" t="s">
        <v>646</v>
      </c>
      <c r="I5" s="342">
        <f>ROUND(E31/D31,2)</f>
        <v>4.05</v>
      </c>
      <c r="J5" s="2207"/>
      <c r="K5" s="2207"/>
      <c r="L5" s="2207"/>
      <c r="M5" s="2207"/>
      <c r="N5" s="2207"/>
      <c r="O5" s="2207"/>
      <c r="P5" s="2207"/>
    </row>
    <row r="6" spans="1:16" ht="15" thickBot="1">
      <c r="A6" s="24"/>
      <c r="B6" s="3474" t="s">
        <v>650</v>
      </c>
      <c r="C6" s="3474"/>
      <c r="D6" s="335">
        <f>ROUND($D$3*E6/$E$3,2)</f>
        <v>2593.96</v>
      </c>
      <c r="E6" s="336">
        <f>E3-E5</f>
        <v>10502.160000000003</v>
      </c>
      <c r="F6" s="2207"/>
      <c r="G6" s="1743" t="s">
        <v>1786</v>
      </c>
      <c r="H6" s="438" t="s">
        <v>647</v>
      </c>
      <c r="I6" s="1744">
        <f>ROUND(F31/D31,2)</f>
        <v>3.09</v>
      </c>
      <c r="J6" s="2207"/>
      <c r="K6" s="2207"/>
      <c r="L6" s="2207"/>
      <c r="M6" s="2207"/>
      <c r="N6" s="2207"/>
      <c r="O6" s="2207"/>
      <c r="P6" s="2207"/>
    </row>
    <row r="7" spans="1:16" ht="14.25">
      <c r="A7" s="3466"/>
      <c r="B7" s="3467"/>
      <c r="C7" s="3468"/>
      <c r="D7" s="20" t="s">
        <v>642</v>
      </c>
      <c r="E7" s="25" t="s">
        <v>643</v>
      </c>
      <c r="F7" s="2207"/>
      <c r="G7" s="1170" t="s">
        <v>1865</v>
      </c>
      <c r="H7" s="38"/>
      <c r="I7" s="757">
        <f>ROUND(91937/'数据-基础表'!A3,2)</f>
        <v>2.8</v>
      </c>
      <c r="J7" s="2207"/>
      <c r="K7" s="2207"/>
      <c r="L7" s="2207"/>
      <c r="M7" s="2207"/>
      <c r="N7" s="2207"/>
      <c r="O7" s="2207"/>
      <c r="P7" s="2207"/>
    </row>
    <row r="8" spans="1:16" ht="14.25">
      <c r="A8" s="22" t="s">
        <v>651</v>
      </c>
      <c r="B8" s="26" t="s">
        <v>652</v>
      </c>
      <c r="C8" s="23" t="s">
        <v>653</v>
      </c>
      <c r="D8" s="335">
        <f t="shared" ref="D8:D15" si="0">ROUND($D$3*E8/$E$3,2)</f>
        <v>8214.1</v>
      </c>
      <c r="E8" s="338">
        <f>SUMIF('数据-基础表'!BB10:BK10,"地上",'数据-基础表'!BB5:BK5)</f>
        <v>33256.36</v>
      </c>
      <c r="F8" s="2207"/>
      <c r="G8" s="2208"/>
      <c r="H8" s="2208"/>
      <c r="I8" s="2207"/>
      <c r="J8" s="2207"/>
      <c r="K8" s="2207"/>
      <c r="L8" s="2207"/>
      <c r="M8" s="2207"/>
      <c r="N8" s="2207"/>
      <c r="O8" s="2207"/>
      <c r="P8" s="2207"/>
    </row>
    <row r="9" spans="1:16" ht="14.25">
      <c r="A9" s="27"/>
      <c r="B9" s="28"/>
      <c r="C9" s="23" t="s">
        <v>654</v>
      </c>
      <c r="D9" s="335">
        <f t="shared" si="0"/>
        <v>12.35</v>
      </c>
      <c r="E9" s="339">
        <f>'数据-基础表'!AH13</f>
        <v>50</v>
      </c>
      <c r="F9" s="2207"/>
      <c r="G9" s="2208"/>
      <c r="H9" s="2208"/>
      <c r="I9" s="2207"/>
      <c r="J9" s="2207"/>
      <c r="K9" s="2207"/>
      <c r="L9" s="2207"/>
      <c r="M9" s="2207"/>
      <c r="N9" s="2207"/>
      <c r="O9" s="2207"/>
      <c r="P9" s="2207"/>
    </row>
    <row r="10" spans="1:16" ht="14.25">
      <c r="A10" s="27"/>
      <c r="B10" s="28"/>
      <c r="C10" s="23" t="s">
        <v>655</v>
      </c>
      <c r="D10" s="335">
        <f t="shared" si="0"/>
        <v>0</v>
      </c>
      <c r="E10" s="338">
        <f>SUMPRODUCT(('数据-基础表'!BB10:BK10="地下")*('数据-基础表'!BB11:BK11="商业")*('数据-基础表'!BB5:BK5))</f>
        <v>0</v>
      </c>
      <c r="F10" s="2207"/>
      <c r="G10" s="2208"/>
      <c r="H10" s="2208"/>
      <c r="I10" s="2207"/>
      <c r="J10" s="2207"/>
      <c r="K10" s="2207"/>
      <c r="L10" s="2207"/>
      <c r="M10" s="2207"/>
      <c r="N10" s="2207"/>
      <c r="O10" s="2207"/>
      <c r="P10" s="2207"/>
    </row>
    <row r="11" spans="1:16" ht="14.25">
      <c r="A11" s="27"/>
      <c r="B11" s="28"/>
      <c r="C11" s="23" t="s">
        <v>2390</v>
      </c>
      <c r="D11" s="335">
        <f t="shared" si="0"/>
        <v>0</v>
      </c>
      <c r="E11" s="338">
        <f>SUMPRODUCT(('数据-基础表'!BB10:BK10="地下")*('数据-基础表'!BB11:BK11="办公")*('数据-基础表'!BB5:BK5))+'数据-基础表'!BP5</f>
        <v>0</v>
      </c>
      <c r="F11" s="2207"/>
      <c r="G11" s="2208"/>
      <c r="H11" s="2208"/>
      <c r="I11" s="2207"/>
      <c r="J11" s="2207"/>
      <c r="K11" s="2207"/>
      <c r="L11" s="2207"/>
      <c r="M11" s="2207"/>
      <c r="N11" s="2207"/>
      <c r="O11" s="2207"/>
      <c r="P11" s="2207"/>
    </row>
    <row r="12" spans="1:16" ht="14.25">
      <c r="A12" s="27"/>
      <c r="B12" s="28"/>
      <c r="C12" s="23" t="s">
        <v>656</v>
      </c>
      <c r="D12" s="335">
        <f t="shared" si="0"/>
        <v>0</v>
      </c>
      <c r="E12" s="338">
        <f>SUMPRODUCT(('数据-基础表'!BB10:BK10="地下")*('数据-基础表'!BB11:BK11="仓储")*('数据-基础表'!BB5:BK5))</f>
        <v>0</v>
      </c>
      <c r="F12" s="2207"/>
      <c r="G12" s="2208"/>
      <c r="H12" s="2208"/>
      <c r="I12" s="2207"/>
      <c r="J12" s="2207"/>
      <c r="K12" s="2207"/>
      <c r="L12" s="2207"/>
      <c r="M12" s="2207"/>
      <c r="N12" s="2207"/>
      <c r="O12" s="2207"/>
      <c r="P12" s="2207"/>
    </row>
    <row r="13" spans="1:16" ht="14.25">
      <c r="A13" s="27"/>
      <c r="B13" s="28"/>
      <c r="C13" s="23" t="s">
        <v>657</v>
      </c>
      <c r="D13" s="335">
        <f t="shared" si="0"/>
        <v>2547.0300000000002</v>
      </c>
      <c r="E13" s="338">
        <f>SUMPRODUCT(('数据-基础表'!BB10:BK10="地下")*('数据-基础表'!BB11:BK11="车库")*('数据-基础表'!BB5:BK5))</f>
        <v>10312.16</v>
      </c>
      <c r="F13" s="2207"/>
      <c r="G13" s="2208"/>
      <c r="H13" s="2208"/>
      <c r="I13" s="2207"/>
      <c r="J13" s="2207"/>
      <c r="K13" s="2207"/>
      <c r="L13" s="2207"/>
      <c r="M13" s="2207"/>
      <c r="N13" s="2207"/>
      <c r="O13" s="2207"/>
      <c r="P13" s="2207"/>
    </row>
    <row r="14" spans="1:16" ht="14.25">
      <c r="A14" s="27"/>
      <c r="B14" s="28"/>
      <c r="C14" s="23" t="s">
        <v>658</v>
      </c>
      <c r="D14" s="335">
        <f t="shared" si="0"/>
        <v>0</v>
      </c>
      <c r="E14" s="338">
        <f>SUMPRODUCT(('数据-基础表'!BB10:BK10="地下")*('数据-基础表'!BB11:BK11="车库—商业")*('数据-基础表'!BB5:BK5))</f>
        <v>0</v>
      </c>
      <c r="F14" s="2207"/>
      <c r="G14" s="2208"/>
      <c r="H14" s="2208"/>
      <c r="I14" s="2207"/>
      <c r="J14" s="2207"/>
      <c r="K14" s="2207"/>
      <c r="L14" s="2207"/>
      <c r="M14" s="2207"/>
      <c r="N14" s="2207"/>
      <c r="O14" s="2207"/>
      <c r="P14" s="2207"/>
    </row>
    <row r="15" spans="1:16" ht="15" thickBot="1">
      <c r="A15" s="27"/>
      <c r="B15" s="28"/>
      <c r="C15" s="23" t="s">
        <v>659</v>
      </c>
      <c r="D15" s="335">
        <f t="shared" si="0"/>
        <v>0</v>
      </c>
      <c r="E15" s="338">
        <f>SUMPRODUCT(('数据-基础表'!BB10:BK10="地下")*('数据-基础表'!BB11:BK11="车库—办公")*('数据-基础表'!BB5:BK5))</f>
        <v>0</v>
      </c>
      <c r="F15" s="2207"/>
      <c r="G15" s="2208"/>
      <c r="H15" s="2208"/>
      <c r="I15" s="2207"/>
      <c r="J15" s="2207"/>
      <c r="K15" s="2207"/>
      <c r="L15" s="2207"/>
      <c r="M15" s="2207"/>
      <c r="N15" s="2207"/>
      <c r="O15" s="2207"/>
      <c r="P15" s="2207"/>
    </row>
    <row r="16" spans="1:16" ht="15" thickBot="1">
      <c r="A16" s="24"/>
      <c r="B16" s="28"/>
      <c r="C16" s="26" t="s">
        <v>660</v>
      </c>
      <c r="D16" s="337">
        <f>SUM(D8:D15)</f>
        <v>10773.480000000001</v>
      </c>
      <c r="E16" s="340">
        <f>SUM(E8:E15)</f>
        <v>43618.520000000004</v>
      </c>
      <c r="F16" s="2207"/>
      <c r="G16" s="2208"/>
      <c r="H16" s="1169" t="s">
        <v>531</v>
      </c>
      <c r="I16" s="1173"/>
      <c r="J16" s="2207"/>
      <c r="K16" s="3463" t="s">
        <v>531</v>
      </c>
      <c r="L16" s="3464"/>
      <c r="M16" s="3464"/>
      <c r="N16" s="3464"/>
      <c r="O16" s="3464"/>
      <c r="P16" s="3465"/>
    </row>
    <row r="17" spans="1:19" ht="14.25">
      <c r="A17" s="29" t="s">
        <v>661</v>
      </c>
      <c r="B17" s="30" t="s">
        <v>662</v>
      </c>
      <c r="C17" s="34" t="s">
        <v>2381</v>
      </c>
      <c r="D17" s="2057" t="s">
        <v>642</v>
      </c>
      <c r="E17" s="2055" t="s">
        <v>643</v>
      </c>
      <c r="F17" s="36"/>
      <c r="G17" s="37"/>
      <c r="H17" s="1174" t="s">
        <v>663</v>
      </c>
      <c r="I17" s="1175" t="s">
        <v>204</v>
      </c>
      <c r="J17" s="2207"/>
      <c r="K17" s="3460" t="s">
        <v>669</v>
      </c>
      <c r="L17" s="3461"/>
      <c r="M17" s="3462"/>
      <c r="N17" s="3460" t="s">
        <v>2684</v>
      </c>
      <c r="O17" s="3461"/>
      <c r="P17" s="3462"/>
      <c r="R17" s="2467" t="s">
        <v>2382</v>
      </c>
      <c r="S17" s="352"/>
    </row>
    <row r="18" spans="1:19">
      <c r="A18" s="27"/>
      <c r="B18" s="31"/>
      <c r="C18" s="35"/>
      <c r="D18" s="2058"/>
      <c r="E18" s="2056" t="s">
        <v>664</v>
      </c>
      <c r="F18" s="15" t="s">
        <v>665</v>
      </c>
      <c r="G18" s="16" t="s">
        <v>666</v>
      </c>
      <c r="H18" s="1176" t="s">
        <v>667</v>
      </c>
      <c r="I18" s="1177" t="s">
        <v>668</v>
      </c>
      <c r="J18" s="2207"/>
      <c r="K18" s="1176" t="s">
        <v>2677</v>
      </c>
      <c r="L18" s="6" t="s">
        <v>2685</v>
      </c>
      <c r="M18" s="2785" t="s">
        <v>2683</v>
      </c>
      <c r="N18" s="1176" t="s">
        <v>2677</v>
      </c>
      <c r="O18" s="6" t="s">
        <v>2685</v>
      </c>
      <c r="P18" s="2785" t="s">
        <v>2683</v>
      </c>
      <c r="R18" s="2468" t="s">
        <v>2383</v>
      </c>
      <c r="S18" s="2468" t="s">
        <v>2384</v>
      </c>
    </row>
    <row r="19" spans="1:19" ht="14.25">
      <c r="A19" s="32"/>
      <c r="B19" s="26" t="s">
        <v>119</v>
      </c>
      <c r="C19" s="1410" t="s">
        <v>3137</v>
      </c>
      <c r="D19" s="335">
        <f>ROUND($D$3*E19/$E$3,2)</f>
        <v>3640.69</v>
      </c>
      <c r="E19" s="343">
        <f t="shared" ref="E19:E26" si="1">SUM(F19:G19)</f>
        <v>14740.03</v>
      </c>
      <c r="F19" s="344">
        <f>'数据-基础表'!I5</f>
        <v>14740.03</v>
      </c>
      <c r="G19" s="345"/>
      <c r="H19" s="1123">
        <f>ROUND($D$3*I19/$E$3,2)</f>
        <v>10.029999999999999</v>
      </c>
      <c r="I19" s="338">
        <f t="shared" ref="I19:I26" si="2">IF($I$17="自定义",P19,M19)</f>
        <v>40.6</v>
      </c>
      <c r="J19" s="2207"/>
      <c r="K19" s="2786">
        <f t="shared" ref="K19:K26" si="3">ROUND(E$28*E19/E$27,2)</f>
        <v>40.6</v>
      </c>
      <c r="L19" s="2469">
        <f t="shared" ref="L19:L26" si="4">ROUND(IF(COUNTIF(C19,"*住宅*")&gt;0,E$29*E19/E$32,0),2)</f>
        <v>0</v>
      </c>
      <c r="M19" s="2804">
        <f>K19+L19</f>
        <v>40.6</v>
      </c>
      <c r="N19" s="2802"/>
      <c r="O19" s="2784"/>
      <c r="P19" s="2787">
        <f>N19+O19</f>
        <v>0</v>
      </c>
      <c r="R19" s="2469">
        <f t="shared" ref="R19:S26" si="5">D19+H19</f>
        <v>3650.7200000000003</v>
      </c>
      <c r="S19" s="2470">
        <f t="shared" si="5"/>
        <v>14780.630000000001</v>
      </c>
    </row>
    <row r="20" spans="1:19" ht="14.25">
      <c r="A20" s="33"/>
      <c r="B20" s="26" t="s">
        <v>635</v>
      </c>
      <c r="C20" s="1410" t="s">
        <v>3139</v>
      </c>
      <c r="D20" s="335">
        <f t="shared" ref="D20:D26" si="6">ROUND($D$3*E20/$E$3,2)</f>
        <v>4573.41</v>
      </c>
      <c r="E20" s="343">
        <f t="shared" si="1"/>
        <v>18516.330000000002</v>
      </c>
      <c r="F20" s="344">
        <f>'数据-基础表'!K5</f>
        <v>18516.330000000002</v>
      </c>
      <c r="G20" s="345"/>
      <c r="H20" s="1123">
        <f t="shared" ref="H20:H26" si="7">ROUND($D$3*I20/$E$3,2)</f>
        <v>12.6</v>
      </c>
      <c r="I20" s="338">
        <f t="shared" si="2"/>
        <v>51</v>
      </c>
      <c r="J20" s="2207"/>
      <c r="K20" s="2786">
        <f t="shared" si="3"/>
        <v>51</v>
      </c>
      <c r="L20" s="2469">
        <f t="shared" si="4"/>
        <v>0</v>
      </c>
      <c r="M20" s="2804">
        <f t="shared" ref="M20:M26" si="8">K20+L20</f>
        <v>51</v>
      </c>
      <c r="N20" s="2802"/>
      <c r="O20" s="2784"/>
      <c r="P20" s="2787">
        <f t="shared" ref="P20:P26" si="9">N20+O20</f>
        <v>0</v>
      </c>
      <c r="R20" s="2469">
        <f t="shared" si="5"/>
        <v>4586.01</v>
      </c>
      <c r="S20" s="2470">
        <f t="shared" si="5"/>
        <v>18567.330000000002</v>
      </c>
    </row>
    <row r="21" spans="1:19" ht="14.25">
      <c r="A21" s="33"/>
      <c r="B21" s="26" t="s">
        <v>635</v>
      </c>
      <c r="C21" s="1410" t="s">
        <v>3070</v>
      </c>
      <c r="D21" s="335">
        <f t="shared" si="6"/>
        <v>2547.0300000000002</v>
      </c>
      <c r="E21" s="343">
        <f t="shared" si="1"/>
        <v>10312.16</v>
      </c>
      <c r="F21" s="344"/>
      <c r="G21" s="345">
        <f>'数据-基础表'!M5</f>
        <v>10312.16</v>
      </c>
      <c r="H21" s="1123">
        <f t="shared" si="7"/>
        <v>7.01</v>
      </c>
      <c r="I21" s="338">
        <f t="shared" si="2"/>
        <v>28.4</v>
      </c>
      <c r="J21" s="2207"/>
      <c r="K21" s="2786">
        <f t="shared" si="3"/>
        <v>28.4</v>
      </c>
      <c r="L21" s="2469">
        <f t="shared" si="4"/>
        <v>0</v>
      </c>
      <c r="M21" s="2804">
        <f t="shared" si="8"/>
        <v>28.4</v>
      </c>
      <c r="N21" s="2802"/>
      <c r="O21" s="2784"/>
      <c r="P21" s="2787">
        <f t="shared" si="9"/>
        <v>0</v>
      </c>
      <c r="R21" s="2469">
        <f t="shared" si="5"/>
        <v>2554.0400000000004</v>
      </c>
      <c r="S21" s="2470">
        <f t="shared" si="5"/>
        <v>10340.56</v>
      </c>
    </row>
    <row r="22" spans="1:19" ht="14.25">
      <c r="A22" s="33"/>
      <c r="B22" s="26" t="s">
        <v>635</v>
      </c>
      <c r="C22" s="347"/>
      <c r="D22" s="335">
        <f t="shared" si="6"/>
        <v>0</v>
      </c>
      <c r="E22" s="343">
        <f t="shared" si="1"/>
        <v>0</v>
      </c>
      <c r="F22" s="348"/>
      <c r="G22" s="349"/>
      <c r="H22" s="1123">
        <f t="shared" si="7"/>
        <v>0</v>
      </c>
      <c r="I22" s="338">
        <f t="shared" si="2"/>
        <v>0</v>
      </c>
      <c r="J22" s="2207"/>
      <c r="K22" s="2786">
        <f t="shared" si="3"/>
        <v>0</v>
      </c>
      <c r="L22" s="2469">
        <f t="shared" si="4"/>
        <v>0</v>
      </c>
      <c r="M22" s="2804">
        <f t="shared" si="8"/>
        <v>0</v>
      </c>
      <c r="N22" s="2802"/>
      <c r="O22" s="2784"/>
      <c r="P22" s="2787">
        <f t="shared" si="9"/>
        <v>0</v>
      </c>
      <c r="R22" s="2469">
        <f t="shared" si="5"/>
        <v>0</v>
      </c>
      <c r="S22" s="2470">
        <f t="shared" si="5"/>
        <v>0</v>
      </c>
    </row>
    <row r="23" spans="1:19" ht="14.25">
      <c r="A23" s="33"/>
      <c r="B23" s="26" t="s">
        <v>635</v>
      </c>
      <c r="C23" s="347"/>
      <c r="D23" s="335">
        <f>ROUND($D$3*E23/$E$3,2)</f>
        <v>0</v>
      </c>
      <c r="E23" s="343">
        <f>SUM(F23:G23)</f>
        <v>0</v>
      </c>
      <c r="F23" s="348"/>
      <c r="G23" s="349"/>
      <c r="H23" s="1123">
        <f>ROUND($D$3*I23/$E$3,2)</f>
        <v>0</v>
      </c>
      <c r="I23" s="338">
        <f t="shared" si="2"/>
        <v>0</v>
      </c>
      <c r="J23" s="2207"/>
      <c r="K23" s="2786">
        <f t="shared" si="3"/>
        <v>0</v>
      </c>
      <c r="L23" s="2469">
        <f t="shared" si="4"/>
        <v>0</v>
      </c>
      <c r="M23" s="2804">
        <f t="shared" si="8"/>
        <v>0</v>
      </c>
      <c r="N23" s="2802"/>
      <c r="O23" s="2784"/>
      <c r="P23" s="2787">
        <f t="shared" si="9"/>
        <v>0</v>
      </c>
      <c r="R23" s="2469">
        <f t="shared" si="5"/>
        <v>0</v>
      </c>
      <c r="S23" s="2470">
        <f t="shared" si="5"/>
        <v>0</v>
      </c>
    </row>
    <row r="24" spans="1:19" ht="14.25">
      <c r="A24" s="33"/>
      <c r="B24" s="26" t="s">
        <v>635</v>
      </c>
      <c r="C24" s="347"/>
      <c r="D24" s="335">
        <f>ROUND($D$3*E24/$E$3,2)</f>
        <v>0</v>
      </c>
      <c r="E24" s="343">
        <f>SUM(F24:G24)</f>
        <v>0</v>
      </c>
      <c r="F24" s="348"/>
      <c r="G24" s="349"/>
      <c r="H24" s="1123">
        <f>ROUND($D$3*I24/$E$3,2)</f>
        <v>0</v>
      </c>
      <c r="I24" s="338">
        <f t="shared" si="2"/>
        <v>0</v>
      </c>
      <c r="J24" s="2207"/>
      <c r="K24" s="2786">
        <f t="shared" si="3"/>
        <v>0</v>
      </c>
      <c r="L24" s="2469">
        <f t="shared" si="4"/>
        <v>0</v>
      </c>
      <c r="M24" s="2804">
        <f t="shared" si="8"/>
        <v>0</v>
      </c>
      <c r="N24" s="2802"/>
      <c r="O24" s="2784"/>
      <c r="P24" s="2787">
        <f t="shared" si="9"/>
        <v>0</v>
      </c>
      <c r="R24" s="2469">
        <f t="shared" si="5"/>
        <v>0</v>
      </c>
      <c r="S24" s="2470">
        <f t="shared" si="5"/>
        <v>0</v>
      </c>
    </row>
    <row r="25" spans="1:19" ht="14.25">
      <c r="A25" s="33"/>
      <c r="B25" s="26" t="s">
        <v>635</v>
      </c>
      <c r="C25" s="347"/>
      <c r="D25" s="335">
        <f t="shared" si="6"/>
        <v>0</v>
      </c>
      <c r="E25" s="343">
        <f t="shared" si="1"/>
        <v>0</v>
      </c>
      <c r="F25" s="348"/>
      <c r="G25" s="349"/>
      <c r="H25" s="334">
        <f t="shared" si="7"/>
        <v>0</v>
      </c>
      <c r="I25" s="338">
        <f t="shared" si="2"/>
        <v>0</v>
      </c>
      <c r="J25" s="2207"/>
      <c r="K25" s="2786">
        <f t="shared" si="3"/>
        <v>0</v>
      </c>
      <c r="L25" s="2469">
        <f t="shared" si="4"/>
        <v>0</v>
      </c>
      <c r="M25" s="2804">
        <f t="shared" si="8"/>
        <v>0</v>
      </c>
      <c r="N25" s="2802"/>
      <c r="O25" s="2784"/>
      <c r="P25" s="2787">
        <f t="shared" si="9"/>
        <v>0</v>
      </c>
      <c r="R25" s="2469">
        <f t="shared" si="5"/>
        <v>0</v>
      </c>
      <c r="S25" s="2470">
        <f t="shared" si="5"/>
        <v>0</v>
      </c>
    </row>
    <row r="26" spans="1:19" ht="14.25">
      <c r="A26" s="33"/>
      <c r="B26" s="26" t="s">
        <v>635</v>
      </c>
      <c r="C26" s="351"/>
      <c r="D26" s="335">
        <f t="shared" si="6"/>
        <v>0</v>
      </c>
      <c r="E26" s="343">
        <f t="shared" si="1"/>
        <v>0</v>
      </c>
      <c r="F26" s="348"/>
      <c r="G26" s="349"/>
      <c r="H26" s="334">
        <f t="shared" si="7"/>
        <v>0</v>
      </c>
      <c r="I26" s="338">
        <f t="shared" si="2"/>
        <v>0</v>
      </c>
      <c r="J26" s="2207"/>
      <c r="K26" s="2795">
        <f t="shared" si="3"/>
        <v>0</v>
      </c>
      <c r="L26" s="2796">
        <f t="shared" si="4"/>
        <v>0</v>
      </c>
      <c r="M26" s="355">
        <f t="shared" si="8"/>
        <v>0</v>
      </c>
      <c r="N26" s="2803"/>
      <c r="O26" s="2797"/>
      <c r="P26" s="2798">
        <f t="shared" si="9"/>
        <v>0</v>
      </c>
      <c r="R26" s="2469">
        <f t="shared" si="5"/>
        <v>0</v>
      </c>
      <c r="S26" s="2470">
        <f t="shared" si="5"/>
        <v>0</v>
      </c>
    </row>
    <row r="27" spans="1:19" ht="43.5" thickBot="1">
      <c r="A27" s="33"/>
      <c r="B27" s="23"/>
      <c r="C27" s="2760" t="s">
        <v>636</v>
      </c>
      <c r="D27" s="2789">
        <f>SUM(D19:D26)</f>
        <v>10761.130000000001</v>
      </c>
      <c r="E27" s="2790">
        <f>IF(SUM(E19:E26)='数据-基础表'!BA5,SUM(E19:E26),IF(F27="地上面积有误","面积有误","地下面积有误"))</f>
        <v>43568.520000000004</v>
      </c>
      <c r="F27" s="2789">
        <f>IF(SUM(F19:F26)=E8,SUM(F19:F26),"地上面积有误")</f>
        <v>33256.36</v>
      </c>
      <c r="G27" s="2791">
        <f>SUM(G19:G26)</f>
        <v>10312.16</v>
      </c>
      <c r="H27" s="2792">
        <f>SUM(H19:H26)</f>
        <v>29.64</v>
      </c>
      <c r="I27" s="2793">
        <f>SUM(I19:I26)</f>
        <v>120</v>
      </c>
      <c r="J27" s="2207"/>
      <c r="K27" s="2799">
        <f>SUM(K19:K26)</f>
        <v>120</v>
      </c>
      <c r="L27" s="2800">
        <f>SUM(L19:L26)</f>
        <v>0</v>
      </c>
      <c r="M27" s="2805">
        <f>SUM(M19:M26)</f>
        <v>120</v>
      </c>
      <c r="N27" s="2799">
        <f t="shared" ref="N27:O27" si="10">SUM(N19:N26)</f>
        <v>0</v>
      </c>
      <c r="O27" s="2800">
        <f t="shared" si="10"/>
        <v>0</v>
      </c>
      <c r="P27" s="2801">
        <f>SUM(P19:P26)</f>
        <v>0</v>
      </c>
      <c r="R27" s="2471" t="str">
        <f>IF(SUM(R19:R26)=$D$3,SUM(R19:R26),SUM(R19:R26)&amp;"误差"&amp;ROUND(SUM(R19:R26)-$D$3,2))</f>
        <v>10790.77误差-17.29</v>
      </c>
      <c r="S27" s="2469" t="str">
        <f>IF(SUM(S19:S26)=$E$3,SUM(S19:S26),SUM(S19:S26)&amp;"误差"&amp;ROUND(SUM(S19:S26)-E3,2))</f>
        <v>43688.52误差-70</v>
      </c>
    </row>
    <row r="28" spans="1:19" ht="14.25">
      <c r="A28" s="33"/>
      <c r="B28" s="26" t="s">
        <v>637</v>
      </c>
      <c r="C28" s="5" t="s">
        <v>638</v>
      </c>
      <c r="D28" s="335">
        <f>ROUND($D$3*E28/$E$3,2)</f>
        <v>29.64</v>
      </c>
      <c r="E28" s="343">
        <f>SUM(F28:G28)</f>
        <v>120</v>
      </c>
      <c r="F28" s="352">
        <f>'数据-基础表'!BQ5+'数据-基础表'!BS5</f>
        <v>120</v>
      </c>
      <c r="G28" s="353">
        <f>'数据-基础表'!BR5+'数据-基础表'!BT5</f>
        <v>0</v>
      </c>
      <c r="H28" s="2207"/>
      <c r="I28" s="2207"/>
      <c r="J28" s="2207"/>
      <c r="K28" s="2207"/>
      <c r="L28" s="2207"/>
      <c r="M28" s="2207"/>
      <c r="N28" s="2788"/>
      <c r="O28" s="2788"/>
      <c r="P28" s="2207"/>
    </row>
    <row r="29" spans="1:19" ht="14.25">
      <c r="A29" s="33"/>
      <c r="B29" s="26" t="s">
        <v>637</v>
      </c>
      <c r="C29" s="13" t="s">
        <v>2385</v>
      </c>
      <c r="D29" s="335">
        <f>ROUND($D$3*E29/$E$3,2)</f>
        <v>17.29</v>
      </c>
      <c r="E29" s="343">
        <f>SUM(F29:G29)</f>
        <v>70</v>
      </c>
      <c r="F29" s="354">
        <f>'数据-基础表'!BM5+'数据-基础表'!BO5</f>
        <v>70</v>
      </c>
      <c r="G29" s="355">
        <f>'数据-基础表'!BN5+'数据-基础表'!BP5</f>
        <v>0</v>
      </c>
      <c r="H29" s="2207"/>
      <c r="I29" s="2207"/>
      <c r="J29" s="2207"/>
      <c r="K29" s="2207"/>
      <c r="L29" s="2207"/>
      <c r="M29" s="2207"/>
      <c r="N29" s="2788"/>
      <c r="O29" s="2788"/>
      <c r="P29" s="2207"/>
    </row>
    <row r="30" spans="1:19" ht="15">
      <c r="A30" s="33"/>
      <c r="B30" s="26"/>
      <c r="C30" s="2794" t="s">
        <v>636</v>
      </c>
      <c r="D30" s="2789">
        <f>SUM(D28:D29)</f>
        <v>46.93</v>
      </c>
      <c r="E30" s="2789">
        <f>SUM(E28:E29)</f>
        <v>190</v>
      </c>
      <c r="F30" s="2789">
        <f>SUM(F28:F29)</f>
        <v>190</v>
      </c>
      <c r="G30" s="2791">
        <f>SUM(G28:G29)</f>
        <v>0</v>
      </c>
      <c r="H30" s="2207"/>
      <c r="I30" s="2207"/>
      <c r="J30" s="2207"/>
      <c r="K30" s="2207"/>
      <c r="L30" s="2207"/>
      <c r="M30" s="2207"/>
      <c r="N30" s="2788"/>
      <c r="O30" s="2788"/>
      <c r="P30" s="2207"/>
    </row>
    <row r="31" spans="1:19" ht="15.75" thickBot="1">
      <c r="A31" s="1178"/>
      <c r="B31" s="2508"/>
      <c r="C31" s="2509" t="s">
        <v>639</v>
      </c>
      <c r="D31" s="1179">
        <f>D27+D30</f>
        <v>10808.060000000001</v>
      </c>
      <c r="E31" s="1179">
        <f>E27+E30</f>
        <v>43758.520000000004</v>
      </c>
      <c r="F31" s="1180">
        <f>F27+F30</f>
        <v>33446.36</v>
      </c>
      <c r="G31" s="1181">
        <f>G27+G30</f>
        <v>10312.16</v>
      </c>
      <c r="H31" s="2207"/>
      <c r="I31" s="2207"/>
      <c r="J31" s="2207"/>
      <c r="K31" s="2207"/>
      <c r="L31" s="2207"/>
      <c r="M31" s="2207"/>
      <c r="N31" s="2207"/>
      <c r="O31" s="2207"/>
      <c r="P31" s="2207"/>
    </row>
    <row r="32" spans="1:19" ht="14.25">
      <c r="A32" s="1172"/>
      <c r="B32" s="1172" t="s">
        <v>2698</v>
      </c>
      <c r="C32" s="1172"/>
      <c r="D32" s="1172"/>
      <c r="E32" s="2507">
        <f>SUMIF(C19:C26,"*住宅*",E19:E26)</f>
        <v>0</v>
      </c>
      <c r="F32" s="1172"/>
      <c r="G32" s="1172"/>
      <c r="H32" s="2207"/>
      <c r="I32" s="2207"/>
      <c r="J32" s="2207"/>
      <c r="K32" s="2207"/>
      <c r="L32" s="2207"/>
      <c r="M32" s="2207"/>
      <c r="N32" s="2207"/>
      <c r="O32" s="2207"/>
      <c r="P32" s="2207"/>
    </row>
    <row r="33" spans="4:6">
      <c r="D33" s="2210"/>
    </row>
    <row r="36" spans="4:6">
      <c r="F36" s="3385">
        <f>ROUND((43758.52+79449.2-10539-12)/132937*32834.56,2)</f>
        <v>27825.46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4" sqref="L24"/>
    </sheetView>
  </sheetViews>
  <sheetFormatPr defaultColWidth="13.75" defaultRowHeight="12"/>
  <cols>
    <col min="1" max="1" width="20.875" style="1197" customWidth="1"/>
    <col min="2" max="2" width="12" style="1184" customWidth="1"/>
    <col min="3" max="3" width="13.625" style="1184" customWidth="1"/>
    <col min="4" max="4" width="9.125" style="1198" customWidth="1"/>
    <col min="5" max="5" width="15" style="1184" bestFit="1" customWidth="1"/>
    <col min="6" max="10" width="8.875" style="1184" customWidth="1"/>
    <col min="11" max="12" width="12.375" style="1162" customWidth="1"/>
    <col min="13" max="13" width="8.625" style="1184" customWidth="1"/>
    <col min="14" max="14" width="11.875" style="1184" customWidth="1"/>
    <col min="15" max="15" width="8.5" style="1184" customWidth="1"/>
    <col min="16" max="17" width="10.875" style="1184" customWidth="1"/>
    <col min="18" max="19" width="12.5" style="1184" customWidth="1"/>
    <col min="20" max="20" width="12.125" style="1184" customWidth="1"/>
    <col min="21" max="21" width="7.5" style="1184" customWidth="1"/>
    <col min="22" max="22" width="6.375" style="1184" customWidth="1"/>
    <col min="23" max="30" width="6.75" style="1184" customWidth="1"/>
    <col min="31" max="31" width="8" style="1184" customWidth="1"/>
    <col min="32" max="34" width="7.25" style="1184" customWidth="1"/>
    <col min="35" max="39" width="8" style="1184" customWidth="1"/>
    <col min="40" max="40" width="13.75" style="2220"/>
    <col min="41" max="41" width="11.625" style="2220" customWidth="1"/>
    <col min="42" max="42" width="9.75" style="2220" customWidth="1"/>
    <col min="43" max="67" width="13.75" style="2220"/>
    <col min="68" max="16384" width="13.75" style="1184"/>
  </cols>
  <sheetData>
    <row r="1" spans="1:67" ht="19.5" thickBot="1">
      <c r="A1" s="44" t="s">
        <v>670</v>
      </c>
      <c r="B1" s="1183"/>
      <c r="C1" s="2211"/>
      <c r="D1" s="2212"/>
      <c r="E1" s="2211"/>
      <c r="F1" s="2211"/>
      <c r="G1" s="2211"/>
      <c r="H1" s="2211"/>
      <c r="I1" s="2211"/>
      <c r="J1" s="2211"/>
      <c r="K1" s="2213"/>
      <c r="L1" s="2213"/>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row>
    <row r="2" spans="1:67" s="1186" customFormat="1" ht="15" thickBot="1">
      <c r="A2" s="45" t="s">
        <v>671</v>
      </c>
      <c r="B2" s="2498">
        <f>项目基本情况!D3</f>
        <v>43006</v>
      </c>
      <c r="C2" s="2214"/>
      <c r="D2" s="2215"/>
      <c r="E2" s="2214"/>
      <c r="F2" s="2214"/>
      <c r="G2" s="2214"/>
      <c r="H2" s="2214"/>
      <c r="I2" s="2214"/>
      <c r="J2" s="2214"/>
      <c r="K2" s="2216"/>
      <c r="L2" s="2216"/>
      <c r="M2" s="2214"/>
      <c r="N2" s="2214"/>
      <c r="O2" s="2214"/>
      <c r="P2" s="2214"/>
      <c r="Q2" s="2214"/>
      <c r="R2" s="2214"/>
      <c r="S2" s="2214"/>
      <c r="T2" s="2214"/>
      <c r="U2" s="2214"/>
      <c r="V2" s="2214"/>
      <c r="W2" s="2214"/>
      <c r="X2" s="2214"/>
      <c r="Y2" s="2214"/>
      <c r="Z2" s="2214"/>
      <c r="AA2" s="2214"/>
      <c r="AB2" s="2214"/>
      <c r="AC2" s="2214"/>
      <c r="AD2" s="2214"/>
      <c r="AE2" s="2214"/>
      <c r="AF2" s="2214"/>
      <c r="AG2" s="2214"/>
      <c r="AH2" s="2214"/>
      <c r="AI2" s="2214"/>
      <c r="AJ2" s="2214"/>
      <c r="AK2" s="2214"/>
      <c r="AL2" s="2214"/>
      <c r="AM2" s="2214"/>
      <c r="AN2" s="2221"/>
      <c r="AO2" s="2221"/>
      <c r="AP2" s="2221"/>
      <c r="AQ2" s="2221"/>
      <c r="AR2" s="2221"/>
      <c r="AS2" s="2221"/>
      <c r="AT2" s="2221"/>
      <c r="AU2" s="2221"/>
      <c r="AV2" s="2221"/>
      <c r="AW2" s="2221"/>
      <c r="AX2" s="2221"/>
      <c r="AY2" s="2221"/>
      <c r="AZ2" s="2221"/>
      <c r="BA2" s="2221"/>
      <c r="BB2" s="2221"/>
      <c r="BC2" s="2221"/>
      <c r="BD2" s="2221"/>
      <c r="BE2" s="2221"/>
      <c r="BF2" s="2221"/>
      <c r="BG2" s="2221"/>
      <c r="BH2" s="2221"/>
      <c r="BI2" s="2221"/>
      <c r="BJ2" s="2221"/>
      <c r="BK2" s="2221"/>
      <c r="BL2" s="2221"/>
      <c r="BM2" s="2221"/>
      <c r="BN2" s="2221"/>
      <c r="BO2" s="2221"/>
    </row>
    <row r="3" spans="1:67" s="1186" customFormat="1" ht="14.25" thickBot="1">
      <c r="A3" s="1187"/>
      <c r="B3" s="1185"/>
      <c r="C3" s="2214"/>
      <c r="D3" s="2215"/>
      <c r="E3" s="2214"/>
      <c r="F3" s="2214"/>
      <c r="G3" s="2214"/>
      <c r="H3" s="2214"/>
      <c r="I3" s="2214"/>
      <c r="J3" s="2214"/>
      <c r="K3" s="2216"/>
      <c r="L3" s="2216"/>
      <c r="M3" s="2214"/>
      <c r="N3" s="2214"/>
      <c r="O3" s="2214"/>
      <c r="P3" s="2214"/>
      <c r="Q3" s="2214"/>
      <c r="R3" s="2214"/>
      <c r="S3" s="2214"/>
      <c r="T3" s="2214"/>
      <c r="U3" s="2214"/>
      <c r="V3" s="2214"/>
      <c r="W3" s="2214"/>
      <c r="X3" s="2214"/>
      <c r="Y3" s="2214"/>
      <c r="Z3" s="2214"/>
      <c r="AA3" s="2214"/>
      <c r="AB3" s="2214"/>
      <c r="AC3" s="2214"/>
      <c r="AD3" s="2214"/>
      <c r="AE3" s="2214"/>
      <c r="AF3" s="2214"/>
      <c r="AG3" s="2214"/>
      <c r="AH3" s="2214"/>
      <c r="AI3" s="2214"/>
      <c r="AJ3" s="2214"/>
      <c r="AK3" s="2214"/>
      <c r="AL3" s="2214"/>
      <c r="AM3" s="2214"/>
      <c r="AN3" s="2221"/>
      <c r="AO3" s="2221"/>
      <c r="AP3" s="2221"/>
      <c r="AQ3" s="2221"/>
      <c r="AR3" s="2221"/>
      <c r="AS3" s="2221"/>
      <c r="AT3" s="2221"/>
      <c r="AU3" s="2221"/>
      <c r="AV3" s="2221"/>
      <c r="AW3" s="2221"/>
      <c r="AX3" s="2221"/>
      <c r="AY3" s="2221"/>
      <c r="AZ3" s="2221"/>
      <c r="BA3" s="2221"/>
      <c r="BB3" s="2221"/>
      <c r="BC3" s="2221"/>
      <c r="BD3" s="2221"/>
      <c r="BE3" s="2221"/>
      <c r="BF3" s="2221"/>
      <c r="BG3" s="2221"/>
      <c r="BH3" s="2221"/>
      <c r="BI3" s="2221"/>
      <c r="BJ3" s="2221"/>
      <c r="BK3" s="2221"/>
      <c r="BL3" s="2221"/>
      <c r="BM3" s="2221"/>
      <c r="BN3" s="2221"/>
      <c r="BO3" s="2221"/>
    </row>
    <row r="4" spans="1:67" s="1186" customFormat="1" ht="14.25" thickBot="1">
      <c r="A4" s="46" t="s">
        <v>672</v>
      </c>
      <c r="B4" s="273"/>
      <c r="C4" s="274"/>
      <c r="D4" s="1188"/>
      <c r="E4" s="274" t="s">
        <v>534</v>
      </c>
      <c r="F4" s="274"/>
      <c r="G4" s="274"/>
      <c r="H4" s="274"/>
      <c r="I4" s="274"/>
      <c r="J4" s="275"/>
      <c r="K4" s="1189"/>
      <c r="L4" s="1190"/>
      <c r="M4" s="274"/>
      <c r="N4" s="274" t="s">
        <v>535</v>
      </c>
      <c r="O4" s="274"/>
      <c r="P4" s="274"/>
      <c r="Q4" s="274"/>
      <c r="R4" s="274"/>
      <c r="S4" s="275"/>
      <c r="T4" s="1191" t="str">
        <f>'数据-汇总表'!I17</f>
        <v>按面积比例</v>
      </c>
      <c r="U4" s="273" t="s">
        <v>673</v>
      </c>
      <c r="V4" s="274"/>
      <c r="W4" s="274"/>
      <c r="X4" s="274"/>
      <c r="Y4" s="275"/>
      <c r="Z4" s="34" t="s">
        <v>674</v>
      </c>
      <c r="AA4" s="34"/>
      <c r="AB4" s="34"/>
      <c r="AC4" s="34"/>
      <c r="AD4" s="34"/>
      <c r="AE4" s="29" t="s">
        <v>675</v>
      </c>
      <c r="AF4" s="34"/>
      <c r="AG4" s="63"/>
      <c r="AH4" s="273"/>
      <c r="AI4" s="274"/>
      <c r="AJ4" s="274"/>
      <c r="AK4" s="274"/>
      <c r="AL4" s="274"/>
      <c r="AM4" s="275"/>
      <c r="AN4" s="2221"/>
      <c r="AO4" s="2221"/>
      <c r="AP4" s="2221"/>
      <c r="AQ4" s="2221"/>
      <c r="AR4" s="2221"/>
      <c r="AS4" s="2221"/>
      <c r="AT4" s="2221"/>
      <c r="AU4" s="2221"/>
      <c r="AV4" s="2221"/>
      <c r="AW4" s="2221"/>
      <c r="AX4" s="2221"/>
      <c r="AY4" s="2221"/>
      <c r="AZ4" s="2221"/>
      <c r="BA4" s="2221"/>
      <c r="BB4" s="2221"/>
      <c r="BC4" s="2221"/>
      <c r="BD4" s="2221"/>
      <c r="BE4" s="2221"/>
      <c r="BF4" s="2221"/>
      <c r="BG4" s="2221"/>
      <c r="BH4" s="2221"/>
      <c r="BI4" s="2221"/>
      <c r="BJ4" s="2221"/>
      <c r="BK4" s="2221"/>
      <c r="BL4" s="2221"/>
      <c r="BM4" s="2221"/>
      <c r="BN4" s="2221"/>
      <c r="BO4" s="2221"/>
    </row>
    <row r="5" spans="1:67" s="1193" customFormat="1" ht="54">
      <c r="A5" s="47" t="s">
        <v>2387</v>
      </c>
      <c r="B5" s="48" t="s">
        <v>676</v>
      </c>
      <c r="C5" s="49" t="s">
        <v>677</v>
      </c>
      <c r="D5" s="50" t="s">
        <v>678</v>
      </c>
      <c r="E5" s="51" t="s">
        <v>679</v>
      </c>
      <c r="F5" s="52" t="s">
        <v>680</v>
      </c>
      <c r="G5" s="51" t="s">
        <v>681</v>
      </c>
      <c r="H5" s="51" t="s">
        <v>682</v>
      </c>
      <c r="I5" s="51" t="s">
        <v>683</v>
      </c>
      <c r="J5" s="53" t="s">
        <v>684</v>
      </c>
      <c r="K5" s="54" t="s">
        <v>685</v>
      </c>
      <c r="L5" s="55" t="s">
        <v>686</v>
      </c>
      <c r="M5" s="56" t="s">
        <v>687</v>
      </c>
      <c r="N5" s="1192" t="s">
        <v>3071</v>
      </c>
      <c r="O5" s="55" t="s">
        <v>688</v>
      </c>
      <c r="P5" s="57" t="s">
        <v>689</v>
      </c>
      <c r="Q5" s="58" t="s">
        <v>690</v>
      </c>
      <c r="R5" s="271" t="s">
        <v>691</v>
      </c>
      <c r="S5" s="59" t="s">
        <v>2678</v>
      </c>
      <c r="T5" s="272" t="s">
        <v>692</v>
      </c>
      <c r="U5" s="2499" t="s">
        <v>2393</v>
      </c>
      <c r="V5" s="51" t="s">
        <v>693</v>
      </c>
      <c r="W5" s="2500" t="s">
        <v>2394</v>
      </c>
      <c r="X5" s="62"/>
      <c r="Y5" s="60" t="s">
        <v>694</v>
      </c>
      <c r="Z5" s="61" t="s">
        <v>695</v>
      </c>
      <c r="AA5" s="51" t="s">
        <v>693</v>
      </c>
      <c r="AB5" s="2500" t="s">
        <v>2394</v>
      </c>
      <c r="AC5" s="62"/>
      <c r="AD5" s="62" t="s">
        <v>694</v>
      </c>
      <c r="AE5" s="14" t="s">
        <v>536</v>
      </c>
      <c r="AF5" s="51" t="s">
        <v>696</v>
      </c>
      <c r="AG5" s="60" t="s">
        <v>697</v>
      </c>
      <c r="AH5" s="14" t="s">
        <v>2398</v>
      </c>
      <c r="AI5" s="61" t="s">
        <v>2315</v>
      </c>
      <c r="AJ5" s="61" t="s">
        <v>698</v>
      </c>
      <c r="AK5" s="2500" t="s">
        <v>2395</v>
      </c>
      <c r="AL5" s="2500" t="s">
        <v>2396</v>
      </c>
      <c r="AM5" s="358" t="s">
        <v>2397</v>
      </c>
      <c r="AN5" s="2557" t="s">
        <v>2437</v>
      </c>
      <c r="AO5" s="1996" t="s">
        <v>2669</v>
      </c>
      <c r="AP5" s="2873" t="s">
        <v>2679</v>
      </c>
      <c r="AQ5" s="2874" t="s">
        <v>2789</v>
      </c>
      <c r="AR5" s="2874" t="s">
        <v>2790</v>
      </c>
      <c r="AS5" s="2222"/>
      <c r="AT5" s="2222"/>
      <c r="AU5" s="2222"/>
      <c r="AV5" s="2222"/>
      <c r="AW5" s="2222"/>
      <c r="AX5" s="2222"/>
      <c r="AY5" s="2222"/>
      <c r="AZ5" s="2222"/>
      <c r="BA5" s="2222"/>
      <c r="BB5" s="2222"/>
      <c r="BC5" s="2222"/>
      <c r="BD5" s="2222"/>
      <c r="BE5" s="2222"/>
      <c r="BF5" s="2222"/>
      <c r="BG5" s="2222"/>
      <c r="BH5" s="2222"/>
      <c r="BI5" s="2222"/>
      <c r="BJ5" s="2222"/>
      <c r="BK5" s="2222"/>
      <c r="BL5" s="2222"/>
      <c r="BM5" s="2222"/>
      <c r="BN5" s="2222"/>
      <c r="BO5" s="2222"/>
    </row>
    <row r="6" spans="1:67" s="1186" customFormat="1" ht="14.25">
      <c r="A6" s="2497" t="str">
        <f>'数据-汇总表'!C19</f>
        <v>自住型商品房</v>
      </c>
      <c r="B6" s="2475" t="str">
        <f>IF(A6=0,"","经营性")</f>
        <v>经营性</v>
      </c>
      <c r="C6" s="39" t="s">
        <v>3140</v>
      </c>
      <c r="D6" s="2038">
        <f>SUMIF(项目基本情况!D$12:I$12,C6,项目基本情况!D$14:I$14)</f>
        <v>70</v>
      </c>
      <c r="E6" s="2032">
        <f>IF(B6="","",SUMIF(项目基本情况!D$12:I$12,C6,项目基本情况!D$13:I$13))</f>
        <v>68023</v>
      </c>
      <c r="F6" s="360">
        <f>SUMIF(项目基本情况!D$12:I$12,C6,项目基本情况!D$15:I$15)</f>
        <v>68.53</v>
      </c>
      <c r="G6" s="361">
        <f>IF(ISERROR(ROUND(POWER(1+H6,D6-F6)*(POWER(1+H6,F6)-1)/(POWER(1+H6,D6)-1),3)),0,ROUND(POWER(1+H6,D6-F6)*(POWER(1+H6,F6)-1)/(POWER(1+H6,D6)-1),3))</f>
        <v>0.996</v>
      </c>
      <c r="H6" s="3345">
        <v>0.04</v>
      </c>
      <c r="I6" s="3345">
        <v>4.4999999999999998E-2</v>
      </c>
      <c r="J6" s="362"/>
      <c r="K6" s="2478">
        <f>SUMIF('数据-汇总表'!C$19:C$33,A6,'数据-汇总表'!E$19:E$33)</f>
        <v>14740.03</v>
      </c>
      <c r="L6" s="1465">
        <v>3000</v>
      </c>
      <c r="M6" s="363">
        <f t="shared" ref="M6:M14" si="0">ROUND(K6*L6/10000,0)</f>
        <v>4422</v>
      </c>
      <c r="N6" s="1464">
        <v>0.48</v>
      </c>
      <c r="O6" s="363">
        <f>IF($N$5="成新度","——",ROUND(M6*N6,0))</f>
        <v>2123</v>
      </c>
      <c r="P6" s="364">
        <f>IF($N$5="成新度","——",M6-O6)</f>
        <v>2299</v>
      </c>
      <c r="Q6" s="1466">
        <v>0.08</v>
      </c>
      <c r="R6" s="365">
        <f ca="1">SUMIF('数据-汇总表'!C$19:C$33,A6,'数据-汇总表'!R$19:R$27)</f>
        <v>3650.7200000000003</v>
      </c>
      <c r="S6" s="341">
        <f>IF('数据-汇总表'!$I$17="按面积比例",SUMIF('数据-汇总表'!C$19:C$33,A6,'数据-汇总表'!K$19:K$33),SUMIF('数据-汇总表'!C$19:C$33,A6,'数据-汇总表'!N$19:N$33))</f>
        <v>40.6</v>
      </c>
      <c r="T6" s="2872">
        <f>ROUND($L$14*S6/10000,0)</f>
        <v>11</v>
      </c>
      <c r="U6" s="366"/>
      <c r="V6" s="367"/>
      <c r="W6" s="367"/>
      <c r="X6" s="370"/>
      <c r="Y6" s="368"/>
      <c r="Z6" s="369"/>
      <c r="AA6" s="362"/>
      <c r="AB6" s="362"/>
      <c r="AC6" s="2488"/>
      <c r="AD6" s="370"/>
      <c r="AE6" s="2489">
        <f ca="1">IF(AN6="",0,SUMIF(INDIRECT("'"&amp;AN6&amp;"'"&amp;"!E:E"),$AE$5,INDIRECT("'"&amp;AN6&amp;"'"&amp;"!F:F")))</f>
        <v>0</v>
      </c>
      <c r="AF6" s="350"/>
      <c r="AG6" s="474">
        <f>IF(AF6="",0,AE6-AF6)</f>
        <v>0</v>
      </c>
      <c r="AH6" s="371"/>
      <c r="AI6" s="373">
        <v>365</v>
      </c>
      <c r="AJ6" s="374"/>
      <c r="AK6" s="375"/>
      <c r="AL6" s="376"/>
      <c r="AM6" s="3346"/>
      <c r="AN6" s="2558"/>
      <c r="AO6" s="342"/>
      <c r="AP6" s="2875">
        <f>IF(C6="住宅",K6*L6,0)</f>
        <v>44220090</v>
      </c>
      <c r="AQ6" s="342">
        <f>ROUND($L$14*$N$14*S6/10000,0)</f>
        <v>6</v>
      </c>
      <c r="AR6" s="342">
        <f>ROUND($L$14*(1-$N$14)*S6/10000,0)</f>
        <v>6</v>
      </c>
      <c r="AS6" s="2221"/>
      <c r="AT6" s="2221"/>
      <c r="AU6" s="2221"/>
      <c r="AV6" s="2221"/>
      <c r="AW6" s="2221"/>
      <c r="AX6" s="2221"/>
      <c r="AY6" s="2221"/>
      <c r="AZ6" s="2221"/>
      <c r="BA6" s="2221"/>
      <c r="BB6" s="2221"/>
      <c r="BC6" s="2221"/>
      <c r="BD6" s="2221"/>
      <c r="BE6" s="2221"/>
      <c r="BF6" s="2221"/>
      <c r="BG6" s="2221"/>
      <c r="BH6" s="2221"/>
      <c r="BI6" s="2221"/>
      <c r="BJ6" s="2221"/>
      <c r="BK6" s="2221"/>
      <c r="BL6" s="2221"/>
      <c r="BM6" s="2221"/>
      <c r="BN6" s="2221"/>
      <c r="BO6" s="2221"/>
    </row>
    <row r="7" spans="1:67" s="1186" customFormat="1" ht="14.25">
      <c r="A7" s="2497" t="str">
        <f>'数据-汇总表'!C20</f>
        <v>普通商品住房</v>
      </c>
      <c r="B7" s="2475" t="str">
        <f t="shared" ref="B7:B13" si="1">IF(A7=0,"","经营性")</f>
        <v>经营性</v>
      </c>
      <c r="C7" s="39" t="s">
        <v>3141</v>
      </c>
      <c r="D7" s="2038">
        <f>SUMIF(项目基本情况!D$12:I$12,C7,项目基本情况!D$14:I$14)</f>
        <v>70</v>
      </c>
      <c r="E7" s="2032">
        <f>IF(B7="","",SUMIF(项目基本情况!D$12:I$12,C7,项目基本情况!D$13:I$13))</f>
        <v>68023</v>
      </c>
      <c r="F7" s="360">
        <f>SUMIF(项目基本情况!D$12:I$12,C7,项目基本情况!D$15:I$15)</f>
        <v>68.53</v>
      </c>
      <c r="G7" s="361">
        <f t="shared" ref="G7:G11" si="2">IF(ISERROR(ROUND(POWER(1+H7,D7-F7)*(POWER(1+H7,F7)-1)/(POWER(1+H7,D7)-1),3)),0,ROUND(POWER(1+H7,D7-F7)*(POWER(1+H7,F7)-1)/(POWER(1+H7,D7)-1),3))</f>
        <v>0.996</v>
      </c>
      <c r="H7" s="3345">
        <v>0.04</v>
      </c>
      <c r="I7" s="3345">
        <v>4.4999999999999998E-2</v>
      </c>
      <c r="J7" s="362"/>
      <c r="K7" s="2478">
        <f>SUMIF('数据-汇总表'!C$19:C$33,A7,'数据-汇总表'!E$19:E$33)</f>
        <v>18516.330000000002</v>
      </c>
      <c r="L7" s="1465">
        <v>4500</v>
      </c>
      <c r="M7" s="363">
        <f t="shared" si="0"/>
        <v>8332</v>
      </c>
      <c r="N7" s="1464">
        <v>0.5</v>
      </c>
      <c r="O7" s="363">
        <f t="shared" ref="O7:O14" si="3">IF($N$5="成新度","——",ROUND(M7*N7,0))</f>
        <v>4166</v>
      </c>
      <c r="P7" s="364">
        <f t="shared" ref="P7:P14" si="4">IF($N$5="成新度","——",M7-O7)</f>
        <v>4166</v>
      </c>
      <c r="Q7" s="1466">
        <v>0.15</v>
      </c>
      <c r="R7" s="365">
        <f ca="1">SUMIF('数据-汇总表'!C$19:C$33,A7,'数据-汇总表'!R$19:R$27)</f>
        <v>4586.01</v>
      </c>
      <c r="S7" s="341">
        <f>IF('数据-汇总表'!$I$17="按面积比例",SUMIF('数据-汇总表'!C$19:C$33,A7,'数据-汇总表'!K$19:K$33),SUMIF('数据-汇总表'!C$19:C$33,A7,'数据-汇总表'!N$19:N$33))</f>
        <v>51</v>
      </c>
      <c r="T7" s="2872">
        <f t="shared" ref="T7:T13" si="5">ROUND($L$14*S7/10000,0)</f>
        <v>14</v>
      </c>
      <c r="U7" s="366"/>
      <c r="V7" s="367"/>
      <c r="W7" s="367"/>
      <c r="X7" s="370"/>
      <c r="Y7" s="368"/>
      <c r="Z7" s="369"/>
      <c r="AA7" s="362"/>
      <c r="AB7" s="362"/>
      <c r="AC7" s="2488"/>
      <c r="AD7" s="370"/>
      <c r="AE7" s="2489">
        <f t="shared" ref="AE7:AE13" ca="1" si="6">IF(AN7="",0,SUMIF(INDIRECT("'"&amp;AN7&amp;"'"&amp;"!E:E"),$AE$5,INDIRECT("'"&amp;AN7&amp;"'"&amp;"!F:F")))</f>
        <v>0</v>
      </c>
      <c r="AF7" s="350"/>
      <c r="AG7" s="474">
        <f t="shared" ref="AG7:AG13" si="7">IF(AF7="",0,AE7-AF7)</f>
        <v>0</v>
      </c>
      <c r="AH7" s="371"/>
      <c r="AI7" s="373">
        <v>365</v>
      </c>
      <c r="AJ7" s="374"/>
      <c r="AK7" s="375"/>
      <c r="AL7" s="376"/>
      <c r="AM7" s="3346"/>
      <c r="AN7" s="2558"/>
      <c r="AO7" s="342"/>
      <c r="AP7" s="2875">
        <f t="shared" ref="AP7:AP13" si="8">IF(C7="住宅",K7*L7,0)</f>
        <v>83323485.000000015</v>
      </c>
      <c r="AQ7" s="342">
        <f t="shared" ref="AQ7:AQ13" si="9">ROUND($L$14*$N$14*S7/10000,0)</f>
        <v>7</v>
      </c>
      <c r="AR7" s="342">
        <f t="shared" ref="AR7:AR13" si="10">ROUND($L$14*(1-$N$14)*S7/10000,0)</f>
        <v>7</v>
      </c>
      <c r="AS7" s="2221"/>
      <c r="AT7" s="2221"/>
      <c r="AU7" s="2221"/>
      <c r="AV7" s="2221"/>
      <c r="AW7" s="2221"/>
      <c r="AX7" s="2221"/>
      <c r="AY7" s="2221"/>
      <c r="AZ7" s="2221"/>
      <c r="BA7" s="2221"/>
      <c r="BB7" s="2221"/>
      <c r="BC7" s="2221"/>
      <c r="BD7" s="2221"/>
      <c r="BE7" s="2221"/>
      <c r="BF7" s="2221"/>
      <c r="BG7" s="2221"/>
      <c r="BH7" s="2221"/>
      <c r="BI7" s="2221"/>
      <c r="BJ7" s="2221"/>
      <c r="BK7" s="2221"/>
      <c r="BL7" s="2221"/>
      <c r="BM7" s="2221"/>
      <c r="BN7" s="2221"/>
      <c r="BO7" s="2221"/>
    </row>
    <row r="8" spans="1:67" s="1186" customFormat="1" ht="14.25">
      <c r="A8" s="2497" t="str">
        <f>'数据-汇总表'!C21</f>
        <v>车库</v>
      </c>
      <c r="B8" s="2475" t="str">
        <f t="shared" si="1"/>
        <v>经营性</v>
      </c>
      <c r="C8" s="39" t="s">
        <v>3069</v>
      </c>
      <c r="D8" s="2038">
        <f>SUMIF(项目基本情况!D$12:I$12,C8,项目基本情况!D$14:I$14)</f>
        <v>50</v>
      </c>
      <c r="E8" s="2032">
        <f>IF(B8="","",SUMIF(项目基本情况!D$12:I$12,C8,项目基本情况!D$13:I$13))</f>
        <v>60718</v>
      </c>
      <c r="F8" s="360">
        <f>SUMIF(项目基本情况!D$12:I$12,C8,项目基本情况!D$15:I$15)</f>
        <v>48.52</v>
      </c>
      <c r="G8" s="361">
        <f t="shared" si="2"/>
        <v>0.99199999999999999</v>
      </c>
      <c r="H8" s="3345">
        <v>4.4999999999999998E-2</v>
      </c>
      <c r="I8" s="3345">
        <v>0.05</v>
      </c>
      <c r="J8" s="362"/>
      <c r="K8" s="2478">
        <f>SUMIF('数据-汇总表'!C$19:C$33,A8,'数据-汇总表'!E$19:E$33)</f>
        <v>10312.16</v>
      </c>
      <c r="L8" s="1465">
        <v>2800</v>
      </c>
      <c r="M8" s="363">
        <f>ROUND(K8*L8/10000,0)</f>
        <v>2887</v>
      </c>
      <c r="N8" s="1464">
        <v>0.5</v>
      </c>
      <c r="O8" s="363">
        <f t="shared" si="3"/>
        <v>1444</v>
      </c>
      <c r="P8" s="364">
        <f t="shared" si="4"/>
        <v>1443</v>
      </c>
      <c r="Q8" s="1466">
        <v>0.05</v>
      </c>
      <c r="R8" s="365">
        <f ca="1">SUMIF('数据-汇总表'!C$19:C$33,A8,'数据-汇总表'!R$19:R$27)</f>
        <v>2554.0400000000004</v>
      </c>
      <c r="S8" s="341">
        <f>IF('数据-汇总表'!$I$17="按面积比例",SUMIF('数据-汇总表'!C$19:C$33,A8,'数据-汇总表'!K$19:K$33),SUMIF('数据-汇总表'!C$19:C$33,A8,'数据-汇总表'!N$19:N$33))</f>
        <v>28.4</v>
      </c>
      <c r="T8" s="2872">
        <f t="shared" si="5"/>
        <v>8</v>
      </c>
      <c r="U8" s="366"/>
      <c r="V8" s="367"/>
      <c r="W8" s="367"/>
      <c r="X8" s="370"/>
      <c r="Y8" s="368"/>
      <c r="Z8" s="369"/>
      <c r="AA8" s="362"/>
      <c r="AB8" s="362"/>
      <c r="AC8" s="2488"/>
      <c r="AD8" s="370"/>
      <c r="AE8" s="2489">
        <f t="shared" ca="1" si="6"/>
        <v>0</v>
      </c>
      <c r="AF8" s="350"/>
      <c r="AG8" s="474">
        <f t="shared" si="7"/>
        <v>0</v>
      </c>
      <c r="AH8" s="1467">
        <v>308</v>
      </c>
      <c r="AI8" s="373"/>
      <c r="AJ8" s="374"/>
      <c r="AK8" s="375"/>
      <c r="AL8" s="376"/>
      <c r="AM8" s="3346"/>
      <c r="AN8" s="2558"/>
      <c r="AO8" s="342" t="e">
        <f t="shared" ref="AO8:AO13" ca="1" si="11">SUMIF(INDIRECT("'"&amp;AN8&amp;"'"&amp;"!A:A"),"总价",INDIRECT("'"&amp;AN8&amp;"'"&amp;"!B:B"))</f>
        <v>#REF!</v>
      </c>
      <c r="AP8" s="2875">
        <f t="shared" si="8"/>
        <v>0</v>
      </c>
      <c r="AQ8" s="342">
        <f t="shared" si="9"/>
        <v>4</v>
      </c>
      <c r="AR8" s="342">
        <f t="shared" si="10"/>
        <v>4</v>
      </c>
      <c r="AS8" s="2221"/>
      <c r="AT8" s="2221"/>
      <c r="AU8" s="2221"/>
      <c r="AV8" s="2221"/>
      <c r="AW8" s="2221"/>
      <c r="AX8" s="2221"/>
      <c r="AY8" s="2221"/>
      <c r="AZ8" s="2221"/>
      <c r="BA8" s="2221"/>
      <c r="BB8" s="2221"/>
      <c r="BC8" s="2221"/>
      <c r="BD8" s="2221"/>
      <c r="BE8" s="2221"/>
      <c r="BF8" s="2221"/>
      <c r="BG8" s="2221"/>
      <c r="BH8" s="2221"/>
      <c r="BI8" s="2221"/>
      <c r="BJ8" s="2221"/>
      <c r="BK8" s="2221"/>
      <c r="BL8" s="2221"/>
      <c r="BM8" s="2221"/>
      <c r="BN8" s="2221"/>
      <c r="BO8" s="2221"/>
    </row>
    <row r="9" spans="1:67" s="1186" customFormat="1" ht="14.25">
      <c r="A9" s="2497">
        <f>'数据-汇总表'!C22</f>
        <v>0</v>
      </c>
      <c r="B9" s="2475" t="str">
        <f t="shared" si="1"/>
        <v/>
      </c>
      <c r="C9" s="39"/>
      <c r="D9" s="2038">
        <f>SUMIF(项目基本情况!D$12:I$12,C9,项目基本情况!D$14:I$14)</f>
        <v>0</v>
      </c>
      <c r="E9" s="2032" t="str">
        <f>IF(B9="","",SUMIF(项目基本情况!D$12:I$12,C9,项目基本情况!D$13:I$13))</f>
        <v/>
      </c>
      <c r="F9" s="360">
        <f>SUMIF(项目基本情况!D$12:I$12,C9,项目基本情况!D$15:I$15)</f>
        <v>0</v>
      </c>
      <c r="G9" s="361">
        <f t="shared" si="2"/>
        <v>0</v>
      </c>
      <c r="H9" s="362"/>
      <c r="I9" s="362"/>
      <c r="J9" s="362"/>
      <c r="K9" s="2478">
        <f>SUMIF('数据-汇总表'!C$19:C$33,A9,'数据-汇总表'!E$19:E$33)</f>
        <v>0</v>
      </c>
      <c r="L9" s="1465"/>
      <c r="M9" s="363">
        <f t="shared" si="0"/>
        <v>0</v>
      </c>
      <c r="N9" s="1464"/>
      <c r="O9" s="363">
        <f t="shared" si="3"/>
        <v>0</v>
      </c>
      <c r="P9" s="364">
        <f t="shared" si="4"/>
        <v>0</v>
      </c>
      <c r="Q9" s="378"/>
      <c r="R9" s="365">
        <f ca="1">SUMIF('数据-汇总表'!C$19:C$33,A9,'数据-汇总表'!R$19:R$27)</f>
        <v>0</v>
      </c>
      <c r="S9" s="341">
        <f>IF('数据-汇总表'!$I$17="按面积比例",SUMIF('数据-汇总表'!C$19:C$33,A9,'数据-汇总表'!K$19:K$33),SUMIF('数据-汇总表'!C$19:C$33,A9,'数据-汇总表'!N$19:N$33))</f>
        <v>0</v>
      </c>
      <c r="T9" s="2872">
        <f t="shared" si="5"/>
        <v>0</v>
      </c>
      <c r="U9" s="366"/>
      <c r="V9" s="367"/>
      <c r="W9" s="367"/>
      <c r="X9" s="2488"/>
      <c r="Y9" s="368"/>
      <c r="Z9" s="369"/>
      <c r="AA9" s="362"/>
      <c r="AB9" s="362"/>
      <c r="AC9" s="2488"/>
      <c r="AD9" s="370"/>
      <c r="AE9" s="2489">
        <f t="shared" ca="1" si="6"/>
        <v>0</v>
      </c>
      <c r="AF9" s="350"/>
      <c r="AG9" s="474">
        <f t="shared" si="7"/>
        <v>0</v>
      </c>
      <c r="AH9" s="371"/>
      <c r="AI9" s="373"/>
      <c r="AJ9" s="374"/>
      <c r="AK9" s="375"/>
      <c r="AL9" s="376"/>
      <c r="AM9" s="377"/>
      <c r="AN9" s="2558"/>
      <c r="AO9" s="342" t="e">
        <f t="shared" ca="1" si="11"/>
        <v>#REF!</v>
      </c>
      <c r="AP9" s="2875">
        <f t="shared" si="8"/>
        <v>0</v>
      </c>
      <c r="AQ9" s="342">
        <f t="shared" si="9"/>
        <v>0</v>
      </c>
      <c r="AR9" s="342">
        <f t="shared" si="10"/>
        <v>0</v>
      </c>
      <c r="AS9" s="2221"/>
      <c r="AT9" s="2221"/>
      <c r="AU9" s="2221"/>
      <c r="AV9" s="2221"/>
      <c r="AW9" s="2221"/>
      <c r="AX9" s="2221"/>
      <c r="AY9" s="2221"/>
      <c r="AZ9" s="2221"/>
      <c r="BA9" s="2221"/>
      <c r="BB9" s="2221"/>
      <c r="BC9" s="2221"/>
      <c r="BD9" s="2221"/>
      <c r="BE9" s="2221"/>
      <c r="BF9" s="2221"/>
      <c r="BG9" s="2221"/>
      <c r="BH9" s="2221"/>
      <c r="BI9" s="2221"/>
      <c r="BJ9" s="2221"/>
      <c r="BK9" s="2221"/>
      <c r="BL9" s="2221"/>
      <c r="BM9" s="2221"/>
      <c r="BN9" s="2221"/>
      <c r="BO9" s="2221"/>
    </row>
    <row r="10" spans="1:67" s="1186" customFormat="1" ht="14.25">
      <c r="A10" s="2497">
        <f>'数据-汇总表'!C23</f>
        <v>0</v>
      </c>
      <c r="B10" s="2475" t="str">
        <f t="shared" si="1"/>
        <v/>
      </c>
      <c r="C10" s="39"/>
      <c r="D10" s="2038">
        <f>SUMIF(项目基本情况!D$12:I$12,C10,项目基本情况!D$14:I$14)</f>
        <v>0</v>
      </c>
      <c r="E10" s="2032" t="str">
        <f>IF(B10="","",SUMIF(项目基本情况!D$12:I$12,C10,项目基本情况!D$13:I$13))</f>
        <v/>
      </c>
      <c r="F10" s="360">
        <f>SUMIF(项目基本情况!D$12:I$12,C10,项目基本情况!D$15:I$15)</f>
        <v>0</v>
      </c>
      <c r="G10" s="361">
        <f t="shared" si="2"/>
        <v>0</v>
      </c>
      <c r="H10" s="362"/>
      <c r="I10" s="362"/>
      <c r="J10" s="362"/>
      <c r="K10" s="2478">
        <f>SUMIF('数据-汇总表'!C$19:C$33,A10,'数据-汇总表'!E$19:E$33)</f>
        <v>0</v>
      </c>
      <c r="L10" s="1465"/>
      <c r="M10" s="363">
        <f t="shared" si="0"/>
        <v>0</v>
      </c>
      <c r="N10" s="1464"/>
      <c r="O10" s="363">
        <f t="shared" si="3"/>
        <v>0</v>
      </c>
      <c r="P10" s="364">
        <f t="shared" si="4"/>
        <v>0</v>
      </c>
      <c r="Q10" s="378"/>
      <c r="R10" s="365">
        <f ca="1">SUMIF('数据-汇总表'!C$19:C$33,A10,'数据-汇总表'!R$19:R$27)</f>
        <v>0</v>
      </c>
      <c r="S10" s="341">
        <f>IF('数据-汇总表'!$I$17="按面积比例",SUMIF('数据-汇总表'!C$19:C$33,A10,'数据-汇总表'!K$19:K$33),SUMIF('数据-汇总表'!C$19:C$33,A10,'数据-汇总表'!N$19:N$33))</f>
        <v>0</v>
      </c>
      <c r="T10" s="2872">
        <f t="shared" si="5"/>
        <v>0</v>
      </c>
      <c r="U10" s="366"/>
      <c r="V10" s="367"/>
      <c r="W10" s="367"/>
      <c r="X10" s="2488"/>
      <c r="Y10" s="368"/>
      <c r="Z10" s="369"/>
      <c r="AA10" s="362"/>
      <c r="AB10" s="362"/>
      <c r="AC10" s="2488"/>
      <c r="AD10" s="370"/>
      <c r="AE10" s="2489">
        <f t="shared" ca="1" si="6"/>
        <v>0</v>
      </c>
      <c r="AF10" s="350"/>
      <c r="AG10" s="474">
        <f t="shared" si="7"/>
        <v>0</v>
      </c>
      <c r="AH10" s="371"/>
      <c r="AI10" s="373"/>
      <c r="AJ10" s="374"/>
      <c r="AK10" s="375"/>
      <c r="AL10" s="376"/>
      <c r="AM10" s="377"/>
      <c r="AN10" s="2558"/>
      <c r="AO10" s="342" t="e">
        <f t="shared" ca="1" si="11"/>
        <v>#REF!</v>
      </c>
      <c r="AP10" s="2875">
        <f t="shared" si="8"/>
        <v>0</v>
      </c>
      <c r="AQ10" s="342">
        <f t="shared" si="9"/>
        <v>0</v>
      </c>
      <c r="AR10" s="342">
        <f t="shared" si="10"/>
        <v>0</v>
      </c>
      <c r="AS10" s="2221"/>
      <c r="AT10" s="2221"/>
      <c r="AU10" s="2221"/>
      <c r="AV10" s="2221"/>
      <c r="AW10" s="2221"/>
      <c r="AX10" s="2221"/>
      <c r="AY10" s="2221"/>
      <c r="AZ10" s="2221"/>
      <c r="BA10" s="2221"/>
      <c r="BB10" s="2221"/>
      <c r="BC10" s="2221"/>
      <c r="BD10" s="2221"/>
      <c r="BE10" s="2221"/>
      <c r="BF10" s="2221"/>
      <c r="BG10" s="2221"/>
      <c r="BH10" s="2221"/>
      <c r="BI10" s="2221"/>
      <c r="BJ10" s="2221"/>
      <c r="BK10" s="2221"/>
      <c r="BL10" s="2221"/>
      <c r="BM10" s="2221"/>
      <c r="BN10" s="2221"/>
      <c r="BO10" s="2221"/>
    </row>
    <row r="11" spans="1:67" s="1186" customFormat="1" ht="14.25">
      <c r="A11" s="2497">
        <f>'数据-汇总表'!C24</f>
        <v>0</v>
      </c>
      <c r="B11" s="2475" t="str">
        <f t="shared" si="1"/>
        <v/>
      </c>
      <c r="C11" s="39"/>
      <c r="D11" s="2038">
        <f>SUMIF(项目基本情况!D$12:I$12,C11,项目基本情况!D$14:I$14)</f>
        <v>0</v>
      </c>
      <c r="E11" s="2032" t="str">
        <f>IF(B11="","",SUMIF(项目基本情况!D$12:I$12,C11,项目基本情况!D$13:I$13))</f>
        <v/>
      </c>
      <c r="F11" s="360">
        <f>SUMIF(项目基本情况!D$12:I$12,C11,项目基本情况!D$15:I$15)</f>
        <v>0</v>
      </c>
      <c r="G11" s="361">
        <f t="shared" si="2"/>
        <v>0</v>
      </c>
      <c r="H11" s="362"/>
      <c r="I11" s="362"/>
      <c r="J11" s="362"/>
      <c r="K11" s="2478">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72">
        <f t="shared" si="5"/>
        <v>0</v>
      </c>
      <c r="U11" s="371"/>
      <c r="V11" s="362"/>
      <c r="W11" s="362"/>
      <c r="X11" s="2488"/>
      <c r="Y11" s="368"/>
      <c r="Z11" s="381"/>
      <c r="AA11" s="362"/>
      <c r="AB11" s="362"/>
      <c r="AC11" s="2488"/>
      <c r="AD11" s="370"/>
      <c r="AE11" s="2489">
        <f t="shared" ca="1" si="6"/>
        <v>0</v>
      </c>
      <c r="AF11" s="350"/>
      <c r="AG11" s="474">
        <f t="shared" si="7"/>
        <v>0</v>
      </c>
      <c r="AH11" s="371"/>
      <c r="AI11" s="373"/>
      <c r="AJ11" s="374"/>
      <c r="AK11" s="382"/>
      <c r="AL11" s="383"/>
      <c r="AM11" s="384"/>
      <c r="AN11" s="2558"/>
      <c r="AO11" s="342" t="e">
        <f t="shared" ca="1" si="11"/>
        <v>#REF!</v>
      </c>
      <c r="AP11" s="2875">
        <f t="shared" si="8"/>
        <v>0</v>
      </c>
      <c r="AQ11" s="342">
        <f t="shared" si="9"/>
        <v>0</v>
      </c>
      <c r="AR11" s="342">
        <f t="shared" si="10"/>
        <v>0</v>
      </c>
      <c r="AS11" s="2221"/>
      <c r="AT11" s="2221"/>
      <c r="AU11" s="2221"/>
      <c r="AV11" s="2221"/>
      <c r="AW11" s="2221"/>
      <c r="AX11" s="2221"/>
      <c r="AY11" s="2221"/>
      <c r="AZ11" s="2221"/>
      <c r="BA11" s="2221"/>
      <c r="BB11" s="2221"/>
      <c r="BC11" s="2221"/>
      <c r="BD11" s="2221"/>
      <c r="BE11" s="2221"/>
      <c r="BF11" s="2221"/>
      <c r="BG11" s="2221"/>
      <c r="BH11" s="2221"/>
      <c r="BI11" s="2221"/>
      <c r="BJ11" s="2221"/>
      <c r="BK11" s="2221"/>
      <c r="BL11" s="2221"/>
      <c r="BM11" s="2221"/>
      <c r="BN11" s="2221"/>
      <c r="BO11" s="2221"/>
    </row>
    <row r="12" spans="1:67" s="1186" customFormat="1" ht="14.25">
      <c r="A12" s="2497">
        <f>'数据-汇总表'!C25</f>
        <v>0</v>
      </c>
      <c r="B12" s="2475" t="str">
        <f t="shared" si="1"/>
        <v/>
      </c>
      <c r="C12" s="39"/>
      <c r="D12" s="2038">
        <f>SUMIF(项目基本情况!D$12:I$12,C12,项目基本情况!D$14:I$14)</f>
        <v>0</v>
      </c>
      <c r="E12" s="2032"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78">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72">
        <f t="shared" si="5"/>
        <v>0</v>
      </c>
      <c r="U12" s="371"/>
      <c r="V12" s="362"/>
      <c r="W12" s="362"/>
      <c r="X12" s="2488"/>
      <c r="Y12" s="368"/>
      <c r="Z12" s="381"/>
      <c r="AA12" s="362"/>
      <c r="AB12" s="362"/>
      <c r="AC12" s="2488"/>
      <c r="AD12" s="370"/>
      <c r="AE12" s="2489">
        <f t="shared" ca="1" si="6"/>
        <v>0</v>
      </c>
      <c r="AF12" s="350"/>
      <c r="AG12" s="474">
        <f t="shared" si="7"/>
        <v>0</v>
      </c>
      <c r="AH12" s="371"/>
      <c r="AI12" s="373"/>
      <c r="AJ12" s="374"/>
      <c r="AK12" s="382"/>
      <c r="AL12" s="383"/>
      <c r="AM12" s="384"/>
      <c r="AN12" s="2558"/>
      <c r="AO12" s="342" t="e">
        <f t="shared" ca="1" si="11"/>
        <v>#REF!</v>
      </c>
      <c r="AP12" s="2875">
        <f t="shared" si="8"/>
        <v>0</v>
      </c>
      <c r="AQ12" s="342">
        <f t="shared" si="9"/>
        <v>0</v>
      </c>
      <c r="AR12" s="342">
        <f t="shared" si="10"/>
        <v>0</v>
      </c>
      <c r="AS12" s="2221"/>
      <c r="AT12" s="2221"/>
      <c r="AU12" s="2221"/>
      <c r="AV12" s="2221"/>
      <c r="AW12" s="2221"/>
      <c r="AX12" s="2221"/>
      <c r="AY12" s="2221"/>
      <c r="AZ12" s="2221"/>
      <c r="BA12" s="2221"/>
      <c r="BB12" s="2221"/>
      <c r="BC12" s="2221"/>
      <c r="BD12" s="2221"/>
      <c r="BE12" s="2221"/>
      <c r="BF12" s="2221"/>
      <c r="BG12" s="2221"/>
      <c r="BH12" s="2221"/>
      <c r="BI12" s="2221"/>
      <c r="BJ12" s="2221"/>
      <c r="BK12" s="2221"/>
      <c r="BL12" s="2221"/>
      <c r="BM12" s="2221"/>
      <c r="BN12" s="2221"/>
      <c r="BO12" s="2221"/>
    </row>
    <row r="13" spans="1:67" s="1186" customFormat="1" ht="14.25">
      <c r="A13" s="2497">
        <f>'数据-汇总表'!C26</f>
        <v>0</v>
      </c>
      <c r="B13" s="2475" t="str">
        <f t="shared" si="1"/>
        <v/>
      </c>
      <c r="C13" s="39"/>
      <c r="D13" s="2038">
        <f>SUMIF(项目基本情况!D$12:I$12,C13,项目基本情况!D$14:I$14)</f>
        <v>0</v>
      </c>
      <c r="E13" s="2032"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78">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72">
        <f t="shared" si="5"/>
        <v>0</v>
      </c>
      <c r="U13" s="366"/>
      <c r="V13" s="367"/>
      <c r="W13" s="367"/>
      <c r="X13" s="2488"/>
      <c r="Y13" s="368"/>
      <c r="Z13" s="369"/>
      <c r="AA13" s="362"/>
      <c r="AB13" s="362"/>
      <c r="AC13" s="2488"/>
      <c r="AD13" s="370"/>
      <c r="AE13" s="2489">
        <f t="shared" ca="1" si="6"/>
        <v>0</v>
      </c>
      <c r="AF13" s="350"/>
      <c r="AG13" s="474">
        <f t="shared" si="7"/>
        <v>0</v>
      </c>
      <c r="AH13" s="371"/>
      <c r="AI13" s="373"/>
      <c r="AJ13" s="374"/>
      <c r="AK13" s="375"/>
      <c r="AL13" s="376"/>
      <c r="AM13" s="377"/>
      <c r="AN13" s="2558"/>
      <c r="AO13" s="342" t="e">
        <f t="shared" ca="1" si="11"/>
        <v>#REF!</v>
      </c>
      <c r="AP13" s="2875">
        <f t="shared" si="8"/>
        <v>0</v>
      </c>
      <c r="AQ13" s="342">
        <f t="shared" si="9"/>
        <v>0</v>
      </c>
      <c r="AR13" s="342">
        <f t="shared" si="10"/>
        <v>0</v>
      </c>
      <c r="AS13" s="2221"/>
      <c r="AT13" s="2221"/>
      <c r="AU13" s="2221"/>
      <c r="AV13" s="2221"/>
      <c r="AW13" s="2221"/>
      <c r="AX13" s="2221"/>
      <c r="AY13" s="2221"/>
      <c r="AZ13" s="2221"/>
      <c r="BA13" s="2221"/>
      <c r="BB13" s="2221"/>
      <c r="BC13" s="2221"/>
      <c r="BD13" s="2221"/>
      <c r="BE13" s="2221"/>
      <c r="BF13" s="2221"/>
      <c r="BG13" s="2221"/>
      <c r="BH13" s="2221"/>
      <c r="BI13" s="2221"/>
      <c r="BJ13" s="2221"/>
      <c r="BK13" s="2221"/>
      <c r="BL13" s="2221"/>
      <c r="BM13" s="2221"/>
      <c r="BN13" s="2221"/>
      <c r="BO13" s="2221"/>
    </row>
    <row r="14" spans="1:67" s="1186" customFormat="1" ht="14.25">
      <c r="A14" s="2472" t="s">
        <v>533</v>
      </c>
      <c r="B14" s="2475" t="s">
        <v>532</v>
      </c>
      <c r="C14" s="2476" t="s">
        <v>533</v>
      </c>
      <c r="D14" s="2038"/>
      <c r="E14" s="2032"/>
      <c r="F14" s="360"/>
      <c r="G14" s="361"/>
      <c r="H14" s="2477"/>
      <c r="I14" s="2477"/>
      <c r="J14" s="2477"/>
      <c r="K14" s="2478">
        <f>SUMIF('数据-汇总表'!C$19:C$33,A14,'数据-汇总表'!E$19:E$33)</f>
        <v>120</v>
      </c>
      <c r="L14" s="379">
        <v>2800</v>
      </c>
      <c r="M14" s="363">
        <f t="shared" si="0"/>
        <v>34</v>
      </c>
      <c r="N14" s="380">
        <v>0.5</v>
      </c>
      <c r="O14" s="363">
        <f t="shared" si="3"/>
        <v>17</v>
      </c>
      <c r="P14" s="364">
        <f t="shared" si="4"/>
        <v>17</v>
      </c>
      <c r="Q14" s="2481"/>
      <c r="R14" s="365"/>
      <c r="S14" s="341"/>
      <c r="T14" s="2872"/>
      <c r="U14" s="1123"/>
      <c r="V14" s="2483"/>
      <c r="W14" s="2483"/>
      <c r="X14" s="2484"/>
      <c r="Y14" s="2485"/>
      <c r="Z14" s="2486"/>
      <c r="AA14" s="2487"/>
      <c r="AB14" s="2487"/>
      <c r="AC14" s="2488"/>
      <c r="AD14" s="2484"/>
      <c r="AE14" s="2489"/>
      <c r="AF14" s="342"/>
      <c r="AG14" s="474"/>
      <c r="AH14" s="2489"/>
      <c r="AI14" s="2493"/>
      <c r="AJ14" s="1312"/>
      <c r="AK14" s="2490"/>
      <c r="AL14" s="2491"/>
      <c r="AM14" s="2492"/>
      <c r="AN14" s="2220"/>
      <c r="AO14" s="2221"/>
      <c r="AP14" s="2221"/>
      <c r="AQ14" s="2221"/>
      <c r="AR14" s="2221"/>
      <c r="AS14" s="2221"/>
      <c r="AT14" s="2221"/>
      <c r="AU14" s="2221"/>
      <c r="AV14" s="2221"/>
      <c r="AW14" s="2221"/>
      <c r="AX14" s="2221"/>
      <c r="AY14" s="2221"/>
      <c r="AZ14" s="2221"/>
      <c r="BA14" s="2221"/>
      <c r="BB14" s="2221"/>
      <c r="BC14" s="2221"/>
      <c r="BD14" s="2221"/>
      <c r="BE14" s="2221"/>
      <c r="BF14" s="2221"/>
      <c r="BG14" s="2221"/>
      <c r="BH14" s="2221"/>
      <c r="BI14" s="2221"/>
      <c r="BJ14" s="2221"/>
      <c r="BK14" s="2221"/>
      <c r="BL14" s="2221"/>
      <c r="BM14" s="2221"/>
      <c r="BN14" s="2221"/>
      <c r="BO14" s="2221"/>
    </row>
    <row r="15" spans="1:67" s="1186" customFormat="1" ht="27">
      <c r="A15" s="2472" t="s">
        <v>2386</v>
      </c>
      <c r="B15" s="2475" t="s">
        <v>532</v>
      </c>
      <c r="C15" s="2476" t="s">
        <v>2090</v>
      </c>
      <c r="D15" s="2038"/>
      <c r="E15" s="2032"/>
      <c r="F15" s="360"/>
      <c r="G15" s="361"/>
      <c r="H15" s="2477"/>
      <c r="I15" s="2477"/>
      <c r="J15" s="2477"/>
      <c r="K15" s="2478">
        <f>SUMIF('数据-汇总表'!C$19:C$33,A15,'数据-汇总表'!E$19:E$33)</f>
        <v>70</v>
      </c>
      <c r="L15" s="2479"/>
      <c r="M15" s="363"/>
      <c r="N15" s="2480"/>
      <c r="O15" s="363"/>
      <c r="P15" s="364"/>
      <c r="Q15" s="2481"/>
      <c r="R15" s="365"/>
      <c r="S15" s="341"/>
      <c r="T15" s="2872"/>
      <c r="U15" s="1123"/>
      <c r="V15" s="2483"/>
      <c r="W15" s="2483"/>
      <c r="X15" s="2484"/>
      <c r="Y15" s="2485"/>
      <c r="Z15" s="2486"/>
      <c r="AA15" s="2487"/>
      <c r="AB15" s="2487"/>
      <c r="AC15" s="2488"/>
      <c r="AD15" s="2484"/>
      <c r="AE15" s="2489"/>
      <c r="AF15" s="342"/>
      <c r="AG15" s="474"/>
      <c r="AH15" s="2489"/>
      <c r="AI15" s="2493"/>
      <c r="AJ15" s="1312"/>
      <c r="AK15" s="2490"/>
      <c r="AL15" s="2491"/>
      <c r="AM15" s="2492"/>
      <c r="AN15" s="2220"/>
      <c r="AO15" s="2221"/>
      <c r="AP15" s="2221"/>
      <c r="AQ15" s="2221"/>
      <c r="AR15" s="2221"/>
      <c r="AS15" s="2221"/>
      <c r="AT15" s="2221"/>
      <c r="AU15" s="2221"/>
      <c r="AV15" s="2221"/>
      <c r="AW15" s="2221"/>
      <c r="AX15" s="2221"/>
      <c r="AY15" s="2221"/>
      <c r="AZ15" s="2221"/>
      <c r="BA15" s="2221"/>
      <c r="BB15" s="2221"/>
      <c r="BC15" s="2221"/>
      <c r="BD15" s="2221"/>
      <c r="BE15" s="2221"/>
      <c r="BF15" s="2221"/>
      <c r="BG15" s="2221"/>
      <c r="BH15" s="2221"/>
      <c r="BI15" s="2221"/>
      <c r="BJ15" s="2221"/>
      <c r="BK15" s="2221"/>
      <c r="BL15" s="2221"/>
      <c r="BM15" s="2221"/>
      <c r="BN15" s="2221"/>
      <c r="BO15" s="2221"/>
    </row>
    <row r="16" spans="1:67" s="1186" customFormat="1" ht="15.75" thickBot="1">
      <c r="A16" s="64" t="s">
        <v>4</v>
      </c>
      <c r="B16" s="65"/>
      <c r="C16" s="66"/>
      <c r="D16" s="67"/>
      <c r="E16" s="65"/>
      <c r="F16" s="385"/>
      <c r="G16" s="386">
        <f>ROUND(SUMPRODUCT(G6:G13,K6:K13)/SUMPRODUCT((G6:G13&gt;0)*(K6:K13)),3)</f>
        <v>0.995</v>
      </c>
      <c r="H16" s="387">
        <f>ROUND(SUMPRODUCT(H6:H13,K6:K13)/SUMPRODUCT((H6:H13&gt;0)*(K6:K13)),3)</f>
        <v>4.1000000000000002E-2</v>
      </c>
      <c r="I16" s="388"/>
      <c r="J16" s="388"/>
      <c r="K16" s="389">
        <f>SUM(K6:K15)</f>
        <v>43758.520000000004</v>
      </c>
      <c r="L16" s="390">
        <f>ROUND(M16*10000/SUM(K6:K14),0)</f>
        <v>3588</v>
      </c>
      <c r="M16" s="390">
        <f>SUM(M6:M14)</f>
        <v>15675</v>
      </c>
      <c r="N16" s="391">
        <f>ROUND(SUMPRODUCT(M6:M14,N6:N14)/M16,3)</f>
        <v>0.49399999999999999</v>
      </c>
      <c r="O16" s="390">
        <f>SUM(O6:O14)</f>
        <v>7750</v>
      </c>
      <c r="P16" s="390">
        <f>SUM(P6:P14)</f>
        <v>7925</v>
      </c>
      <c r="Q16" s="392">
        <f>ROUND(SUMPRODUCT(Q6:Q13,K6:K13)/SUMPRODUCT((Q6:Q13&gt;0)*(K6:K13)),2)</f>
        <v>0.1</v>
      </c>
      <c r="R16" s="2482">
        <f ca="1">SUM(R6:R13)</f>
        <v>10790.77</v>
      </c>
      <c r="S16" s="393">
        <f>SUM(S6:S13)</f>
        <v>120</v>
      </c>
      <c r="T16" s="394" t="str">
        <f>IF(SUMIF(T6:T13,"&lt;9E307")=M14,SUMIF(T6:T13,"&lt;9E307"),"有误，请检查")</f>
        <v>有误，请检查</v>
      </c>
      <c r="U16" s="395"/>
      <c r="V16" s="396"/>
      <c r="W16" s="396"/>
      <c r="X16" s="399"/>
      <c r="Y16" s="397"/>
      <c r="Z16" s="398"/>
      <c r="AA16" s="396"/>
      <c r="AB16" s="396"/>
      <c r="AC16" s="399"/>
      <c r="AD16" s="399"/>
      <c r="AE16" s="395"/>
      <c r="AF16" s="396"/>
      <c r="AG16" s="397"/>
      <c r="AH16" s="395"/>
      <c r="AI16" s="398"/>
      <c r="AJ16" s="398"/>
      <c r="AK16" s="396"/>
      <c r="AL16" s="396"/>
      <c r="AM16" s="397"/>
      <c r="AN16" s="2220"/>
      <c r="AO16" s="2221"/>
      <c r="AP16" s="2221"/>
      <c r="AQ16" s="2221"/>
      <c r="AR16" s="2221"/>
      <c r="AS16" s="2221"/>
      <c r="AT16" s="2221"/>
      <c r="AU16" s="2221"/>
      <c r="AV16" s="2221"/>
      <c r="AW16" s="2221"/>
      <c r="AX16" s="2221"/>
      <c r="AY16" s="2221"/>
      <c r="AZ16" s="2221"/>
      <c r="BA16" s="2221"/>
      <c r="BB16" s="2221"/>
      <c r="BC16" s="2221"/>
      <c r="BD16" s="2221"/>
      <c r="BE16" s="2221"/>
      <c r="BF16" s="2221"/>
      <c r="BG16" s="2221"/>
      <c r="BH16" s="2221"/>
      <c r="BI16" s="2221"/>
      <c r="BJ16" s="2221"/>
      <c r="BK16" s="2221"/>
      <c r="BL16" s="2221"/>
      <c r="BM16" s="2221"/>
      <c r="BN16" s="2221"/>
      <c r="BO16" s="2221"/>
    </row>
    <row r="17" spans="1:67" ht="12.75" thickBot="1">
      <c r="A17" s="1194"/>
      <c r="B17" s="1183"/>
      <c r="C17" s="2211"/>
      <c r="D17" s="2212"/>
      <c r="E17" s="2212"/>
      <c r="F17" s="2211"/>
      <c r="G17" s="2211"/>
      <c r="H17" s="2211"/>
      <c r="I17" s="2211"/>
      <c r="J17" s="2211"/>
      <c r="K17" s="2213"/>
      <c r="L17" s="2213"/>
      <c r="M17" s="2211"/>
      <c r="N17" s="2211"/>
      <c r="O17" s="2211"/>
      <c r="P17" s="2211"/>
      <c r="Q17" s="2211"/>
      <c r="R17" s="2211"/>
      <c r="S17" s="2211"/>
      <c r="T17" s="2211"/>
      <c r="U17" s="2211"/>
      <c r="V17" s="2211"/>
      <c r="W17" s="2211"/>
      <c r="X17" s="2211"/>
      <c r="Y17" s="2211"/>
      <c r="Z17" s="2211"/>
      <c r="AA17" s="2211"/>
      <c r="AB17" s="2211"/>
      <c r="AC17" s="2211"/>
      <c r="AD17" s="2211"/>
      <c r="AE17" s="2211"/>
      <c r="AF17" s="2211"/>
      <c r="AG17" s="2211"/>
      <c r="AH17" s="2211"/>
      <c r="AI17" s="2211"/>
      <c r="AJ17" s="2211"/>
      <c r="AK17" s="2211"/>
      <c r="AL17" s="2211"/>
      <c r="AM17" s="2211"/>
    </row>
    <row r="18" spans="1:67" ht="14.25" thickBot="1">
      <c r="A18" s="46" t="s">
        <v>24</v>
      </c>
      <c r="B18" s="1185"/>
      <c r="C18" s="2214"/>
      <c r="D18" s="2215"/>
      <c r="E18" s="2214"/>
      <c r="F18" s="2214"/>
      <c r="G18" s="2214"/>
      <c r="H18" s="2214"/>
      <c r="I18" s="2214"/>
      <c r="J18" s="2214"/>
      <c r="K18" s="2213"/>
      <c r="L18" s="2213"/>
      <c r="M18" s="2211"/>
      <c r="N18" s="2211"/>
      <c r="O18" s="2211"/>
      <c r="P18" s="2211"/>
      <c r="Q18" s="2211"/>
      <c r="R18" s="2211"/>
      <c r="S18" s="2211"/>
      <c r="T18" s="2211"/>
      <c r="U18" s="2211"/>
      <c r="V18" s="2211"/>
      <c r="W18" s="2211"/>
      <c r="X18" s="2211"/>
      <c r="Y18" s="2211"/>
      <c r="Z18" s="2211"/>
      <c r="AA18" s="2211"/>
      <c r="AB18" s="2211"/>
      <c r="AC18" s="2211"/>
      <c r="AD18" s="2211"/>
      <c r="AE18" s="2211"/>
      <c r="AF18" s="2211"/>
      <c r="AG18" s="2211"/>
      <c r="AH18" s="2211"/>
      <c r="AI18" s="2211"/>
      <c r="AJ18" s="2211"/>
      <c r="AK18" s="2211"/>
      <c r="AL18" s="2211"/>
      <c r="AM18" s="2211"/>
    </row>
    <row r="19" spans="1:67" ht="14.25">
      <c r="A19" s="68" t="s">
        <v>0</v>
      </c>
      <c r="B19" s="400">
        <v>0</v>
      </c>
      <c r="C19" s="2214" t="s">
        <v>2402</v>
      </c>
      <c r="D19" s="2215"/>
      <c r="E19" s="2214"/>
      <c r="F19" s="2214"/>
      <c r="G19" s="2214"/>
      <c r="H19" s="2214"/>
      <c r="I19" s="2214"/>
      <c r="J19" s="2214"/>
      <c r="K19" s="2213"/>
      <c r="L19" s="2213"/>
      <c r="M19" s="2211"/>
      <c r="N19" s="2211"/>
      <c r="O19" s="2211"/>
      <c r="P19" s="2211"/>
      <c r="Q19" s="2211"/>
      <c r="R19" s="2211"/>
      <c r="S19" s="2211"/>
      <c r="T19" s="2211"/>
      <c r="U19" s="2211"/>
      <c r="V19" s="2211"/>
      <c r="W19" s="2211"/>
      <c r="X19" s="2211"/>
      <c r="Y19" s="2211"/>
      <c r="Z19" s="2211"/>
      <c r="AA19" s="2211"/>
      <c r="AB19" s="2211"/>
      <c r="AC19" s="2211"/>
      <c r="AD19" s="2211"/>
      <c r="AE19" s="2211"/>
      <c r="AF19" s="2211"/>
      <c r="AG19" s="2211"/>
      <c r="AH19" s="2211"/>
      <c r="AI19" s="2211"/>
      <c r="AJ19" s="2211"/>
      <c r="AK19" s="2211"/>
      <c r="AL19" s="2211"/>
      <c r="AM19" s="2211"/>
    </row>
    <row r="20" spans="1:67" ht="14.25">
      <c r="A20" s="69" t="s">
        <v>699</v>
      </c>
      <c r="B20" s="401">
        <v>3</v>
      </c>
      <c r="C20" s="2214" t="s">
        <v>2403</v>
      </c>
      <c r="D20" s="2215"/>
      <c r="E20" s="2214"/>
      <c r="F20" s="2214"/>
      <c r="G20" s="2214"/>
      <c r="H20" s="2214"/>
      <c r="I20" s="2214"/>
      <c r="J20" s="2214"/>
      <c r="K20" s="2213"/>
      <c r="L20" s="2213"/>
      <c r="M20" s="2211"/>
      <c r="N20" s="2211"/>
      <c r="O20" s="2211"/>
      <c r="P20" s="2211"/>
      <c r="Q20" s="2211"/>
      <c r="R20" s="2211"/>
      <c r="S20" s="2211"/>
      <c r="T20" s="2211"/>
      <c r="U20" s="2211"/>
      <c r="V20" s="2211"/>
      <c r="W20" s="2211"/>
      <c r="X20" s="2211"/>
      <c r="Y20" s="2211"/>
      <c r="Z20" s="2211"/>
      <c r="AA20" s="2211"/>
      <c r="AB20" s="2211"/>
      <c r="AC20" s="2211"/>
      <c r="AD20" s="2211"/>
      <c r="AE20" s="2211"/>
      <c r="AF20" s="2211"/>
      <c r="AG20" s="2211"/>
      <c r="AH20" s="2211"/>
      <c r="AI20" s="2211"/>
      <c r="AJ20" s="2211"/>
      <c r="AK20" s="2211"/>
      <c r="AL20" s="2211"/>
      <c r="AM20" s="2211"/>
    </row>
    <row r="21" spans="1:67" ht="14.25">
      <c r="A21" s="70" t="s">
        <v>700</v>
      </c>
      <c r="B21" s="401">
        <v>0.7</v>
      </c>
      <c r="C21" s="2214"/>
      <c r="D21" s="2215"/>
      <c r="E21" s="2214"/>
      <c r="F21" s="2214"/>
      <c r="G21" s="2214"/>
      <c r="H21" s="2214"/>
      <c r="I21" s="2214"/>
      <c r="J21" s="2214"/>
      <c r="K21" s="2213"/>
      <c r="L21" s="2213"/>
      <c r="M21" s="2211"/>
      <c r="N21" s="2211"/>
      <c r="O21" s="2211"/>
      <c r="P21" s="2211"/>
      <c r="Q21" s="2211"/>
      <c r="R21" s="2211"/>
      <c r="S21" s="2211"/>
      <c r="T21" s="2211"/>
      <c r="U21" s="2211"/>
      <c r="V21" s="2211"/>
      <c r="W21" s="2211"/>
      <c r="X21" s="2211"/>
      <c r="Y21" s="2211"/>
      <c r="Z21" s="2211"/>
      <c r="AA21" s="2211"/>
      <c r="AB21" s="2211"/>
      <c r="AC21" s="2211"/>
      <c r="AD21" s="2211"/>
      <c r="AE21" s="2211"/>
      <c r="AF21" s="2211"/>
      <c r="AG21" s="2211"/>
      <c r="AH21" s="2211"/>
      <c r="AI21" s="2211"/>
      <c r="AJ21" s="2211"/>
      <c r="AK21" s="2211"/>
      <c r="AL21" s="2211"/>
      <c r="AM21" s="2211"/>
    </row>
    <row r="22" spans="1:67" ht="14.25">
      <c r="A22" s="69" t="s">
        <v>701</v>
      </c>
      <c r="B22" s="402">
        <f>B19+B20</f>
        <v>3</v>
      </c>
      <c r="C22" s="2214"/>
      <c r="D22" s="2215"/>
      <c r="E22" s="2214"/>
      <c r="F22" s="2214"/>
      <c r="G22" s="2214"/>
      <c r="H22" s="2214"/>
      <c r="I22" s="2214"/>
      <c r="J22" s="2214"/>
      <c r="K22" s="2213"/>
      <c r="L22" s="2213"/>
      <c r="M22" s="2211"/>
      <c r="N22" s="2211"/>
      <c r="O22" s="2211"/>
      <c r="P22" s="2211"/>
      <c r="Q22" s="2211"/>
      <c r="R22" s="2211"/>
      <c r="S22" s="2211"/>
      <c r="T22" s="2211"/>
      <c r="U22" s="2211"/>
      <c r="V22" s="2211"/>
      <c r="W22" s="2211"/>
      <c r="X22" s="2211"/>
      <c r="Y22" s="2211"/>
      <c r="Z22" s="2211"/>
      <c r="AA22" s="2211"/>
      <c r="AB22" s="2211"/>
      <c r="AC22" s="2211"/>
      <c r="AD22" s="2211"/>
      <c r="AE22" s="2211"/>
      <c r="AF22" s="2211"/>
      <c r="AG22" s="2211"/>
      <c r="AH22" s="2211"/>
      <c r="AI22" s="2211"/>
      <c r="AJ22" s="2211"/>
      <c r="AK22" s="2211"/>
      <c r="AL22" s="2211"/>
      <c r="AM22" s="2211"/>
    </row>
    <row r="23" spans="1:67" ht="14.25">
      <c r="A23" s="70" t="s">
        <v>702</v>
      </c>
      <c r="B23" s="402">
        <f>B19+B21</f>
        <v>0.7</v>
      </c>
      <c r="C23" s="2214"/>
      <c r="D23" s="2215"/>
      <c r="E23" s="2214"/>
      <c r="F23" s="2214"/>
      <c r="G23" s="2214"/>
      <c r="H23" s="2214"/>
      <c r="I23" s="2214"/>
      <c r="J23" s="2214"/>
      <c r="K23" s="2213"/>
      <c r="L23" s="2213"/>
      <c r="M23" s="2211"/>
      <c r="N23" s="2211"/>
      <c r="O23" s="2211"/>
      <c r="P23" s="2211"/>
      <c r="Q23" s="2211"/>
      <c r="R23" s="2211"/>
      <c r="S23" s="2211"/>
      <c r="T23" s="2211"/>
      <c r="U23" s="2211"/>
      <c r="V23" s="2211"/>
      <c r="W23" s="2211"/>
      <c r="X23" s="2211"/>
      <c r="Y23" s="2211"/>
      <c r="Z23" s="2211"/>
      <c r="AA23" s="2211"/>
      <c r="AB23" s="2211"/>
      <c r="AC23" s="2211"/>
      <c r="AD23" s="2211"/>
      <c r="AE23" s="2211"/>
      <c r="AF23" s="2211"/>
      <c r="AG23" s="2211"/>
      <c r="AH23" s="2211"/>
      <c r="AI23" s="2211"/>
      <c r="AJ23" s="2211"/>
      <c r="AK23" s="2211"/>
      <c r="AL23" s="2211"/>
      <c r="AM23" s="2211"/>
    </row>
    <row r="24" spans="1:67" ht="15" thickBot="1">
      <c r="A24" s="71" t="s">
        <v>703</v>
      </c>
      <c r="B24" s="403">
        <f>B20-B21</f>
        <v>2.2999999999999998</v>
      </c>
      <c r="C24" s="2214"/>
      <c r="D24" s="2215"/>
      <c r="E24" s="2214"/>
      <c r="F24" s="2214"/>
      <c r="G24" s="2214"/>
      <c r="H24" s="2214"/>
      <c r="I24" s="2214"/>
      <c r="J24" s="2214"/>
      <c r="K24" s="2213"/>
      <c r="L24" s="2213"/>
      <c r="M24" s="2211"/>
      <c r="N24" s="2211"/>
      <c r="O24" s="2211"/>
      <c r="P24" s="2211"/>
      <c r="Q24" s="2211"/>
      <c r="R24" s="2211"/>
      <c r="S24" s="2211"/>
      <c r="T24" s="2211"/>
      <c r="U24" s="2211"/>
      <c r="V24" s="2211"/>
      <c r="W24" s="2211"/>
      <c r="X24" s="2211"/>
      <c r="Y24" s="2211"/>
      <c r="Z24" s="2211"/>
      <c r="AA24" s="2211"/>
      <c r="AB24" s="2211"/>
      <c r="AC24" s="2211"/>
      <c r="AD24" s="2211"/>
      <c r="AE24" s="2211"/>
      <c r="AF24" s="2211"/>
      <c r="AG24" s="2211"/>
      <c r="AH24" s="2211"/>
      <c r="AI24" s="2211"/>
      <c r="AJ24" s="2211"/>
      <c r="AK24" s="2211"/>
      <c r="AL24" s="2211"/>
      <c r="AM24" s="2211"/>
    </row>
    <row r="25" spans="1:67" ht="14.25" thickBot="1">
      <c r="A25" s="1187"/>
      <c r="B25" s="1185"/>
      <c r="C25" s="2214"/>
      <c r="D25" s="2215"/>
      <c r="E25" s="2214"/>
      <c r="F25" s="2214"/>
      <c r="G25" s="2214"/>
      <c r="H25" s="2214"/>
      <c r="I25" s="2214"/>
      <c r="J25" s="2214"/>
      <c r="K25" s="2213"/>
      <c r="L25" s="2213"/>
      <c r="M25" s="2211"/>
      <c r="N25" s="2211"/>
      <c r="O25" s="2211"/>
      <c r="P25" s="2211"/>
      <c r="Q25" s="2211"/>
      <c r="R25" s="2211"/>
      <c r="S25" s="2211"/>
      <c r="T25" s="2211"/>
      <c r="U25" s="2211"/>
      <c r="V25" s="2211"/>
      <c r="W25" s="2211"/>
      <c r="X25" s="2211"/>
      <c r="Y25" s="2211"/>
      <c r="Z25" s="2211"/>
      <c r="AA25" s="2211"/>
      <c r="AB25" s="2211"/>
      <c r="AC25" s="2211"/>
      <c r="AD25" s="2211"/>
      <c r="AE25" s="2211"/>
      <c r="AF25" s="2211"/>
      <c r="AG25" s="2211"/>
      <c r="AH25" s="2211"/>
      <c r="AI25" s="2211"/>
      <c r="AJ25" s="2211"/>
      <c r="AK25" s="2211"/>
      <c r="AL25" s="2211"/>
      <c r="AM25" s="2211"/>
    </row>
    <row r="26" spans="1:67" ht="14.25" thickBot="1">
      <c r="A26" s="45" t="s">
        <v>704</v>
      </c>
      <c r="B26" s="72" t="s">
        <v>705</v>
      </c>
      <c r="C26" s="2217" t="s">
        <v>706</v>
      </c>
      <c r="D26" s="2215"/>
      <c r="E26" s="2214"/>
      <c r="F26" s="2214"/>
      <c r="G26" s="2214"/>
      <c r="H26" s="2214"/>
      <c r="I26" s="2214"/>
      <c r="J26" s="2214"/>
      <c r="K26" s="2213"/>
      <c r="L26" s="2213"/>
      <c r="M26" s="2211"/>
      <c r="N26" s="2211"/>
      <c r="O26" s="2211"/>
      <c r="P26" s="2211"/>
      <c r="Q26" s="2211"/>
      <c r="R26" s="2211"/>
      <c r="S26" s="2211"/>
      <c r="T26" s="2211"/>
      <c r="U26" s="2211"/>
      <c r="V26" s="2211"/>
      <c r="W26" s="2211"/>
      <c r="X26" s="2211"/>
      <c r="Y26" s="2211"/>
      <c r="Z26" s="2211"/>
      <c r="AA26" s="2211"/>
      <c r="AB26" s="2211"/>
      <c r="AC26" s="2211"/>
      <c r="AD26" s="2211"/>
      <c r="AE26" s="2211"/>
      <c r="AF26" s="2211"/>
      <c r="AG26" s="2211"/>
      <c r="AH26" s="2211"/>
      <c r="AI26" s="2211"/>
      <c r="AJ26" s="2211"/>
      <c r="AK26" s="2211"/>
      <c r="AL26" s="2211"/>
      <c r="AM26" s="2211"/>
    </row>
    <row r="27" spans="1:67" s="1195" customFormat="1" ht="27">
      <c r="A27" s="73" t="s">
        <v>707</v>
      </c>
      <c r="B27" s="3347">
        <v>160</v>
      </c>
      <c r="C27" s="2510" t="s">
        <v>708</v>
      </c>
      <c r="D27" s="2218"/>
      <c r="E27" s="2216"/>
      <c r="F27" s="2216"/>
      <c r="G27" s="2214"/>
      <c r="H27" s="2214"/>
      <c r="I27" s="2214"/>
      <c r="J27" s="2214"/>
      <c r="K27" s="2213"/>
      <c r="L27" s="2213"/>
      <c r="M27" s="2211"/>
      <c r="N27" s="2211"/>
      <c r="O27" s="2211"/>
      <c r="P27" s="2211"/>
      <c r="Q27" s="2211"/>
      <c r="R27" s="2211"/>
      <c r="S27" s="2211"/>
      <c r="T27" s="2211"/>
      <c r="U27" s="2211"/>
      <c r="V27" s="2211"/>
      <c r="W27" s="2211"/>
      <c r="X27" s="2211"/>
      <c r="Y27" s="2211"/>
      <c r="Z27" s="2211"/>
      <c r="AA27" s="2211"/>
      <c r="AB27" s="2211"/>
      <c r="AC27" s="2211"/>
      <c r="AD27" s="2211"/>
      <c r="AE27" s="2211"/>
      <c r="AF27" s="2211"/>
      <c r="AG27" s="2211"/>
      <c r="AH27" s="2211"/>
      <c r="AI27" s="2211"/>
      <c r="AJ27" s="2211"/>
      <c r="AK27" s="2211"/>
      <c r="AL27" s="2211"/>
      <c r="AM27" s="2211"/>
      <c r="AN27" s="2223"/>
      <c r="AO27" s="2223"/>
      <c r="AP27" s="2223"/>
      <c r="AQ27" s="2223"/>
      <c r="AR27" s="2223"/>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1195" customFormat="1" ht="27">
      <c r="A28" s="74" t="s">
        <v>709</v>
      </c>
      <c r="B28" s="3348">
        <v>200</v>
      </c>
      <c r="C28" s="2511"/>
      <c r="D28" s="2218"/>
      <c r="E28" s="2216"/>
      <c r="F28" s="2216"/>
      <c r="G28" s="2214"/>
      <c r="H28" s="2214"/>
      <c r="I28" s="2214"/>
      <c r="J28" s="2214"/>
      <c r="K28" s="2213"/>
      <c r="L28" s="2213"/>
      <c r="M28" s="2211"/>
      <c r="N28" s="2211"/>
      <c r="O28" s="2211"/>
      <c r="P28" s="2211"/>
      <c r="Q28" s="2211"/>
      <c r="R28" s="2211"/>
      <c r="S28" s="2211"/>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23"/>
      <c r="AO28" s="2223"/>
      <c r="AP28" s="2223"/>
      <c r="AQ28" s="2223"/>
      <c r="AR28" s="2223"/>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1195" customFormat="1" ht="27.75" thickBot="1">
      <c r="A29" s="278" t="s">
        <v>2681</v>
      </c>
      <c r="B29" s="3349">
        <f>ROUND((B27*(K6+K7)+B28*(K16-K6-K7))/10000,0)</f>
        <v>742</v>
      </c>
      <c r="C29" s="2510" t="s">
        <v>2682</v>
      </c>
      <c r="D29" s="2218"/>
      <c r="E29" s="2216"/>
      <c r="F29" s="2216"/>
      <c r="G29" s="2214"/>
      <c r="H29" s="2214"/>
      <c r="I29" s="2214"/>
      <c r="J29" s="2214"/>
      <c r="K29" s="2213"/>
      <c r="L29" s="2213"/>
      <c r="M29" s="2211"/>
      <c r="N29" s="2211"/>
      <c r="O29" s="2211"/>
      <c r="P29" s="2211"/>
      <c r="Q29" s="2211"/>
      <c r="R29" s="2211"/>
      <c r="S29" s="2211"/>
      <c r="T29" s="2211"/>
      <c r="U29" s="2211"/>
      <c r="V29" s="2211"/>
      <c r="W29" s="2211"/>
      <c r="X29" s="2211"/>
      <c r="Y29" s="2211"/>
      <c r="Z29" s="2211"/>
      <c r="AA29" s="2211"/>
      <c r="AB29" s="2211"/>
      <c r="AC29" s="2211"/>
      <c r="AD29" s="2211"/>
      <c r="AE29" s="2211"/>
      <c r="AF29" s="2211"/>
      <c r="AG29" s="2211"/>
      <c r="AH29" s="2211"/>
      <c r="AI29" s="2211"/>
      <c r="AJ29" s="2211"/>
      <c r="AK29" s="2211"/>
      <c r="AL29" s="2211"/>
      <c r="AM29" s="2211"/>
      <c r="AN29" s="2223"/>
      <c r="AO29" s="2223"/>
      <c r="AP29" s="2223"/>
      <c r="AQ29" s="2223"/>
      <c r="AR29" s="2223"/>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1195" customFormat="1" ht="27">
      <c r="A30" s="277" t="s">
        <v>710</v>
      </c>
      <c r="B30" s="1124">
        <v>200</v>
      </c>
      <c r="C30" s="2511"/>
      <c r="D30" s="2218"/>
      <c r="E30" s="2216"/>
      <c r="F30" s="2216"/>
      <c r="G30" s="2214"/>
      <c r="H30" s="2214"/>
      <c r="I30" s="2214"/>
      <c r="J30" s="2214"/>
      <c r="K30" s="2213"/>
      <c r="L30" s="2213"/>
      <c r="M30" s="2211"/>
      <c r="N30" s="2211"/>
      <c r="O30" s="2211"/>
      <c r="P30" s="2211"/>
      <c r="Q30" s="2211"/>
      <c r="R30" s="2211"/>
      <c r="S30" s="2211"/>
      <c r="T30" s="2211"/>
      <c r="U30" s="2211"/>
      <c r="V30" s="2211"/>
      <c r="W30" s="2211"/>
      <c r="X30" s="2211"/>
      <c r="Y30" s="2211"/>
      <c r="Z30" s="2211"/>
      <c r="AA30" s="2211"/>
      <c r="AB30" s="2211"/>
      <c r="AC30" s="2211"/>
      <c r="AD30" s="2211"/>
      <c r="AE30" s="2211"/>
      <c r="AF30" s="2211"/>
      <c r="AG30" s="2211"/>
      <c r="AH30" s="2211"/>
      <c r="AI30" s="2211"/>
      <c r="AJ30" s="2211"/>
      <c r="AK30" s="2211"/>
      <c r="AL30" s="2211"/>
      <c r="AM30" s="2211"/>
      <c r="AN30" s="2223"/>
      <c r="AO30" s="2223"/>
      <c r="AP30" s="2223"/>
      <c r="AQ30" s="2223"/>
      <c r="AR30" s="2223"/>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1195" customFormat="1" ht="27">
      <c r="A31" s="74" t="s">
        <v>711</v>
      </c>
      <c r="B31" s="407">
        <f>B30-B32</f>
        <v>200</v>
      </c>
      <c r="C31" s="2510"/>
      <c r="D31" s="2218"/>
      <c r="E31" s="2216"/>
      <c r="F31" s="2216"/>
      <c r="G31" s="2214"/>
      <c r="H31" s="2214"/>
      <c r="I31" s="2214"/>
      <c r="J31" s="2214"/>
      <c r="K31" s="2213"/>
      <c r="L31" s="2213"/>
      <c r="M31" s="2211"/>
      <c r="N31" s="2211"/>
      <c r="O31" s="2211"/>
      <c r="P31" s="2211"/>
      <c r="Q31" s="2211"/>
      <c r="R31" s="2211"/>
      <c r="S31" s="2211"/>
      <c r="T31" s="2211"/>
      <c r="U31" s="2211"/>
      <c r="V31" s="2211"/>
      <c r="W31" s="2211"/>
      <c r="X31" s="2211"/>
      <c r="Y31" s="2211"/>
      <c r="Z31" s="2211"/>
      <c r="AA31" s="2211"/>
      <c r="AB31" s="2211"/>
      <c r="AC31" s="2211"/>
      <c r="AD31" s="2211"/>
      <c r="AE31" s="2211"/>
      <c r="AF31" s="2211"/>
      <c r="AG31" s="2211"/>
      <c r="AH31" s="2211"/>
      <c r="AI31" s="2211"/>
      <c r="AJ31" s="2211"/>
      <c r="AK31" s="2211"/>
      <c r="AL31" s="2211"/>
      <c r="AM31" s="2211"/>
      <c r="AN31" s="2223"/>
      <c r="AO31" s="2223"/>
      <c r="AP31" s="2223"/>
      <c r="AQ31" s="2223"/>
      <c r="AR31" s="2223"/>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1195" customFormat="1" ht="27.75" thickBot="1">
      <c r="A32" s="76" t="s">
        <v>712</v>
      </c>
      <c r="B32" s="1125">
        <v>0</v>
      </c>
      <c r="C32" s="2511"/>
      <c r="D32" s="2215"/>
      <c r="E32" s="2214"/>
      <c r="F32" s="2214"/>
      <c r="G32" s="2214"/>
      <c r="H32" s="2214"/>
      <c r="I32" s="2214"/>
      <c r="J32" s="2214"/>
      <c r="K32" s="2213"/>
      <c r="L32" s="2213"/>
      <c r="M32" s="2211"/>
      <c r="N32" s="2211"/>
      <c r="O32" s="2211"/>
      <c r="P32" s="2211"/>
      <c r="Q32" s="2211"/>
      <c r="R32" s="2211"/>
      <c r="S32" s="2211"/>
      <c r="T32" s="2211"/>
      <c r="U32" s="2211"/>
      <c r="V32" s="2211"/>
      <c r="W32" s="2211"/>
      <c r="X32" s="2211"/>
      <c r="Y32" s="2211"/>
      <c r="Z32" s="2211"/>
      <c r="AA32" s="2211"/>
      <c r="AB32" s="2211"/>
      <c r="AC32" s="2211"/>
      <c r="AD32" s="2211"/>
      <c r="AE32" s="2211"/>
      <c r="AF32" s="2211"/>
      <c r="AG32" s="2211"/>
      <c r="AH32" s="2211"/>
      <c r="AI32" s="2211"/>
      <c r="AJ32" s="2211"/>
      <c r="AK32" s="2211"/>
      <c r="AL32" s="2211"/>
      <c r="AM32" s="2211"/>
      <c r="AN32" s="2223"/>
      <c r="AO32" s="2223"/>
      <c r="AP32" s="2223"/>
      <c r="AQ32" s="2223"/>
      <c r="AR32" s="2223"/>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1195" customFormat="1" ht="13.5">
      <c r="A33" s="73" t="s">
        <v>713</v>
      </c>
      <c r="B33" s="1126">
        <v>0.03</v>
      </c>
      <c r="C33" s="3271" t="s">
        <v>2993</v>
      </c>
      <c r="D33" s="2215"/>
      <c r="E33" s="2214"/>
      <c r="F33" s="2214"/>
      <c r="G33" s="2214"/>
      <c r="H33" s="2214"/>
      <c r="I33" s="2214"/>
      <c r="J33" s="2214"/>
      <c r="K33" s="2213"/>
      <c r="L33" s="2213"/>
      <c r="M33" s="2211"/>
      <c r="N33" s="2211"/>
      <c r="O33" s="2211"/>
      <c r="P33" s="2211"/>
      <c r="Q33" s="2211"/>
      <c r="R33" s="2211"/>
      <c r="S33" s="2211"/>
      <c r="T33" s="2211"/>
      <c r="U33" s="2211"/>
      <c r="V33" s="2211"/>
      <c r="W33" s="2211"/>
      <c r="X33" s="2211"/>
      <c r="Y33" s="2211"/>
      <c r="Z33" s="2211"/>
      <c r="AA33" s="2211"/>
      <c r="AB33" s="2211"/>
      <c r="AC33" s="2211"/>
      <c r="AD33" s="2211"/>
      <c r="AE33" s="2211"/>
      <c r="AF33" s="2211"/>
      <c r="AG33" s="2211"/>
      <c r="AH33" s="2211"/>
      <c r="AI33" s="2211"/>
      <c r="AJ33" s="2211"/>
      <c r="AK33" s="2211"/>
      <c r="AL33" s="2211"/>
      <c r="AM33" s="2211"/>
      <c r="AN33" s="2223"/>
      <c r="AO33" s="2223"/>
      <c r="AP33" s="2223"/>
      <c r="AQ33" s="2223"/>
      <c r="AR33" s="2223"/>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1195" customFormat="1" ht="13.5">
      <c r="A34" s="74" t="s">
        <v>714</v>
      </c>
      <c r="B34" s="408">
        <v>0.02</v>
      </c>
      <c r="C34" s="3271" t="s">
        <v>2994</v>
      </c>
      <c r="D34" s="2215" t="s">
        <v>715</v>
      </c>
      <c r="E34" s="1183"/>
      <c r="F34" s="2214"/>
      <c r="G34" s="2214"/>
      <c r="H34" s="2214"/>
      <c r="I34" s="2214"/>
      <c r="J34" s="2214"/>
      <c r="K34" s="2213"/>
      <c r="L34" s="2213"/>
      <c r="M34" s="2211"/>
      <c r="N34" s="2211"/>
      <c r="O34" s="2211"/>
      <c r="P34" s="2211"/>
      <c r="Q34" s="2211"/>
      <c r="R34" s="2211"/>
      <c r="S34" s="2211"/>
      <c r="T34" s="2211"/>
      <c r="U34" s="2211"/>
      <c r="V34" s="2211"/>
      <c r="W34" s="2211"/>
      <c r="X34" s="2211"/>
      <c r="Y34" s="2211"/>
      <c r="Z34" s="2211"/>
      <c r="AA34" s="2211"/>
      <c r="AB34" s="2211"/>
      <c r="AC34" s="2211"/>
      <c r="AD34" s="2211"/>
      <c r="AE34" s="2211"/>
      <c r="AF34" s="2211"/>
      <c r="AG34" s="2211"/>
      <c r="AH34" s="2211"/>
      <c r="AI34" s="2211"/>
      <c r="AJ34" s="2211"/>
      <c r="AK34" s="2211"/>
      <c r="AL34" s="2211"/>
      <c r="AM34" s="2211"/>
      <c r="AN34" s="2223"/>
      <c r="AO34" s="2223"/>
      <c r="AP34" s="2223"/>
      <c r="AQ34" s="2223"/>
      <c r="AR34" s="2223"/>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1195" customFormat="1" ht="13.5">
      <c r="A35" s="74" t="s">
        <v>716</v>
      </c>
      <c r="B35" s="406">
        <v>200</v>
      </c>
      <c r="C35" s="3271" t="s">
        <v>2995</v>
      </c>
      <c r="D35" s="2218"/>
      <c r="E35" s="2216"/>
      <c r="F35" s="2216"/>
      <c r="G35" s="2214"/>
      <c r="H35" s="2214"/>
      <c r="I35" s="2214"/>
      <c r="J35" s="2214"/>
      <c r="K35" s="2213"/>
      <c r="L35" s="2213"/>
      <c r="M35" s="2211"/>
      <c r="N35" s="2211"/>
      <c r="O35" s="2211"/>
      <c r="P35" s="2211"/>
      <c r="Q35" s="2211"/>
      <c r="R35" s="2211"/>
      <c r="S35" s="2211"/>
      <c r="T35" s="2211"/>
      <c r="U35" s="2211"/>
      <c r="V35" s="2211"/>
      <c r="W35" s="2211"/>
      <c r="X35" s="2211"/>
      <c r="Y35" s="2211"/>
      <c r="Z35" s="2211"/>
      <c r="AA35" s="2211"/>
      <c r="AB35" s="2211"/>
      <c r="AC35" s="2211"/>
      <c r="AD35" s="2211"/>
      <c r="AE35" s="2211"/>
      <c r="AF35" s="2211"/>
      <c r="AG35" s="2211"/>
      <c r="AH35" s="2211"/>
      <c r="AI35" s="2211"/>
      <c r="AJ35" s="2211"/>
      <c r="AK35" s="2211"/>
      <c r="AL35" s="2211"/>
      <c r="AM35" s="2211"/>
      <c r="AN35" s="2223"/>
      <c r="AO35" s="2223"/>
      <c r="AP35" s="2223"/>
      <c r="AQ35" s="2223"/>
      <c r="AR35" s="2223"/>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thickBot="1">
      <c r="A36" s="278" t="s">
        <v>717</v>
      </c>
      <c r="B36" s="409">
        <v>1.4999999999999999E-2</v>
      </c>
      <c r="C36" s="3271" t="s">
        <v>2996</v>
      </c>
      <c r="D36" s="2215"/>
      <c r="E36" s="2214"/>
      <c r="F36" s="2214"/>
      <c r="G36" s="2214"/>
      <c r="H36" s="2214"/>
      <c r="I36" s="2214"/>
      <c r="J36" s="2214"/>
      <c r="K36" s="2213"/>
      <c r="L36" s="2213"/>
      <c r="M36" s="2211"/>
      <c r="N36" s="2211"/>
      <c r="O36" s="2211"/>
      <c r="P36" s="2211"/>
      <c r="Q36" s="2211"/>
      <c r="R36" s="2211"/>
      <c r="S36" s="2211"/>
      <c r="T36" s="2211"/>
      <c r="U36" s="2211"/>
      <c r="V36" s="2211"/>
      <c r="W36" s="2211"/>
      <c r="X36" s="2211"/>
      <c r="Y36" s="2211"/>
      <c r="Z36" s="2211"/>
      <c r="AA36" s="2211"/>
      <c r="AB36" s="2211"/>
      <c r="AC36" s="2211"/>
      <c r="AD36" s="2211"/>
      <c r="AE36" s="2211"/>
      <c r="AF36" s="2211"/>
      <c r="AG36" s="2211"/>
      <c r="AH36" s="2211"/>
      <c r="AI36" s="2211"/>
      <c r="AJ36" s="2211"/>
      <c r="AK36" s="2211"/>
      <c r="AL36" s="2211"/>
      <c r="AM36" s="2211"/>
    </row>
    <row r="37" spans="1:67" ht="13.5">
      <c r="A37" s="277" t="s">
        <v>718</v>
      </c>
      <c r="B37" s="410">
        <v>0.02</v>
      </c>
      <c r="C37" s="3271" t="s">
        <v>2997</v>
      </c>
      <c r="D37" s="2215"/>
      <c r="E37" s="2214"/>
      <c r="F37" s="2214"/>
      <c r="G37" s="2214"/>
      <c r="H37" s="2214"/>
      <c r="I37" s="2214"/>
      <c r="J37" s="2214"/>
      <c r="K37" s="2213"/>
      <c r="L37" s="2213"/>
      <c r="M37" s="2211"/>
      <c r="N37" s="2211"/>
      <c r="O37" s="2211"/>
      <c r="P37" s="2211"/>
      <c r="Q37" s="2211"/>
      <c r="R37" s="2211"/>
      <c r="S37" s="2211"/>
      <c r="T37" s="2211"/>
      <c r="U37" s="2211"/>
      <c r="V37" s="2211"/>
      <c r="W37" s="2211"/>
      <c r="X37" s="2211"/>
      <c r="Y37" s="2211"/>
      <c r="Z37" s="2211"/>
      <c r="AA37" s="2211"/>
      <c r="AB37" s="2211"/>
      <c r="AC37" s="2211"/>
      <c r="AD37" s="2211"/>
      <c r="AE37" s="2211"/>
      <c r="AF37" s="2211"/>
      <c r="AG37" s="2211"/>
      <c r="AH37" s="2211"/>
      <c r="AI37" s="2211"/>
      <c r="AJ37" s="2211"/>
      <c r="AK37" s="2211"/>
      <c r="AL37" s="2211"/>
      <c r="AM37" s="2211"/>
    </row>
    <row r="38" spans="1:67" ht="13.5">
      <c r="A38" s="74" t="s">
        <v>719</v>
      </c>
      <c r="B38" s="408">
        <v>0.02</v>
      </c>
      <c r="C38" s="3271" t="s">
        <v>2997</v>
      </c>
      <c r="D38" s="2215"/>
      <c r="E38" s="2214"/>
      <c r="F38" s="2214"/>
      <c r="G38" s="2214"/>
      <c r="H38" s="2214"/>
      <c r="I38" s="2214"/>
      <c r="J38" s="2214"/>
      <c r="K38" s="2213"/>
      <c r="L38" s="2213"/>
      <c r="M38" s="2211"/>
      <c r="N38" s="2211"/>
      <c r="O38" s="2211"/>
      <c r="P38" s="2211"/>
      <c r="Q38" s="2211"/>
      <c r="R38" s="2211"/>
      <c r="S38" s="2211"/>
      <c r="T38" s="2211"/>
      <c r="U38" s="2211"/>
      <c r="V38" s="2211"/>
      <c r="W38" s="2211"/>
      <c r="X38" s="2211"/>
      <c r="Y38" s="2211"/>
      <c r="Z38" s="2211"/>
      <c r="AA38" s="2211"/>
      <c r="AB38" s="2211"/>
      <c r="AC38" s="2211"/>
      <c r="AD38" s="2211"/>
      <c r="AE38" s="2211"/>
      <c r="AF38" s="2211"/>
      <c r="AG38" s="2211"/>
      <c r="AH38" s="2211"/>
      <c r="AI38" s="2211"/>
      <c r="AJ38" s="2211"/>
      <c r="AK38" s="2211"/>
      <c r="AL38" s="2211"/>
      <c r="AM38" s="2211"/>
    </row>
    <row r="39" spans="1:67" ht="13.5">
      <c r="A39" s="76" t="s">
        <v>2531</v>
      </c>
      <c r="B39" s="695">
        <f ca="1">存贷款利率!I1</f>
        <v>1.4999999999999999E-2</v>
      </c>
      <c r="C39" s="2512"/>
      <c r="D39" s="2215"/>
      <c r="E39" s="2214"/>
      <c r="F39" s="2214"/>
      <c r="G39" s="2214"/>
      <c r="H39" s="2214"/>
      <c r="I39" s="2214"/>
      <c r="J39" s="2214"/>
      <c r="K39" s="2213"/>
      <c r="L39" s="2213"/>
      <c r="M39" s="2211"/>
      <c r="N39" s="2211"/>
      <c r="O39" s="2211"/>
      <c r="P39" s="2211"/>
      <c r="Q39" s="2211"/>
      <c r="R39" s="2211"/>
      <c r="S39" s="2211"/>
      <c r="T39" s="2211"/>
      <c r="U39" s="2211"/>
      <c r="V39" s="2211"/>
      <c r="W39" s="2211"/>
      <c r="X39" s="2211"/>
      <c r="Y39" s="2211"/>
      <c r="Z39" s="2211"/>
      <c r="AA39" s="2211"/>
      <c r="AB39" s="2211"/>
      <c r="AC39" s="2211"/>
      <c r="AD39" s="2211"/>
      <c r="AE39" s="2211"/>
      <c r="AF39" s="2211"/>
      <c r="AG39" s="2211"/>
      <c r="AH39" s="2211"/>
      <c r="AI39" s="2211"/>
      <c r="AJ39" s="2211"/>
      <c r="AK39" s="2211"/>
      <c r="AL39" s="2211"/>
      <c r="AM39" s="2211"/>
    </row>
    <row r="40" spans="1:67" ht="14.25" thickBot="1">
      <c r="A40" s="76" t="s">
        <v>2607</v>
      </c>
      <c r="B40" s="2618">
        <f ca="1">存贷款利率!G1</f>
        <v>4.7500000000000001E-2</v>
      </c>
      <c r="C40" s="2512" t="s">
        <v>537</v>
      </c>
      <c r="D40" s="2211"/>
      <c r="E40" s="2215"/>
      <c r="F40" s="2214"/>
      <c r="G40" s="2214"/>
      <c r="H40" s="2214"/>
      <c r="I40" s="2214"/>
      <c r="J40" s="2214"/>
      <c r="K40" s="2213"/>
      <c r="L40" s="2213"/>
      <c r="M40" s="2211"/>
      <c r="N40" s="2211"/>
      <c r="O40" s="2211"/>
      <c r="P40" s="2211"/>
      <c r="Q40" s="2211"/>
      <c r="R40" s="2211"/>
      <c r="S40" s="2211"/>
      <c r="T40" s="2211"/>
      <c r="U40" s="2211"/>
      <c r="V40" s="2211"/>
      <c r="W40" s="2211"/>
      <c r="X40" s="2211"/>
      <c r="Y40" s="2211"/>
      <c r="Z40" s="2211"/>
      <c r="AA40" s="2211"/>
      <c r="AB40" s="2211"/>
      <c r="AC40" s="2211"/>
      <c r="AD40" s="2211"/>
      <c r="AE40" s="2211"/>
      <c r="AF40" s="2211"/>
      <c r="AG40" s="2211"/>
      <c r="AH40" s="2211"/>
      <c r="AI40" s="2211"/>
      <c r="AJ40" s="2211"/>
      <c r="AK40" s="2211"/>
      <c r="AL40" s="2211"/>
      <c r="AM40" s="2211"/>
    </row>
    <row r="41" spans="1:67" ht="14.25">
      <c r="A41" s="73" t="s">
        <v>720</v>
      </c>
      <c r="B41" s="411">
        <f>B42+B43</f>
        <v>5.5000000000000007E-2</v>
      </c>
      <c r="C41" s="2510"/>
      <c r="D41" s="2211"/>
      <c r="E41" s="2215"/>
      <c r="F41" s="2214"/>
      <c r="G41" s="2214"/>
      <c r="H41" s="2214"/>
      <c r="I41" s="2214"/>
      <c r="J41" s="2214"/>
      <c r="K41" s="2213"/>
      <c r="L41" s="2213"/>
      <c r="M41" s="2211"/>
      <c r="N41" s="2211"/>
      <c r="O41" s="2211"/>
      <c r="P41" s="2211"/>
      <c r="Q41" s="2211"/>
      <c r="R41" s="2211"/>
      <c r="S41" s="2211"/>
      <c r="T41" s="2211"/>
      <c r="U41" s="2211"/>
      <c r="V41" s="2211"/>
      <c r="W41" s="2211"/>
      <c r="X41" s="2211"/>
      <c r="Y41" s="2211"/>
      <c r="Z41" s="2211"/>
      <c r="AA41" s="2211"/>
      <c r="AB41" s="2211"/>
      <c r="AC41" s="2211"/>
      <c r="AD41" s="2211"/>
      <c r="AE41" s="2211"/>
      <c r="AF41" s="2211"/>
      <c r="AG41" s="2211"/>
      <c r="AH41" s="2211"/>
      <c r="AI41" s="2211"/>
      <c r="AJ41" s="2211"/>
      <c r="AK41" s="2211"/>
      <c r="AL41" s="2211"/>
      <c r="AM41" s="2211"/>
    </row>
    <row r="42" spans="1:67" ht="14.25">
      <c r="A42" s="1196" t="s">
        <v>721</v>
      </c>
      <c r="B42" s="412">
        <v>0.05</v>
      </c>
      <c r="C42" s="3293">
        <f>IF(B2&lt;DATE(2016,5,1),0,B42)</f>
        <v>0.05</v>
      </c>
      <c r="D42" s="2215"/>
      <c r="E42" s="2214"/>
      <c r="F42" s="2214"/>
      <c r="G42" s="2214"/>
      <c r="H42" s="2214"/>
      <c r="I42" s="2214"/>
      <c r="J42" s="2214"/>
      <c r="K42" s="2213"/>
      <c r="L42" s="2213"/>
      <c r="M42" s="2211"/>
      <c r="N42" s="2211"/>
      <c r="O42" s="2211"/>
      <c r="P42" s="2211"/>
      <c r="Q42" s="2211"/>
      <c r="R42" s="2211"/>
      <c r="S42" s="2211"/>
      <c r="T42" s="2211"/>
      <c r="U42" s="2211"/>
      <c r="V42" s="2211"/>
      <c r="W42" s="2211"/>
      <c r="X42" s="2211"/>
      <c r="Y42" s="2211"/>
      <c r="Z42" s="2211"/>
      <c r="AA42" s="2211"/>
      <c r="AB42" s="2211"/>
      <c r="AC42" s="2211"/>
      <c r="AD42" s="2211"/>
      <c r="AE42" s="2211"/>
      <c r="AF42" s="2211"/>
      <c r="AG42" s="2211"/>
      <c r="AH42" s="2211"/>
      <c r="AI42" s="2211"/>
      <c r="AJ42" s="2211"/>
      <c r="AK42" s="2211"/>
      <c r="AL42" s="2211"/>
      <c r="AM42" s="2211"/>
    </row>
    <row r="43" spans="1:67" ht="14.25">
      <c r="A43" s="1196" t="s">
        <v>722</v>
      </c>
      <c r="B43" s="413">
        <f>B42*(B44+B45+B46)+B47</f>
        <v>5.000000000000001E-3</v>
      </c>
      <c r="C43" s="2510"/>
      <c r="D43" s="2215"/>
      <c r="E43" s="2214"/>
      <c r="F43" s="2214"/>
      <c r="G43" s="2214"/>
      <c r="H43" s="2214"/>
      <c r="I43" s="2214"/>
      <c r="J43" s="2214"/>
      <c r="K43" s="2213"/>
      <c r="L43" s="2213"/>
      <c r="M43" s="2211"/>
      <c r="N43" s="2211"/>
      <c r="O43" s="2211"/>
      <c r="P43" s="2211"/>
      <c r="Q43" s="2211"/>
      <c r="R43" s="2211"/>
      <c r="S43" s="2211"/>
      <c r="T43" s="2211"/>
      <c r="U43" s="2211"/>
      <c r="V43" s="2211"/>
      <c r="W43" s="2211"/>
      <c r="X43" s="2211"/>
      <c r="Y43" s="2211"/>
      <c r="Z43" s="2211"/>
      <c r="AA43" s="2211"/>
      <c r="AB43" s="2211"/>
      <c r="AC43" s="2211"/>
      <c r="AD43" s="2211"/>
      <c r="AE43" s="2211"/>
      <c r="AF43" s="2211"/>
      <c r="AG43" s="2211"/>
      <c r="AH43" s="2211"/>
      <c r="AI43" s="2211"/>
      <c r="AJ43" s="2211"/>
      <c r="AK43" s="2211"/>
      <c r="AL43" s="2211"/>
      <c r="AM43" s="2211"/>
    </row>
    <row r="44" spans="1:67" ht="14.25">
      <c r="A44" s="75" t="s">
        <v>723</v>
      </c>
      <c r="B44" s="414">
        <v>0.05</v>
      </c>
      <c r="C44" s="3271" t="s">
        <v>2999</v>
      </c>
      <c r="D44" s="2215"/>
      <c r="E44" s="2214"/>
      <c r="F44" s="2214"/>
      <c r="G44" s="2214"/>
      <c r="H44" s="2214"/>
      <c r="I44" s="2214"/>
      <c r="J44" s="2214"/>
      <c r="K44" s="2213"/>
      <c r="L44" s="2213"/>
      <c r="M44" s="2211"/>
      <c r="N44" s="2211"/>
      <c r="O44" s="2211"/>
      <c r="P44" s="2211"/>
      <c r="Q44" s="2211"/>
      <c r="R44" s="2211"/>
      <c r="S44" s="2211"/>
      <c r="T44" s="2211"/>
      <c r="U44" s="2211"/>
      <c r="V44" s="2211"/>
      <c r="W44" s="2211"/>
      <c r="X44" s="2211"/>
      <c r="Y44" s="2211"/>
      <c r="Z44" s="2211"/>
      <c r="AA44" s="2211"/>
      <c r="AB44" s="2211"/>
      <c r="AC44" s="2211"/>
      <c r="AD44" s="2211"/>
      <c r="AE44" s="2211"/>
      <c r="AF44" s="2211"/>
      <c r="AG44" s="2211"/>
      <c r="AH44" s="2211"/>
      <c r="AI44" s="2211"/>
      <c r="AJ44" s="2211"/>
      <c r="AK44" s="2211"/>
      <c r="AL44" s="2211"/>
      <c r="AM44" s="2211"/>
    </row>
    <row r="45" spans="1:67" ht="14.25">
      <c r="A45" s="75" t="s">
        <v>724</v>
      </c>
      <c r="B45" s="412">
        <v>0.03</v>
      </c>
      <c r="C45" s="3272" t="s">
        <v>2998</v>
      </c>
      <c r="D45" s="2215"/>
      <c r="E45" s="2214"/>
      <c r="F45" s="2214"/>
      <c r="G45" s="2214"/>
      <c r="H45" s="2214"/>
      <c r="I45" s="2214"/>
      <c r="J45" s="2214"/>
      <c r="K45" s="2213"/>
      <c r="L45" s="2213"/>
      <c r="M45" s="2211"/>
      <c r="N45" s="2211"/>
      <c r="O45" s="2211"/>
      <c r="P45" s="2211"/>
      <c r="Q45" s="2211"/>
      <c r="R45" s="2211"/>
      <c r="S45" s="2211"/>
      <c r="T45" s="2211"/>
      <c r="U45" s="2211"/>
      <c r="V45" s="2211"/>
      <c r="W45" s="2211"/>
      <c r="X45" s="2211"/>
      <c r="Y45" s="2211"/>
      <c r="Z45" s="2211"/>
      <c r="AA45" s="2211"/>
      <c r="AB45" s="2211"/>
      <c r="AC45" s="2211"/>
      <c r="AD45" s="2211"/>
      <c r="AE45" s="2211"/>
      <c r="AF45" s="2211"/>
      <c r="AG45" s="2211"/>
      <c r="AH45" s="2211"/>
      <c r="AI45" s="2211"/>
      <c r="AJ45" s="2211"/>
      <c r="AK45" s="2211"/>
      <c r="AL45" s="2211"/>
      <c r="AM45" s="2211"/>
    </row>
    <row r="46" spans="1:67" ht="14.25">
      <c r="A46" s="75" t="s">
        <v>725</v>
      </c>
      <c r="B46" s="412">
        <v>0.02</v>
      </c>
      <c r="C46" s="3272" t="s">
        <v>3022</v>
      </c>
      <c r="D46" s="2215"/>
      <c r="E46" s="2214"/>
      <c r="F46" s="2214"/>
      <c r="G46" s="2214"/>
      <c r="H46" s="2214"/>
      <c r="I46" s="2214"/>
      <c r="J46" s="2214"/>
      <c r="K46" s="2213"/>
      <c r="L46" s="2213"/>
      <c r="M46" s="2211"/>
      <c r="N46" s="2211"/>
      <c r="O46" s="2211"/>
      <c r="P46" s="2211"/>
      <c r="Q46" s="2211"/>
      <c r="R46" s="2211"/>
      <c r="S46" s="2211"/>
      <c r="T46" s="2211"/>
      <c r="U46" s="2211"/>
      <c r="V46" s="2211"/>
      <c r="W46" s="2211"/>
      <c r="X46" s="2211"/>
      <c r="Y46" s="2211"/>
      <c r="Z46" s="2211"/>
      <c r="AA46" s="2211"/>
      <c r="AB46" s="2211"/>
      <c r="AC46" s="2211"/>
      <c r="AD46" s="2211"/>
      <c r="AE46" s="2211"/>
      <c r="AF46" s="2211"/>
      <c r="AG46" s="2211"/>
      <c r="AH46" s="2211"/>
      <c r="AI46" s="2211"/>
      <c r="AJ46" s="2211"/>
      <c r="AK46" s="2211"/>
      <c r="AL46" s="2211"/>
      <c r="AM46" s="2211"/>
    </row>
    <row r="47" spans="1:67" ht="15" thickBot="1">
      <c r="A47" s="280" t="s">
        <v>726</v>
      </c>
      <c r="B47" s="415">
        <v>0</v>
      </c>
      <c r="C47" s="2510" t="s">
        <v>727</v>
      </c>
      <c r="D47" s="2215"/>
      <c r="E47" s="2214"/>
      <c r="F47" s="2214"/>
      <c r="G47" s="2214"/>
      <c r="H47" s="2214"/>
      <c r="I47" s="2214"/>
      <c r="J47" s="2214"/>
      <c r="K47" s="2213"/>
      <c r="L47" s="2213"/>
      <c r="M47" s="2211"/>
      <c r="N47" s="2211"/>
      <c r="O47" s="2211"/>
      <c r="P47" s="2211"/>
      <c r="Q47" s="2211"/>
      <c r="R47" s="2211"/>
      <c r="S47" s="2211"/>
      <c r="T47" s="2211"/>
      <c r="U47" s="2211"/>
      <c r="V47" s="2211"/>
      <c r="W47" s="2211"/>
      <c r="X47" s="2211"/>
      <c r="Y47" s="2211"/>
      <c r="Z47" s="2211"/>
      <c r="AA47" s="2211"/>
      <c r="AB47" s="2211"/>
      <c r="AC47" s="2211"/>
      <c r="AD47" s="2211"/>
      <c r="AE47" s="2211"/>
      <c r="AF47" s="2211"/>
      <c r="AG47" s="2211"/>
      <c r="AH47" s="2211"/>
      <c r="AI47" s="2211"/>
      <c r="AJ47" s="2211"/>
      <c r="AK47" s="2211"/>
      <c r="AL47" s="2211"/>
      <c r="AM47" s="2211"/>
    </row>
    <row r="48" spans="1:67" ht="14.25">
      <c r="A48" s="279" t="s">
        <v>728</v>
      </c>
      <c r="B48" s="416">
        <v>0.03</v>
      </c>
      <c r="C48" s="3291" t="s">
        <v>3023</v>
      </c>
      <c r="D48" s="2215"/>
      <c r="E48" s="2214"/>
      <c r="F48" s="2214"/>
      <c r="G48" s="2214"/>
      <c r="H48" s="2214"/>
      <c r="I48" s="2214"/>
      <c r="J48" s="2214"/>
      <c r="K48" s="2213"/>
      <c r="L48" s="2213"/>
      <c r="M48" s="2211"/>
      <c r="N48" s="2211"/>
      <c r="O48" s="2211"/>
      <c r="P48" s="2211"/>
      <c r="Q48" s="2211"/>
      <c r="R48" s="2211"/>
      <c r="S48" s="2211"/>
      <c r="T48" s="2211"/>
      <c r="U48" s="2211"/>
      <c r="V48" s="2211"/>
      <c r="W48" s="2211"/>
      <c r="X48" s="2211"/>
      <c r="Y48" s="2211"/>
      <c r="Z48" s="2211"/>
      <c r="AA48" s="2211"/>
      <c r="AB48" s="2211"/>
      <c r="AC48" s="2211"/>
      <c r="AD48" s="2211"/>
      <c r="AE48" s="2211"/>
      <c r="AF48" s="2211"/>
      <c r="AG48" s="2211"/>
      <c r="AH48" s="2211"/>
      <c r="AI48" s="2211"/>
      <c r="AJ48" s="2211"/>
      <c r="AK48" s="2211"/>
      <c r="AL48" s="2211"/>
      <c r="AM48" s="2211"/>
    </row>
    <row r="49" spans="1:39" ht="15" thickBot="1">
      <c r="A49" s="76" t="s">
        <v>729</v>
      </c>
      <c r="B49" s="412">
        <v>5.0000000000000001E-4</v>
      </c>
      <c r="C49" s="3291" t="s">
        <v>3024</v>
      </c>
      <c r="D49" s="2215"/>
      <c r="E49" s="2214"/>
      <c r="F49" s="2214"/>
      <c r="G49" s="2214"/>
      <c r="H49" s="2214"/>
      <c r="I49" s="2214"/>
      <c r="J49" s="2214"/>
      <c r="K49" s="2213"/>
      <c r="L49" s="2213"/>
      <c r="M49" s="2211"/>
      <c r="N49" s="2211"/>
      <c r="O49" s="2211"/>
      <c r="P49" s="2211"/>
      <c r="Q49" s="2211"/>
      <c r="R49" s="2211"/>
      <c r="S49" s="2211"/>
      <c r="T49" s="2211"/>
      <c r="U49" s="2211"/>
      <c r="V49" s="2211"/>
      <c r="W49" s="2211"/>
      <c r="X49" s="2211"/>
      <c r="Y49" s="2211"/>
      <c r="Z49" s="2211"/>
      <c r="AA49" s="2211"/>
      <c r="AB49" s="2211"/>
      <c r="AC49" s="2211"/>
      <c r="AD49" s="2211"/>
      <c r="AE49" s="2211"/>
      <c r="AF49" s="2211"/>
      <c r="AG49" s="2211"/>
      <c r="AH49" s="2211"/>
      <c r="AI49" s="2211"/>
      <c r="AJ49" s="2211"/>
      <c r="AK49" s="2211"/>
      <c r="AL49" s="2211"/>
      <c r="AM49" s="2211"/>
    </row>
    <row r="50" spans="1:39" ht="14.25">
      <c r="A50" s="276" t="s">
        <v>730</v>
      </c>
      <c r="B50" s="417">
        <v>1.2E-2</v>
      </c>
      <c r="C50" s="2216"/>
      <c r="D50" s="2215"/>
      <c r="E50" s="2214"/>
      <c r="F50" s="2214"/>
      <c r="G50" s="2214"/>
      <c r="H50" s="2214"/>
      <c r="I50" s="2214"/>
      <c r="J50" s="2214"/>
      <c r="K50" s="2213"/>
      <c r="L50" s="2213"/>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row>
    <row r="51" spans="1:39" ht="15" thickBot="1">
      <c r="A51" s="278" t="s">
        <v>731</v>
      </c>
      <c r="B51" s="418">
        <v>0.12</v>
      </c>
      <c r="C51" s="2216"/>
      <c r="D51" s="2215"/>
      <c r="E51" s="2214"/>
      <c r="F51" s="2214"/>
      <c r="G51" s="2214"/>
      <c r="H51" s="2214"/>
      <c r="I51" s="2214"/>
      <c r="J51" s="2214"/>
      <c r="K51" s="2213"/>
      <c r="L51" s="2213"/>
      <c r="M51" s="2211"/>
      <c r="N51" s="2211"/>
      <c r="O51" s="2211"/>
      <c r="P51" s="2211"/>
      <c r="Q51" s="2211"/>
      <c r="R51" s="2211"/>
      <c r="S51" s="2211"/>
      <c r="T51" s="2211"/>
      <c r="U51" s="2211"/>
      <c r="V51" s="2211"/>
      <c r="W51" s="2211"/>
      <c r="X51" s="2211"/>
      <c r="Y51" s="2211"/>
      <c r="Z51" s="2211"/>
      <c r="AA51" s="2211"/>
      <c r="AB51" s="2211"/>
      <c r="AC51" s="2211"/>
      <c r="AD51" s="2211"/>
      <c r="AE51" s="2211"/>
      <c r="AF51" s="2211"/>
      <c r="AG51" s="2211"/>
      <c r="AH51" s="2211"/>
      <c r="AI51" s="2211"/>
      <c r="AJ51" s="2211"/>
      <c r="AK51" s="2211"/>
      <c r="AL51" s="2211"/>
      <c r="AM51" s="2211"/>
    </row>
    <row r="52" spans="1:39" ht="14.25">
      <c r="A52" s="276" t="s">
        <v>732</v>
      </c>
      <c r="B52" s="419">
        <f>SUMIF(A54:A63,B53,B54:B63)</f>
        <v>1.5</v>
      </c>
      <c r="C52" s="2216"/>
      <c r="D52" s="2215"/>
      <c r="E52" s="2214"/>
      <c r="F52" s="2214"/>
      <c r="G52" s="2214"/>
      <c r="H52" s="2214"/>
      <c r="I52" s="2214"/>
      <c r="J52" s="2214"/>
      <c r="K52" s="2213"/>
      <c r="L52" s="2213"/>
      <c r="M52" s="2211"/>
      <c r="N52" s="2211"/>
      <c r="O52" s="2211"/>
      <c r="P52" s="2211"/>
      <c r="Q52" s="2211"/>
      <c r="R52" s="2211"/>
      <c r="S52" s="2211"/>
      <c r="T52" s="2211"/>
      <c r="U52" s="2211"/>
      <c r="V52" s="2211"/>
      <c r="W52" s="2211"/>
      <c r="X52" s="2211"/>
      <c r="Y52" s="2211"/>
      <c r="Z52" s="2211"/>
      <c r="AA52" s="2211"/>
      <c r="AB52" s="2211"/>
      <c r="AC52" s="2211"/>
      <c r="AD52" s="2211"/>
      <c r="AE52" s="2211"/>
      <c r="AF52" s="2211"/>
      <c r="AG52" s="2211"/>
      <c r="AH52" s="2211"/>
      <c r="AI52" s="2211"/>
      <c r="AJ52" s="2211"/>
      <c r="AK52" s="2211"/>
      <c r="AL52" s="2211"/>
      <c r="AM52" s="2211"/>
    </row>
    <row r="53" spans="1:39" ht="27">
      <c r="A53" s="74" t="s">
        <v>733</v>
      </c>
      <c r="B53" s="41" t="s">
        <v>202</v>
      </c>
      <c r="C53" s="2216" t="s">
        <v>3000</v>
      </c>
      <c r="D53" s="2219" t="s">
        <v>3004</v>
      </c>
      <c r="E53" s="2214"/>
      <c r="F53" s="2214"/>
      <c r="G53" s="2214"/>
      <c r="H53" s="2214"/>
      <c r="I53" s="2214"/>
      <c r="J53" s="2214"/>
      <c r="K53" s="2213"/>
      <c r="L53" s="2213"/>
      <c r="M53" s="2211"/>
      <c r="N53" s="2211"/>
      <c r="O53" s="2211"/>
      <c r="P53" s="2211"/>
      <c r="Q53" s="2211"/>
      <c r="R53" s="2211"/>
      <c r="S53" s="2211"/>
      <c r="T53" s="2211"/>
      <c r="U53" s="2211"/>
      <c r="V53" s="2211"/>
      <c r="W53" s="2211"/>
      <c r="X53" s="2211"/>
      <c r="Y53" s="2211"/>
      <c r="Z53" s="2211"/>
      <c r="AA53" s="2211"/>
      <c r="AB53" s="2211"/>
      <c r="AC53" s="2211"/>
      <c r="AD53" s="2211"/>
      <c r="AE53" s="2211"/>
      <c r="AF53" s="2211"/>
      <c r="AG53" s="2211"/>
      <c r="AH53" s="2211"/>
      <c r="AI53" s="2211"/>
      <c r="AJ53" s="2211"/>
      <c r="AK53" s="2211"/>
      <c r="AL53" s="2211"/>
      <c r="AM53" s="2211"/>
    </row>
    <row r="54" spans="1:39" ht="14.25">
      <c r="A54" s="42" t="s">
        <v>164</v>
      </c>
      <c r="B54" s="2834">
        <v>30</v>
      </c>
      <c r="C54" s="2834">
        <v>30</v>
      </c>
      <c r="D54" s="2215"/>
      <c r="E54" s="2214"/>
      <c r="F54" s="2214"/>
      <c r="G54" s="2214"/>
      <c r="H54" s="2214"/>
      <c r="I54" s="2214"/>
      <c r="J54" s="2214"/>
      <c r="K54" s="2213"/>
      <c r="L54" s="2213"/>
      <c r="M54" s="2211"/>
      <c r="N54" s="2211"/>
      <c r="O54" s="2211"/>
      <c r="P54" s="2211"/>
      <c r="Q54" s="2211"/>
      <c r="R54" s="2211"/>
      <c r="S54" s="2211"/>
      <c r="T54" s="2211"/>
      <c r="U54" s="2211"/>
      <c r="V54" s="2211"/>
      <c r="W54" s="2211"/>
      <c r="X54" s="2211"/>
      <c r="Y54" s="2211"/>
      <c r="Z54" s="2211"/>
      <c r="AA54" s="2211"/>
      <c r="AB54" s="2211"/>
      <c r="AC54" s="2211"/>
      <c r="AD54" s="2211"/>
      <c r="AE54" s="2211"/>
      <c r="AF54" s="2211"/>
      <c r="AG54" s="2211"/>
      <c r="AH54" s="2211"/>
      <c r="AI54" s="2211"/>
      <c r="AJ54" s="2211"/>
      <c r="AK54" s="2211"/>
      <c r="AL54" s="2211"/>
      <c r="AM54" s="2211"/>
    </row>
    <row r="55" spans="1:39" ht="14.25">
      <c r="A55" s="42" t="s">
        <v>165</v>
      </c>
      <c r="B55" s="2834">
        <v>24</v>
      </c>
      <c r="C55" s="2834">
        <v>24</v>
      </c>
      <c r="D55" s="2215"/>
      <c r="E55" s="2214"/>
      <c r="F55" s="2214"/>
      <c r="G55" s="2214"/>
      <c r="H55" s="2214"/>
      <c r="I55" s="2209"/>
      <c r="J55" s="2214"/>
      <c r="K55" s="2213"/>
      <c r="L55" s="2213"/>
      <c r="M55" s="2211"/>
      <c r="N55" s="2211"/>
      <c r="O55" s="2211"/>
      <c r="P55" s="2211"/>
      <c r="Q55" s="2211"/>
      <c r="R55" s="2211"/>
      <c r="S55" s="2211"/>
      <c r="T55" s="2211"/>
      <c r="U55" s="2211"/>
      <c r="V55" s="2211"/>
      <c r="W55" s="2211"/>
      <c r="X55" s="2211"/>
      <c r="Y55" s="2211"/>
      <c r="Z55" s="2211"/>
      <c r="AA55" s="2211"/>
      <c r="AB55" s="2211"/>
      <c r="AC55" s="2211"/>
      <c r="AD55" s="2211"/>
      <c r="AE55" s="2211"/>
      <c r="AF55" s="2211"/>
      <c r="AG55" s="2211"/>
      <c r="AH55" s="2211"/>
      <c r="AI55" s="2211"/>
      <c r="AJ55" s="2211"/>
      <c r="AK55" s="2211"/>
      <c r="AL55" s="2211"/>
      <c r="AM55" s="2211"/>
    </row>
    <row r="56" spans="1:39" ht="14.25">
      <c r="A56" s="42" t="s">
        <v>160</v>
      </c>
      <c r="B56" s="2834">
        <v>18</v>
      </c>
      <c r="C56" s="2834">
        <v>18</v>
      </c>
      <c r="D56" s="2215"/>
      <c r="E56" s="2214"/>
      <c r="F56" s="2214"/>
      <c r="G56" s="2214"/>
      <c r="H56" s="2214"/>
      <c r="I56" s="2214"/>
      <c r="J56" s="2214"/>
      <c r="K56" s="2213"/>
      <c r="L56" s="2213"/>
      <c r="M56" s="2211"/>
      <c r="N56" s="2211"/>
      <c r="O56" s="2211"/>
      <c r="P56" s="2211"/>
      <c r="Q56" s="2211"/>
      <c r="R56" s="2211"/>
      <c r="S56" s="2211"/>
      <c r="T56" s="2211"/>
      <c r="U56" s="2211"/>
      <c r="V56" s="2211"/>
      <c r="W56" s="2211"/>
      <c r="X56" s="2211"/>
      <c r="Y56" s="2211"/>
      <c r="Z56" s="2211"/>
      <c r="AA56" s="2211"/>
      <c r="AB56" s="2211"/>
      <c r="AC56" s="2211"/>
      <c r="AD56" s="2211"/>
      <c r="AE56" s="2211"/>
      <c r="AF56" s="2211"/>
      <c r="AG56" s="2211"/>
      <c r="AH56" s="2211"/>
      <c r="AI56" s="2211"/>
      <c r="AJ56" s="2211"/>
      <c r="AK56" s="2211"/>
      <c r="AL56" s="2211"/>
      <c r="AM56" s="2211"/>
    </row>
    <row r="57" spans="1:39" ht="14.25">
      <c r="A57" s="42" t="s">
        <v>161</v>
      </c>
      <c r="B57" s="2834">
        <v>12</v>
      </c>
      <c r="C57" s="2834">
        <v>12</v>
      </c>
      <c r="D57" s="2215"/>
      <c r="E57" s="2214"/>
      <c r="F57" s="2214"/>
      <c r="G57" s="2214"/>
      <c r="H57" s="2214"/>
      <c r="I57" s="2214"/>
      <c r="J57" s="2214"/>
      <c r="K57" s="2213"/>
      <c r="L57" s="2213"/>
      <c r="M57" s="2211"/>
      <c r="N57" s="2211"/>
      <c r="O57" s="2211"/>
      <c r="P57" s="2211"/>
      <c r="Q57" s="2211"/>
      <c r="R57" s="2211"/>
      <c r="S57" s="2211"/>
      <c r="T57" s="2211"/>
      <c r="U57" s="2211"/>
      <c r="V57" s="2211"/>
      <c r="W57" s="2211"/>
      <c r="X57" s="2211"/>
      <c r="Y57" s="2211"/>
      <c r="Z57" s="2211"/>
      <c r="AA57" s="2211"/>
      <c r="AB57" s="2211"/>
      <c r="AC57" s="2211"/>
      <c r="AD57" s="2211"/>
      <c r="AE57" s="2211"/>
      <c r="AF57" s="2211"/>
      <c r="AG57" s="2211"/>
      <c r="AH57" s="2211"/>
      <c r="AI57" s="2211"/>
      <c r="AJ57" s="2211"/>
      <c r="AK57" s="2211"/>
      <c r="AL57" s="2211"/>
      <c r="AM57" s="2211"/>
    </row>
    <row r="58" spans="1:39" ht="14.25">
      <c r="A58" s="42" t="s">
        <v>162</v>
      </c>
      <c r="B58" s="2834">
        <v>3</v>
      </c>
      <c r="C58" s="2834">
        <v>3</v>
      </c>
      <c r="D58" s="2215"/>
      <c r="E58" s="2214"/>
      <c r="F58" s="2214"/>
      <c r="G58" s="2214"/>
      <c r="H58" s="2214"/>
      <c r="I58" s="2214"/>
      <c r="J58" s="2214"/>
      <c r="K58" s="2213"/>
      <c r="L58" s="2213"/>
      <c r="M58" s="2211"/>
      <c r="N58" s="2211"/>
      <c r="O58" s="2211"/>
      <c r="P58" s="2211"/>
      <c r="Q58" s="2211"/>
      <c r="R58" s="2211"/>
      <c r="S58" s="2211"/>
      <c r="T58" s="2211"/>
      <c r="U58" s="2211"/>
      <c r="V58" s="2211"/>
      <c r="W58" s="2211"/>
      <c r="X58" s="2211"/>
      <c r="Y58" s="2211"/>
      <c r="Z58" s="2211"/>
      <c r="AA58" s="2211"/>
      <c r="AB58" s="2211"/>
      <c r="AC58" s="2211"/>
      <c r="AD58" s="2211"/>
      <c r="AE58" s="2211"/>
      <c r="AF58" s="2211"/>
      <c r="AG58" s="2211"/>
      <c r="AH58" s="2211"/>
      <c r="AI58" s="2211"/>
      <c r="AJ58" s="2211"/>
      <c r="AK58" s="2211"/>
      <c r="AL58" s="2211"/>
      <c r="AM58" s="2211"/>
    </row>
    <row r="59" spans="1:39" ht="14.25">
      <c r="A59" s="42" t="s">
        <v>163</v>
      </c>
      <c r="B59" s="2834">
        <v>1.5</v>
      </c>
      <c r="C59" s="2834">
        <v>1.5</v>
      </c>
      <c r="D59" s="2215"/>
      <c r="E59" s="2214"/>
      <c r="F59" s="2214"/>
      <c r="G59" s="2214"/>
      <c r="H59" s="2214"/>
      <c r="I59" s="2214"/>
      <c r="J59" s="2214"/>
      <c r="K59" s="2213"/>
      <c r="L59" s="2213"/>
      <c r="M59" s="2211"/>
      <c r="N59" s="2211"/>
      <c r="O59" s="2211"/>
      <c r="P59" s="2211"/>
      <c r="Q59" s="2211"/>
      <c r="R59" s="2211"/>
      <c r="S59" s="2211"/>
      <c r="T59" s="2211"/>
      <c r="U59" s="2211"/>
      <c r="V59" s="2211"/>
      <c r="W59" s="2211"/>
      <c r="X59" s="2211"/>
      <c r="Y59" s="2211"/>
      <c r="Z59" s="2211"/>
      <c r="AA59" s="2211"/>
      <c r="AB59" s="2211"/>
      <c r="AC59" s="2211"/>
      <c r="AD59" s="2211"/>
      <c r="AE59" s="2211"/>
      <c r="AF59" s="2211"/>
      <c r="AG59" s="2211"/>
      <c r="AH59" s="2211"/>
      <c r="AI59" s="2211"/>
      <c r="AJ59" s="2211"/>
      <c r="AK59" s="2211"/>
      <c r="AL59" s="2211"/>
      <c r="AM59" s="2211"/>
    </row>
    <row r="60" spans="1:39" ht="14.25">
      <c r="A60" s="42" t="s">
        <v>1170</v>
      </c>
      <c r="B60" s="372"/>
      <c r="C60" s="2214"/>
      <c r="D60" s="2215"/>
      <c r="E60" s="2214"/>
      <c r="F60" s="2214"/>
      <c r="G60" s="2214"/>
      <c r="H60" s="2214"/>
      <c r="I60" s="2214"/>
      <c r="J60" s="2214"/>
      <c r="K60" s="2213"/>
      <c r="L60" s="2213"/>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row>
    <row r="61" spans="1:39" ht="14.25">
      <c r="A61" s="42" t="s">
        <v>3001</v>
      </c>
      <c r="B61" s="372"/>
      <c r="C61" s="2214"/>
      <c r="D61" s="2215"/>
      <c r="E61" s="2214"/>
      <c r="F61" s="2214"/>
      <c r="G61" s="2214"/>
      <c r="H61" s="2214"/>
      <c r="I61" s="2214"/>
      <c r="J61" s="2214"/>
      <c r="K61" s="2213"/>
      <c r="L61" s="2213"/>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row>
    <row r="62" spans="1:39" ht="14.25">
      <c r="A62" s="42" t="s">
        <v>3002</v>
      </c>
      <c r="B62" s="372"/>
      <c r="C62" s="2214"/>
      <c r="D62" s="2215"/>
      <c r="E62" s="2214"/>
      <c r="F62" s="2214"/>
      <c r="G62" s="2214"/>
      <c r="H62" s="2214"/>
      <c r="I62" s="2214"/>
      <c r="J62" s="2214"/>
      <c r="K62" s="2213"/>
      <c r="L62" s="2213"/>
      <c r="M62" s="2211"/>
      <c r="N62" s="2211"/>
      <c r="O62" s="2211"/>
      <c r="P62" s="2211"/>
      <c r="Q62" s="2211"/>
      <c r="R62" s="2211"/>
      <c r="S62" s="2211"/>
      <c r="T62" s="2211"/>
      <c r="U62" s="2211"/>
      <c r="V62" s="2211"/>
      <c r="W62" s="2211"/>
      <c r="X62" s="2211"/>
      <c r="Y62" s="2211"/>
      <c r="Z62" s="2211"/>
      <c r="AA62" s="2211"/>
      <c r="AB62" s="2211"/>
      <c r="AC62" s="2211"/>
      <c r="AD62" s="2211"/>
      <c r="AE62" s="2211"/>
      <c r="AF62" s="2211"/>
      <c r="AG62" s="2211"/>
      <c r="AH62" s="2211"/>
      <c r="AI62" s="2211"/>
      <c r="AJ62" s="2211"/>
      <c r="AK62" s="2211"/>
      <c r="AL62" s="2211"/>
      <c r="AM62" s="2211"/>
    </row>
    <row r="63" spans="1:39" ht="15" thickBot="1">
      <c r="A63" s="43" t="s">
        <v>3003</v>
      </c>
      <c r="B63" s="420"/>
      <c r="C63" s="2214"/>
      <c r="D63" s="2215"/>
      <c r="E63" s="2214"/>
      <c r="F63" s="2214"/>
      <c r="G63" s="2214"/>
      <c r="H63" s="2214"/>
      <c r="I63" s="2214"/>
      <c r="J63" s="2214"/>
      <c r="K63" s="2213"/>
      <c r="L63" s="2213"/>
      <c r="M63" s="2211"/>
      <c r="N63" s="2211"/>
      <c r="O63" s="2211"/>
      <c r="P63" s="2211"/>
      <c r="Q63" s="2211"/>
      <c r="R63" s="2211"/>
      <c r="S63" s="2211"/>
      <c r="T63" s="2211"/>
      <c r="U63" s="2211"/>
      <c r="V63" s="2211"/>
      <c r="W63" s="2211"/>
      <c r="X63" s="2211"/>
      <c r="Y63" s="2211"/>
      <c r="Z63" s="2211"/>
      <c r="AA63" s="2211"/>
      <c r="AB63" s="2211"/>
      <c r="AC63" s="2211"/>
      <c r="AD63" s="2211"/>
      <c r="AE63" s="2211"/>
      <c r="AF63" s="2211"/>
      <c r="AG63" s="2211"/>
      <c r="AH63" s="2211"/>
      <c r="AI63" s="2211"/>
      <c r="AJ63" s="2211"/>
      <c r="AK63" s="2211"/>
      <c r="AL63" s="2211"/>
      <c r="AM63" s="2211"/>
    </row>
    <row r="64" spans="1:39" s="2224" customFormat="1">
      <c r="A64" s="1442"/>
      <c r="D64" s="2225"/>
      <c r="K64" s="2226"/>
      <c r="L64" s="2226"/>
    </row>
    <row r="65" spans="1:12" s="2224" customFormat="1">
      <c r="A65" s="1442"/>
      <c r="D65" s="2225"/>
      <c r="K65" s="2226"/>
      <c r="L65" s="2226"/>
    </row>
    <row r="66" spans="1:12" s="2224" customFormat="1">
      <c r="A66" s="1442"/>
      <c r="D66" s="2225"/>
      <c r="K66" s="2226"/>
      <c r="L66" s="2226"/>
    </row>
    <row r="67" spans="1:12" s="2224" customFormat="1">
      <c r="A67" s="1442"/>
      <c r="D67" s="2225"/>
      <c r="K67" s="2226"/>
      <c r="L67" s="2226"/>
    </row>
    <row r="68" spans="1:12" s="2224" customFormat="1">
      <c r="A68" s="1442"/>
      <c r="D68" s="2225"/>
      <c r="K68" s="2226"/>
      <c r="L68" s="2226"/>
    </row>
    <row r="69" spans="1:12" s="2224" customFormat="1">
      <c r="A69" s="1442"/>
      <c r="D69" s="2225"/>
      <c r="K69" s="2226"/>
      <c r="L69" s="2226"/>
    </row>
    <row r="70" spans="1:12" s="2224" customFormat="1">
      <c r="A70" s="1442"/>
      <c r="D70" s="2225"/>
      <c r="K70" s="2226"/>
      <c r="L70" s="2226"/>
    </row>
    <row r="71" spans="1:12" s="2224" customFormat="1">
      <c r="A71" s="1442"/>
      <c r="D71" s="2225"/>
      <c r="K71" s="2226"/>
      <c r="L71" s="2226"/>
    </row>
    <row r="72" spans="1:12" s="2224" customFormat="1">
      <c r="A72" s="1442"/>
      <c r="D72" s="2225"/>
      <c r="K72" s="2226"/>
      <c r="L72" s="2226"/>
    </row>
    <row r="73" spans="1:12" s="2224" customFormat="1">
      <c r="A73" s="1442"/>
      <c r="D73" s="2225"/>
      <c r="K73" s="2226"/>
      <c r="L73" s="2226"/>
    </row>
    <row r="74" spans="1:12" s="2224" customFormat="1">
      <c r="A74" s="1442"/>
      <c r="D74" s="2225"/>
      <c r="K74" s="2226"/>
      <c r="L74" s="2226"/>
    </row>
    <row r="75" spans="1:12" s="2224" customFormat="1">
      <c r="A75" s="1442"/>
      <c r="D75" s="2225"/>
      <c r="K75" s="2226"/>
      <c r="L75" s="2226"/>
    </row>
    <row r="76" spans="1:12" s="2224" customFormat="1">
      <c r="A76" s="1442"/>
      <c r="D76" s="2225"/>
      <c r="K76" s="2226"/>
      <c r="L76" s="2226"/>
    </row>
    <row r="77" spans="1:12" s="2224" customFormat="1">
      <c r="A77" s="1442"/>
      <c r="D77" s="2225"/>
      <c r="K77" s="2226"/>
      <c r="L77" s="2226"/>
    </row>
    <row r="78" spans="1:12" s="2224" customFormat="1">
      <c r="A78" s="1442"/>
      <c r="D78" s="2225"/>
      <c r="K78" s="2226"/>
      <c r="L78" s="2226"/>
    </row>
    <row r="79" spans="1:12" s="2224" customFormat="1">
      <c r="A79" s="1442"/>
      <c r="D79" s="2225"/>
      <c r="K79" s="2226"/>
      <c r="L79" s="2226"/>
    </row>
    <row r="80" spans="1:12" s="2224" customFormat="1">
      <c r="A80" s="1442"/>
      <c r="D80" s="2225"/>
      <c r="K80" s="2226"/>
      <c r="L80" s="2226"/>
    </row>
    <row r="81" spans="1:12" s="2224" customFormat="1">
      <c r="A81" s="1442"/>
      <c r="D81" s="2225"/>
      <c r="K81" s="2226"/>
      <c r="L81" s="2226"/>
    </row>
    <row r="82" spans="1:12" s="2224" customFormat="1">
      <c r="A82" s="1442"/>
      <c r="D82" s="2225"/>
      <c r="K82" s="2226"/>
      <c r="L82" s="2226"/>
    </row>
    <row r="83" spans="1:12" s="2224" customFormat="1">
      <c r="A83" s="1442"/>
      <c r="D83" s="2225"/>
      <c r="K83" s="2226"/>
      <c r="L83" s="2226"/>
    </row>
    <row r="84" spans="1:12" s="2224" customFormat="1">
      <c r="A84" s="1442"/>
      <c r="D84" s="2225"/>
      <c r="K84" s="2226"/>
      <c r="L84" s="2226"/>
    </row>
    <row r="85" spans="1:12" s="2224" customFormat="1">
      <c r="A85" s="1442"/>
      <c r="D85" s="2225"/>
      <c r="K85" s="2226"/>
      <c r="L85" s="2226"/>
    </row>
    <row r="86" spans="1:12" s="2224" customFormat="1">
      <c r="A86" s="1442"/>
      <c r="D86" s="2225"/>
      <c r="K86" s="2226"/>
      <c r="L86" s="2226"/>
    </row>
    <row r="87" spans="1:12" s="2224" customFormat="1">
      <c r="A87" s="1442"/>
      <c r="D87" s="2225"/>
      <c r="K87" s="2226"/>
      <c r="L87" s="2226"/>
    </row>
    <row r="88" spans="1:12" s="2224" customFormat="1">
      <c r="A88" s="1442"/>
      <c r="D88" s="2225"/>
      <c r="K88" s="2226"/>
      <c r="L88" s="2226"/>
    </row>
    <row r="89" spans="1:12" s="2224" customFormat="1">
      <c r="A89" s="1442"/>
      <c r="D89" s="2225"/>
      <c r="K89" s="2226"/>
      <c r="L89" s="2226"/>
    </row>
    <row r="90" spans="1:12" s="2224" customFormat="1">
      <c r="A90" s="1442"/>
      <c r="D90" s="2225"/>
      <c r="K90" s="2226"/>
      <c r="L90" s="2226"/>
    </row>
    <row r="91" spans="1:12" s="2224" customFormat="1">
      <c r="A91" s="1442"/>
      <c r="D91" s="2225"/>
      <c r="K91" s="2226"/>
      <c r="L91" s="2226"/>
    </row>
    <row r="92" spans="1:12" s="2224" customFormat="1">
      <c r="A92" s="1442"/>
      <c r="D92" s="2225"/>
      <c r="K92" s="2226"/>
      <c r="L92" s="2226"/>
    </row>
    <row r="93" spans="1:12" s="2224" customFormat="1">
      <c r="A93" s="1442"/>
      <c r="D93" s="2225"/>
      <c r="K93" s="2226"/>
      <c r="L93" s="2226"/>
    </row>
    <row r="94" spans="1:12" s="2224" customFormat="1">
      <c r="A94" s="1442"/>
      <c r="D94" s="2225"/>
      <c r="K94" s="2226"/>
      <c r="L94" s="2226"/>
    </row>
    <row r="95" spans="1:12" s="2224" customFormat="1">
      <c r="A95" s="1442"/>
      <c r="D95" s="2225"/>
      <c r="K95" s="2226"/>
      <c r="L95" s="2226"/>
    </row>
    <row r="96" spans="1:12" s="2224" customFormat="1">
      <c r="A96" s="1442"/>
      <c r="D96" s="2225"/>
      <c r="K96" s="2226"/>
      <c r="L96" s="2226"/>
    </row>
    <row r="97" spans="1:12" s="2224" customFormat="1">
      <c r="A97" s="1442"/>
      <c r="D97" s="2225"/>
      <c r="K97" s="2226"/>
      <c r="L97" s="2226"/>
    </row>
    <row r="98" spans="1:12" s="2224" customFormat="1">
      <c r="A98" s="1442"/>
      <c r="D98" s="2225"/>
      <c r="K98" s="2226"/>
      <c r="L98" s="2226"/>
    </row>
    <row r="99" spans="1:12" s="2224" customFormat="1">
      <c r="A99" s="1442"/>
      <c r="D99" s="2225"/>
      <c r="K99" s="2226"/>
      <c r="L99" s="2226"/>
    </row>
    <row r="100" spans="1:12" s="2224" customFormat="1">
      <c r="A100" s="1442"/>
      <c r="D100" s="2225"/>
      <c r="K100" s="2226"/>
      <c r="L100" s="2226"/>
    </row>
    <row r="101" spans="1:12" s="2224" customFormat="1">
      <c r="A101" s="1442"/>
      <c r="D101" s="2225"/>
      <c r="K101" s="2226"/>
      <c r="L101" s="2226"/>
    </row>
    <row r="102" spans="1:12" s="2224" customFormat="1">
      <c r="A102" s="1442"/>
      <c r="D102" s="2225"/>
      <c r="K102" s="2226"/>
      <c r="L102" s="2226"/>
    </row>
    <row r="103" spans="1:12" s="2224" customFormat="1">
      <c r="A103" s="1442"/>
      <c r="D103" s="2225"/>
      <c r="K103" s="2226"/>
      <c r="L103" s="2226"/>
    </row>
    <row r="104" spans="1:12" s="2224" customFormat="1">
      <c r="A104" s="1442"/>
      <c r="D104" s="2225"/>
      <c r="K104" s="2226"/>
      <c r="L104" s="2226"/>
    </row>
    <row r="105" spans="1:12" s="2224" customFormat="1">
      <c r="A105" s="1442"/>
      <c r="D105" s="2225"/>
      <c r="K105" s="2226"/>
      <c r="L105" s="2226"/>
    </row>
    <row r="106" spans="1:12" s="2224" customFormat="1">
      <c r="A106" s="1442"/>
      <c r="D106" s="2225"/>
      <c r="K106" s="2226"/>
      <c r="L106" s="2226"/>
    </row>
    <row r="107" spans="1:12" s="2224" customFormat="1">
      <c r="A107" s="1442"/>
      <c r="D107" s="2225"/>
      <c r="K107" s="2226"/>
      <c r="L107" s="2226"/>
    </row>
    <row r="108" spans="1:12" s="2224" customFormat="1">
      <c r="A108" s="1442"/>
      <c r="D108" s="2225"/>
      <c r="K108" s="2226"/>
      <c r="L108" s="2226"/>
    </row>
    <row r="109" spans="1:12" s="2224" customFormat="1">
      <c r="A109" s="1442"/>
      <c r="D109" s="2225"/>
      <c r="K109" s="2226"/>
      <c r="L109" s="2226"/>
    </row>
    <row r="110" spans="1:12" s="2224" customFormat="1">
      <c r="A110" s="1442"/>
      <c r="D110" s="2225"/>
      <c r="K110" s="2226"/>
      <c r="L110" s="2226"/>
    </row>
    <row r="111" spans="1:12" s="2224" customFormat="1">
      <c r="A111" s="1442"/>
      <c r="D111" s="2225"/>
      <c r="K111" s="2226"/>
      <c r="L111" s="2226"/>
    </row>
    <row r="112" spans="1:12" s="2224" customFormat="1">
      <c r="A112" s="1442"/>
      <c r="D112" s="2225"/>
      <c r="K112" s="2226"/>
      <c r="L112" s="2226"/>
    </row>
    <row r="113" spans="1:12" s="2224" customFormat="1">
      <c r="A113" s="1442"/>
      <c r="D113" s="2225"/>
      <c r="K113" s="2226"/>
      <c r="L113" s="2226"/>
    </row>
    <row r="114" spans="1:12" s="2224" customFormat="1">
      <c r="A114" s="1442"/>
      <c r="D114" s="2225"/>
      <c r="K114" s="2226"/>
      <c r="L114" s="2226"/>
    </row>
    <row r="115" spans="1:12" s="2224" customFormat="1">
      <c r="A115" s="1442"/>
      <c r="D115" s="2225"/>
      <c r="K115" s="2226"/>
      <c r="L115" s="2226"/>
    </row>
    <row r="116" spans="1:12" s="2224" customFormat="1">
      <c r="A116" s="1442"/>
      <c r="D116" s="2225"/>
      <c r="K116" s="2226"/>
      <c r="L116" s="2226"/>
    </row>
    <row r="117" spans="1:12" s="2224" customFormat="1">
      <c r="A117" s="1442"/>
      <c r="D117" s="2225"/>
      <c r="K117" s="2226"/>
      <c r="L117" s="2226"/>
    </row>
    <row r="118" spans="1:12" s="2224" customFormat="1">
      <c r="A118" s="1442"/>
      <c r="D118" s="2225"/>
      <c r="K118" s="2226"/>
      <c r="L118" s="2226"/>
    </row>
    <row r="119" spans="1:12" s="2224" customFormat="1">
      <c r="A119" s="1442"/>
      <c r="D119" s="2225"/>
      <c r="K119" s="2226"/>
      <c r="L119" s="2226"/>
    </row>
    <row r="120" spans="1:12" s="2224" customFormat="1">
      <c r="A120" s="1442"/>
      <c r="D120" s="2225"/>
      <c r="K120" s="2226"/>
      <c r="L120" s="2226"/>
    </row>
    <row r="121" spans="1:12" s="2224" customFormat="1">
      <c r="A121" s="1442"/>
      <c r="D121" s="2225"/>
      <c r="K121" s="2226"/>
      <c r="L121" s="2226"/>
    </row>
    <row r="122" spans="1:12" s="2224" customFormat="1">
      <c r="A122" s="1442"/>
      <c r="D122" s="2225"/>
      <c r="K122" s="2226"/>
      <c r="L122" s="2226"/>
    </row>
    <row r="123" spans="1:12" s="2224" customFormat="1">
      <c r="A123" s="1442"/>
      <c r="D123" s="2225"/>
      <c r="K123" s="2226"/>
      <c r="L123" s="2226"/>
    </row>
    <row r="124" spans="1:12" s="2224" customFormat="1">
      <c r="A124" s="1442"/>
      <c r="D124" s="2225"/>
      <c r="K124" s="2226"/>
      <c r="L124" s="2226"/>
    </row>
    <row r="125" spans="1:12" s="2224" customFormat="1">
      <c r="A125" s="1442"/>
      <c r="D125" s="2225"/>
      <c r="K125" s="2226"/>
      <c r="L125" s="2226"/>
    </row>
    <row r="126" spans="1:12" s="2224" customFormat="1">
      <c r="A126" s="1442"/>
      <c r="D126" s="2225"/>
      <c r="K126" s="2226"/>
      <c r="L126" s="2226"/>
    </row>
    <row r="127" spans="1:12" s="2224" customFormat="1">
      <c r="A127" s="1442"/>
      <c r="D127" s="2225"/>
      <c r="K127" s="2226"/>
      <c r="L127" s="2226"/>
    </row>
    <row r="128" spans="1:12" s="2224" customFormat="1">
      <c r="A128" s="1442"/>
      <c r="D128" s="2225"/>
      <c r="K128" s="2226"/>
      <c r="L128" s="2226"/>
    </row>
    <row r="129" spans="1:12" s="2224" customFormat="1">
      <c r="A129" s="1442"/>
      <c r="D129" s="2225"/>
      <c r="K129" s="2226"/>
      <c r="L129" s="2226"/>
    </row>
    <row r="130" spans="1:12" s="2224" customFormat="1">
      <c r="A130" s="1442"/>
      <c r="D130" s="2225"/>
      <c r="K130" s="2226"/>
      <c r="L130" s="2226"/>
    </row>
    <row r="131" spans="1:12" s="2224" customFormat="1">
      <c r="A131" s="1442"/>
      <c r="D131" s="2225"/>
      <c r="K131" s="2226"/>
      <c r="L131" s="2226"/>
    </row>
    <row r="132" spans="1:12" s="2224" customFormat="1">
      <c r="A132" s="1442"/>
      <c r="D132" s="2225"/>
      <c r="K132" s="2226"/>
      <c r="L132" s="2226"/>
    </row>
    <row r="133" spans="1:12" s="2224" customFormat="1">
      <c r="A133" s="1442"/>
      <c r="D133" s="2225"/>
      <c r="K133" s="2226"/>
      <c r="L133" s="2226"/>
    </row>
    <row r="134" spans="1:12" s="2220" customFormat="1">
      <c r="A134" s="2227"/>
      <c r="D134" s="2228"/>
      <c r="K134" s="2229"/>
      <c r="L134" s="2229"/>
    </row>
    <row r="135" spans="1:12" s="2220" customFormat="1">
      <c r="A135" s="2227"/>
      <c r="D135" s="2228"/>
      <c r="K135" s="2229"/>
      <c r="L135" s="2229"/>
    </row>
    <row r="136" spans="1:12" s="2220" customFormat="1">
      <c r="A136" s="2227"/>
      <c r="D136" s="2228"/>
      <c r="K136" s="2229"/>
      <c r="L136" s="2229"/>
    </row>
    <row r="137" spans="1:12" s="2220" customFormat="1">
      <c r="A137" s="2227"/>
      <c r="D137" s="2228"/>
      <c r="K137" s="2229"/>
      <c r="L137" s="2229"/>
    </row>
    <row r="138" spans="1:12" s="2220" customFormat="1">
      <c r="A138" s="2227"/>
      <c r="D138" s="2228"/>
      <c r="K138" s="2229"/>
      <c r="L138" s="2229"/>
    </row>
    <row r="139" spans="1:12" s="2220" customFormat="1">
      <c r="A139" s="2227"/>
      <c r="D139" s="2228"/>
      <c r="K139" s="2229"/>
      <c r="L139" s="2229"/>
    </row>
    <row r="140" spans="1:12" s="2220" customFormat="1">
      <c r="A140" s="2227"/>
      <c r="D140" s="2228"/>
      <c r="K140" s="2229"/>
      <c r="L140" s="2229"/>
    </row>
    <row r="141" spans="1:12" s="2220" customFormat="1">
      <c r="A141" s="2227"/>
      <c r="D141" s="2228"/>
      <c r="K141" s="2229"/>
      <c r="L141" s="2229"/>
    </row>
    <row r="142" spans="1:12" s="2220" customFormat="1">
      <c r="A142" s="2227"/>
      <c r="D142" s="2228"/>
      <c r="K142" s="2229"/>
      <c r="L142" s="2229"/>
    </row>
    <row r="143" spans="1:12" s="2220" customFormat="1">
      <c r="A143" s="2227"/>
      <c r="D143" s="2228"/>
      <c r="K143" s="2229"/>
      <c r="L143" s="2229"/>
    </row>
    <row r="144" spans="1:12" s="2220" customFormat="1">
      <c r="A144" s="2227"/>
      <c r="D144" s="2228"/>
      <c r="K144" s="2229"/>
      <c r="L144" s="2229"/>
    </row>
    <row r="145" spans="1:12" s="2220" customFormat="1">
      <c r="A145" s="2227"/>
      <c r="D145" s="2228"/>
      <c r="K145" s="2229"/>
      <c r="L145" s="2229"/>
    </row>
    <row r="146" spans="1:12" s="2220" customFormat="1">
      <c r="A146" s="2227"/>
      <c r="D146" s="2228"/>
      <c r="K146" s="2229"/>
      <c r="L146" s="2229"/>
    </row>
    <row r="147" spans="1:12" s="2220" customFormat="1">
      <c r="A147" s="2227"/>
      <c r="D147" s="2228"/>
      <c r="K147" s="2229"/>
      <c r="L147" s="2229"/>
    </row>
    <row r="148" spans="1:12" s="2220" customFormat="1">
      <c r="A148" s="2227"/>
      <c r="D148" s="2228"/>
      <c r="K148" s="2229"/>
      <c r="L148" s="2229"/>
    </row>
    <row r="149" spans="1:12" s="2220" customFormat="1">
      <c r="A149" s="2227"/>
      <c r="D149" s="2228"/>
      <c r="K149" s="2229"/>
      <c r="L149" s="2229"/>
    </row>
    <row r="150" spans="1:12" s="2220" customFormat="1">
      <c r="A150" s="2227"/>
      <c r="D150" s="2228"/>
      <c r="K150" s="2229"/>
      <c r="L150" s="2229"/>
    </row>
    <row r="151" spans="1:12" s="2220" customFormat="1">
      <c r="A151" s="2227"/>
      <c r="D151" s="2228"/>
      <c r="K151" s="2229"/>
      <c r="L151" s="2229"/>
    </row>
    <row r="152" spans="1:12" s="2220" customFormat="1">
      <c r="A152" s="2227"/>
      <c r="D152" s="2228"/>
      <c r="K152" s="2229"/>
      <c r="L152" s="2229"/>
    </row>
    <row r="153" spans="1:12" s="2220" customFormat="1">
      <c r="A153" s="2227"/>
      <c r="D153" s="2228"/>
      <c r="K153" s="2229"/>
      <c r="L153" s="2229"/>
    </row>
    <row r="154" spans="1:12" s="2220" customFormat="1">
      <c r="A154" s="2227"/>
      <c r="D154" s="2228"/>
      <c r="K154" s="2229"/>
      <c r="L154" s="2229"/>
    </row>
    <row r="155" spans="1:12" s="2220" customFormat="1">
      <c r="A155" s="2227"/>
      <c r="D155" s="2228"/>
      <c r="K155" s="2229"/>
      <c r="L155" s="2229"/>
    </row>
    <row r="156" spans="1:12" s="2220" customFormat="1">
      <c r="A156" s="2227"/>
      <c r="D156" s="2228"/>
      <c r="K156" s="2229"/>
      <c r="L156" s="2229"/>
    </row>
    <row r="157" spans="1:12" s="2220" customFormat="1">
      <c r="A157" s="2227"/>
      <c r="D157" s="2228"/>
      <c r="K157" s="2229"/>
      <c r="L157" s="2229"/>
    </row>
    <row r="158" spans="1:12" s="2220" customFormat="1">
      <c r="A158" s="2227"/>
      <c r="D158" s="2228"/>
      <c r="K158" s="2229"/>
      <c r="L158" s="2229"/>
    </row>
    <row r="159" spans="1:12" s="2220" customFormat="1">
      <c r="A159" s="2227"/>
      <c r="D159" s="2228"/>
      <c r="K159" s="2229"/>
      <c r="L159" s="2229"/>
    </row>
    <row r="160" spans="1:12" s="2220" customFormat="1">
      <c r="A160" s="2227"/>
      <c r="D160" s="2228"/>
      <c r="K160" s="2229"/>
      <c r="L160" s="2229"/>
    </row>
    <row r="161" spans="1:12" s="2220" customFormat="1">
      <c r="A161" s="2227"/>
      <c r="D161" s="2228"/>
      <c r="K161" s="2229"/>
      <c r="L161" s="2229"/>
    </row>
    <row r="162" spans="1:12" s="2220" customFormat="1">
      <c r="A162" s="2227"/>
      <c r="D162" s="2228"/>
      <c r="K162" s="2229"/>
      <c r="L162" s="2229"/>
    </row>
    <row r="163" spans="1:12" s="2220" customFormat="1">
      <c r="A163" s="2227"/>
      <c r="D163" s="2228"/>
      <c r="K163" s="2229"/>
      <c r="L163" s="2229"/>
    </row>
    <row r="164" spans="1:12" s="2220" customFormat="1">
      <c r="A164" s="2227"/>
      <c r="D164" s="2228"/>
      <c r="K164" s="2229"/>
      <c r="L164" s="2229"/>
    </row>
    <row r="165" spans="1:12" s="2220" customFormat="1">
      <c r="A165" s="2227"/>
      <c r="D165" s="2228"/>
      <c r="K165" s="2229"/>
      <c r="L165" s="2229"/>
    </row>
    <row r="166" spans="1:12" s="2220" customFormat="1">
      <c r="A166" s="2227"/>
      <c r="D166" s="2228"/>
      <c r="K166" s="2229"/>
      <c r="L166" s="2229"/>
    </row>
    <row r="167" spans="1:12" s="2220" customFormat="1">
      <c r="A167" s="2227"/>
      <c r="D167" s="2228"/>
      <c r="K167" s="2229"/>
      <c r="L167" s="2229"/>
    </row>
    <row r="168" spans="1:12" s="2220" customFormat="1">
      <c r="A168" s="2227"/>
      <c r="D168" s="2228"/>
      <c r="K168" s="2229"/>
      <c r="L168" s="2229"/>
    </row>
    <row r="169" spans="1:12" s="2220" customFormat="1">
      <c r="A169" s="2227"/>
      <c r="D169" s="2228"/>
      <c r="K169" s="2229"/>
      <c r="L169" s="2229"/>
    </row>
    <row r="170" spans="1:12" s="2220" customFormat="1">
      <c r="A170" s="2227"/>
      <c r="D170" s="2228"/>
      <c r="K170" s="2229"/>
      <c r="L170" s="2229"/>
    </row>
    <row r="171" spans="1:12" s="2220" customFormat="1">
      <c r="A171" s="2227"/>
      <c r="D171" s="2228"/>
      <c r="K171" s="2229"/>
      <c r="L171" s="2229"/>
    </row>
    <row r="172" spans="1:12" s="2220" customFormat="1">
      <c r="A172" s="2227"/>
      <c r="D172" s="2228"/>
      <c r="K172" s="2229"/>
      <c r="L172" s="2229"/>
    </row>
    <row r="173" spans="1:12" s="2220" customFormat="1">
      <c r="A173" s="2227"/>
      <c r="D173" s="2228"/>
      <c r="K173" s="2229"/>
      <c r="L173" s="2229"/>
    </row>
    <row r="174" spans="1:12" s="2220" customFormat="1">
      <c r="A174" s="2227"/>
      <c r="D174" s="2228"/>
      <c r="K174" s="2229"/>
      <c r="L174" s="222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06" customWidth="1"/>
    <col min="2" max="2" width="24.5" style="2255" customWidth="1"/>
    <col min="3" max="3" width="24.5" style="2256" customWidth="1"/>
    <col min="4" max="4" width="2.625" style="2256" customWidth="1"/>
    <col min="5" max="5" width="5.875" style="2256" customWidth="1"/>
    <col min="6" max="6" width="27" style="2255" customWidth="1"/>
    <col min="7" max="7" width="27" style="2257" customWidth="1"/>
    <col min="8" max="8" width="11.875" style="2250" customWidth="1"/>
    <col min="9" max="9" width="16.75" style="2251" customWidth="1"/>
    <col min="10" max="10" width="2.625" style="2250" customWidth="1"/>
    <col min="11" max="11" width="11.875" style="2250" customWidth="1"/>
    <col min="12" max="12" width="16.75" style="2251" customWidth="1"/>
    <col min="13" max="13" width="2.625" style="2250" customWidth="1"/>
    <col min="14" max="14" width="11.875" style="2250" customWidth="1"/>
    <col min="15" max="15" width="16.75" style="2251" customWidth="1"/>
    <col min="16" max="16" width="2.625" style="2250" customWidth="1"/>
    <col min="17" max="17" width="11.875" style="2250" customWidth="1"/>
    <col min="18" max="18" width="16.75" style="2252" customWidth="1"/>
    <col min="19" max="29" width="9" style="2237"/>
    <col min="30" max="16384" width="9" style="2206"/>
  </cols>
  <sheetData>
    <row r="1" spans="1:29" s="2235" customFormat="1" ht="19.5" thickBot="1">
      <c r="A1" s="3475" t="s">
        <v>748</v>
      </c>
      <c r="B1" s="3476"/>
      <c r="C1" s="3476"/>
      <c r="D1" s="3476"/>
      <c r="E1" s="3476"/>
      <c r="F1" s="3476"/>
      <c r="G1" s="3476"/>
      <c r="H1" s="2230"/>
      <c r="I1" s="2231"/>
      <c r="J1" s="2230"/>
      <c r="K1" s="2230"/>
      <c r="L1" s="2231"/>
      <c r="M1" s="2230"/>
      <c r="N1" s="2230"/>
      <c r="O1" s="2231"/>
      <c r="P1" s="2230"/>
      <c r="Q1" s="2232"/>
      <c r="R1" s="2233"/>
      <c r="S1" s="2234"/>
      <c r="T1" s="2234"/>
      <c r="U1" s="2234"/>
      <c r="V1" s="2234"/>
      <c r="W1" s="2234"/>
      <c r="X1" s="2234"/>
      <c r="Y1" s="2234"/>
      <c r="Z1" s="2234"/>
      <c r="AA1" s="2234"/>
      <c r="AB1" s="2234"/>
      <c r="AC1" s="2234"/>
    </row>
    <row r="2" spans="1:29" ht="14.25" thickBot="1">
      <c r="A2" s="1199"/>
      <c r="B2" s="1200"/>
      <c r="C2" s="1201" t="s">
        <v>749</v>
      </c>
      <c r="D2" s="1202"/>
      <c r="E2" s="1203"/>
      <c r="F2" s="1190"/>
      <c r="G2" s="1201" t="s">
        <v>750</v>
      </c>
      <c r="H2" s="2237"/>
      <c r="I2" s="2237"/>
      <c r="J2" s="2237"/>
      <c r="K2" s="2237"/>
      <c r="L2" s="2237"/>
      <c r="M2" s="2237"/>
      <c r="N2" s="2237"/>
      <c r="O2" s="2237"/>
      <c r="P2" s="2237"/>
      <c r="Q2" s="2237"/>
      <c r="R2" s="2237"/>
    </row>
    <row r="3" spans="1:29" ht="54">
      <c r="A3" s="1013" t="s">
        <v>751</v>
      </c>
      <c r="B3" s="51" t="s">
        <v>52</v>
      </c>
      <c r="C3" s="3350" t="s">
        <v>3072</v>
      </c>
      <c r="D3" s="2238"/>
      <c r="E3" s="1020" t="s">
        <v>751</v>
      </c>
      <c r="F3" s="1204" t="s">
        <v>99</v>
      </c>
      <c r="G3" s="3274" t="s">
        <v>3007</v>
      </c>
      <c r="H3" s="2237"/>
      <c r="I3" s="2237"/>
      <c r="J3" s="2237"/>
      <c r="K3" s="2237"/>
      <c r="L3" s="2237"/>
      <c r="M3" s="2237"/>
      <c r="N3" s="2237"/>
      <c r="O3" s="2237"/>
      <c r="P3" s="2237"/>
      <c r="Q3" s="2237"/>
      <c r="R3" s="2237"/>
    </row>
    <row r="4" spans="1:29" ht="67.5">
      <c r="A4" s="1020"/>
      <c r="B4" s="2193" t="s">
        <v>752</v>
      </c>
      <c r="C4" s="3351" t="s">
        <v>3073</v>
      </c>
      <c r="D4" s="2238"/>
      <c r="E4" s="1205"/>
      <c r="F4" s="2197" t="s">
        <v>753</v>
      </c>
      <c r="G4" s="3273" t="s">
        <v>754</v>
      </c>
      <c r="H4" s="2237"/>
      <c r="I4" s="2237"/>
      <c r="J4" s="2237"/>
      <c r="K4" s="2237"/>
      <c r="L4" s="2237"/>
      <c r="M4" s="2237"/>
      <c r="N4" s="2237"/>
      <c r="O4" s="2237"/>
      <c r="P4" s="2237"/>
      <c r="Q4" s="2237"/>
      <c r="R4" s="2237"/>
    </row>
    <row r="5" spans="1:29" ht="27">
      <c r="A5" s="1020"/>
      <c r="B5" s="2193" t="s">
        <v>755</v>
      </c>
      <c r="C5" s="3351" t="s">
        <v>3074</v>
      </c>
      <c r="D5" s="2238"/>
      <c r="E5" s="1205"/>
      <c r="F5" s="2726" t="s">
        <v>2624</v>
      </c>
      <c r="G5" s="3273" t="s">
        <v>2626</v>
      </c>
      <c r="H5" s="2237"/>
      <c r="I5" s="2237"/>
      <c r="J5" s="2237"/>
      <c r="K5" s="2237"/>
      <c r="L5" s="2237"/>
      <c r="M5" s="2237"/>
      <c r="N5" s="2237"/>
      <c r="O5" s="2237"/>
      <c r="P5" s="2237"/>
      <c r="Q5" s="2237"/>
      <c r="R5" s="2237"/>
    </row>
    <row r="6" spans="1:29" ht="40.5">
      <c r="A6" s="1020"/>
      <c r="B6" s="2193" t="s">
        <v>72</v>
      </c>
      <c r="C6" s="3352" t="s">
        <v>3075</v>
      </c>
      <c r="D6" s="2238"/>
      <c r="E6" s="1205"/>
      <c r="F6" s="2726" t="s">
        <v>2623</v>
      </c>
      <c r="G6" s="3273" t="s">
        <v>2625</v>
      </c>
      <c r="H6" s="2237"/>
      <c r="I6" s="2237"/>
      <c r="J6" s="2237"/>
      <c r="K6" s="2237"/>
      <c r="L6" s="2237"/>
      <c r="M6" s="2237"/>
      <c r="N6" s="2237"/>
      <c r="O6" s="2237"/>
      <c r="P6" s="2237"/>
      <c r="Q6" s="2237"/>
      <c r="R6" s="2237"/>
    </row>
    <row r="7" spans="1:29" ht="41.25" thickBot="1">
      <c r="A7" s="1020"/>
      <c r="B7" s="2193" t="s">
        <v>2624</v>
      </c>
      <c r="C7" s="3354" t="s">
        <v>3076</v>
      </c>
      <c r="D7" s="2239"/>
      <c r="E7" s="1206"/>
      <c r="F7" s="1207" t="s">
        <v>734</v>
      </c>
      <c r="G7" s="3275" t="s">
        <v>3008</v>
      </c>
      <c r="H7" s="2237"/>
      <c r="I7" s="2237"/>
      <c r="J7" s="2237"/>
      <c r="K7" s="2237"/>
      <c r="L7" s="2237"/>
      <c r="M7" s="2237"/>
      <c r="N7" s="2237"/>
      <c r="O7" s="2237"/>
      <c r="P7" s="2237"/>
      <c r="Q7" s="2237"/>
      <c r="R7" s="2237"/>
    </row>
    <row r="8" spans="1:29">
      <c r="A8" s="1020"/>
      <c r="B8" s="2726" t="s">
        <v>2623</v>
      </c>
      <c r="C8" s="3354" t="s">
        <v>3077</v>
      </c>
      <c r="D8" s="2239"/>
      <c r="E8" s="2239"/>
      <c r="F8" s="2240"/>
      <c r="G8" s="2240"/>
      <c r="H8" s="2237"/>
      <c r="I8" s="2237"/>
      <c r="J8" s="2237"/>
      <c r="K8" s="2237"/>
      <c r="L8" s="2237"/>
      <c r="M8" s="2237"/>
      <c r="N8" s="2237"/>
      <c r="O8" s="2237"/>
      <c r="P8" s="2237"/>
      <c r="Q8" s="2237"/>
      <c r="R8" s="2237"/>
    </row>
    <row r="9" spans="1:29" ht="40.5">
      <c r="A9" s="1020"/>
      <c r="B9" s="2193" t="s">
        <v>73</v>
      </c>
      <c r="C9" s="3355" t="s">
        <v>3078</v>
      </c>
      <c r="D9" s="2238"/>
      <c r="E9" s="2239"/>
      <c r="F9" s="2240"/>
      <c r="G9" s="2240"/>
      <c r="H9" s="2237"/>
      <c r="I9" s="2237"/>
      <c r="J9" s="2237"/>
      <c r="K9" s="2237"/>
      <c r="L9" s="2237"/>
      <c r="M9" s="2237"/>
      <c r="N9" s="2237"/>
      <c r="O9" s="2237"/>
      <c r="P9" s="2237"/>
      <c r="Q9" s="2237"/>
      <c r="R9" s="2237"/>
    </row>
    <row r="10" spans="1:29" s="40" customFormat="1" ht="14.25" thickBot="1">
      <c r="A10" s="1209"/>
      <c r="B10" s="1210" t="s">
        <v>735</v>
      </c>
      <c r="C10" s="3353" t="s">
        <v>3079</v>
      </c>
      <c r="D10" s="2238"/>
      <c r="E10" s="2238"/>
      <c r="F10" s="2240"/>
      <c r="G10" s="2240"/>
      <c r="H10" s="2242"/>
      <c r="I10" s="2243"/>
      <c r="J10" s="2244"/>
      <c r="K10" s="2242"/>
      <c r="L10" s="2243"/>
      <c r="M10" s="2244"/>
      <c r="N10" s="2242"/>
      <c r="O10" s="2243"/>
      <c r="P10" s="2244"/>
      <c r="Q10" s="2242"/>
      <c r="R10" s="2243"/>
      <c r="S10" s="2237"/>
      <c r="T10" s="2237"/>
      <c r="U10" s="2237"/>
      <c r="V10" s="2237"/>
      <c r="W10" s="2237"/>
      <c r="X10" s="2237"/>
      <c r="Y10" s="2237"/>
      <c r="Z10" s="2237"/>
      <c r="AA10" s="2237"/>
      <c r="AB10" s="2237"/>
      <c r="AC10" s="2237"/>
    </row>
    <row r="11" spans="1:29" s="40" customFormat="1">
      <c r="A11" s="2241"/>
      <c r="B11" s="2239"/>
      <c r="C11" s="2238"/>
      <c r="D11" s="2238"/>
      <c r="E11" s="2238"/>
      <c r="F11" s="2239"/>
      <c r="G11" s="1377"/>
      <c r="H11" s="2242"/>
      <c r="I11" s="2243"/>
      <c r="J11" s="2244"/>
      <c r="K11" s="2242"/>
      <c r="L11" s="2243"/>
      <c r="M11" s="2244"/>
      <c r="N11" s="2242"/>
      <c r="O11" s="2243"/>
      <c r="P11" s="2244"/>
      <c r="Q11" s="2242"/>
      <c r="R11" s="2243"/>
      <c r="S11" s="2237"/>
      <c r="T11" s="2237"/>
      <c r="U11" s="2237"/>
      <c r="V11" s="2237"/>
      <c r="W11" s="2237"/>
      <c r="X11" s="2237"/>
      <c r="Y11" s="2237"/>
      <c r="Z11" s="2237"/>
      <c r="AA11" s="2237"/>
      <c r="AB11" s="2237"/>
      <c r="AC11" s="2237"/>
    </row>
    <row r="12" spans="1:29" s="2235" customFormat="1" ht="18.75">
      <c r="A12" s="2241"/>
      <c r="B12" s="2239"/>
      <c r="C12" s="2238"/>
      <c r="D12" s="2724"/>
      <c r="E12" s="2238"/>
      <c r="F12" s="2239"/>
      <c r="G12" s="1377"/>
      <c r="H12" s="2245"/>
      <c r="I12" s="2246"/>
      <c r="J12" s="2245"/>
      <c r="K12" s="2245"/>
      <c r="L12" s="2247"/>
      <c r="M12" s="2245"/>
      <c r="N12" s="2248"/>
      <c r="O12" s="2249"/>
      <c r="P12" s="2248"/>
      <c r="Q12" s="2248"/>
      <c r="R12" s="2233"/>
      <c r="S12" s="2234"/>
      <c r="T12" s="2234"/>
      <c r="U12" s="2234"/>
      <c r="V12" s="2234"/>
      <c r="W12" s="2234"/>
      <c r="X12" s="2234"/>
      <c r="Y12" s="2234"/>
      <c r="Z12" s="2234"/>
      <c r="AA12" s="2234"/>
      <c r="AB12" s="2234"/>
      <c r="AC12" s="2234"/>
    </row>
    <row r="13" spans="1:29" ht="19.5" thickBot="1">
      <c r="A13" s="2723" t="s">
        <v>736</v>
      </c>
      <c r="B13" s="2724"/>
      <c r="C13" s="2724"/>
      <c r="D13" s="2236"/>
      <c r="E13" s="2724"/>
      <c r="F13" s="2724"/>
      <c r="G13" s="2724"/>
    </row>
    <row r="14" spans="1:29" ht="14.25" thickBot="1">
      <c r="A14" s="1211"/>
      <c r="B14" s="1212"/>
      <c r="C14" s="1213" t="s">
        <v>737</v>
      </c>
      <c r="D14" s="2238"/>
      <c r="E14" s="1214"/>
      <c r="F14" s="1214"/>
      <c r="G14" s="1201" t="s">
        <v>738</v>
      </c>
    </row>
    <row r="15" spans="1:29" ht="54">
      <c r="A15" s="46" t="s">
        <v>739</v>
      </c>
      <c r="B15" s="14" t="s">
        <v>52</v>
      </c>
      <c r="C15" s="1215" t="str">
        <f>C3</f>
        <v>估价对象周边有新安里、双河北里等住宅小区，综合评价居住社区成熟度较好</v>
      </c>
      <c r="D15" s="2238"/>
      <c r="E15" s="2739" t="s">
        <v>740</v>
      </c>
      <c r="F15" s="14" t="s">
        <v>741</v>
      </c>
      <c r="G15" s="1015" t="str">
        <f>G3</f>
        <v>估价对象位于XX开发区，园区建设成熟度XX，产业集聚程度XX</v>
      </c>
    </row>
    <row r="16" spans="1:29" ht="67.5">
      <c r="A16" s="2742"/>
      <c r="B16" s="1216" t="s">
        <v>742</v>
      </c>
      <c r="C16" s="1217" t="str">
        <f>C4</f>
        <v>估价对象周边2公里有帝园商城、星城商厦等商业项目，估价对象周边多为住宅配套商业，人流量一般，商业繁华度一般</v>
      </c>
      <c r="D16" s="2238"/>
      <c r="E16" s="2740"/>
      <c r="F16" s="1218" t="s">
        <v>743</v>
      </c>
      <c r="G16" s="1017" t="str">
        <f>G4</f>
        <v>估价对象周边道路状况、公共交通通达情况、停车便捷程度，综合评价交通便捷度较好</v>
      </c>
    </row>
    <row r="17" spans="1:18" ht="27">
      <c r="A17" s="2742"/>
      <c r="B17" s="1216" t="s">
        <v>744</v>
      </c>
      <c r="C17" s="1217" t="str">
        <f>C5</f>
        <v>估价对象周边办公楼项目较少，办公集聚程度较差</v>
      </c>
      <c r="D17" s="2239"/>
      <c r="E17" s="2740"/>
      <c r="F17" s="1218" t="s">
        <v>745</v>
      </c>
      <c r="G17" s="269"/>
    </row>
    <row r="18" spans="1:18" ht="40.5">
      <c r="A18" s="2742"/>
      <c r="B18" s="1218" t="s">
        <v>72</v>
      </c>
      <c r="C18" s="1017" t="str">
        <f>C6</f>
        <v>估价对象周边有849、兴23路等公交线路，综合评价交通便捷度一般</v>
      </c>
      <c r="D18" s="2239"/>
      <c r="E18" s="2740"/>
      <c r="F18" s="1218" t="s">
        <v>734</v>
      </c>
      <c r="G18" s="1017" t="str">
        <f>G7</f>
        <v>该园区内是否有污染型企业，绿化情况，卫生条件，整体环境状况判断</v>
      </c>
    </row>
    <row r="19" spans="1:18" ht="27">
      <c r="A19" s="2742"/>
      <c r="B19" s="1218" t="s">
        <v>91</v>
      </c>
      <c r="C19" s="269"/>
      <c r="D19" s="2238"/>
      <c r="E19" s="2740"/>
      <c r="F19" s="2726" t="s">
        <v>2624</v>
      </c>
      <c r="G19" s="1017" t="str">
        <f>G5</f>
        <v>估价对象所在区域公共配套设施齐备情况</v>
      </c>
    </row>
    <row r="20" spans="1:18" ht="40.5">
      <c r="A20" s="2742"/>
      <c r="B20" s="1218" t="s">
        <v>90</v>
      </c>
      <c r="C20" s="1217" t="str">
        <f>C9</f>
        <v>周边有北京广播电视大学、康庄公园；综合评价环境状况较好</v>
      </c>
      <c r="D20" s="2239"/>
      <c r="E20" s="2740"/>
      <c r="F20" s="2726" t="s">
        <v>2623</v>
      </c>
      <c r="G20" s="1017" t="str">
        <f>G6</f>
        <v>估价对象所在区域基础设施水平</v>
      </c>
    </row>
    <row r="21" spans="1:18" ht="27">
      <c r="A21" s="2742"/>
      <c r="B21" s="2726" t="s">
        <v>2624</v>
      </c>
      <c r="C21" s="1017" t="str">
        <f>C7</f>
        <v>估价对象所在区域公共配套设施齐备较齐备</v>
      </c>
      <c r="D21" s="2238"/>
      <c r="E21" s="2740"/>
      <c r="F21" s="1218" t="s">
        <v>89</v>
      </c>
      <c r="G21" s="281"/>
    </row>
    <row r="22" spans="1:18" ht="13.5" customHeight="1">
      <c r="A22" s="2742"/>
      <c r="B22" s="2726" t="s">
        <v>2623</v>
      </c>
      <c r="C22" s="1017" t="str">
        <f>C8</f>
        <v>区域基础设施水平达七通</v>
      </c>
      <c r="D22" s="2238"/>
      <c r="E22" s="2740"/>
      <c r="F22" s="1218" t="s">
        <v>746</v>
      </c>
      <c r="G22" s="269"/>
    </row>
    <row r="23" spans="1:18" s="2237" customFormat="1" ht="14.25" thickBot="1">
      <c r="A23" s="2742"/>
      <c r="B23" s="1218" t="s">
        <v>89</v>
      </c>
      <c r="C23" s="281"/>
      <c r="D23" s="2250"/>
      <c r="E23" s="2741"/>
      <c r="F23" s="1219" t="s">
        <v>747</v>
      </c>
      <c r="G23" s="282"/>
      <c r="H23" s="2250"/>
      <c r="I23" s="2251"/>
      <c r="J23" s="2250"/>
      <c r="K23" s="2250"/>
      <c r="L23" s="2251"/>
      <c r="M23" s="2250"/>
      <c r="N23" s="2250"/>
      <c r="O23" s="2251"/>
      <c r="P23" s="2250"/>
      <c r="Q23" s="2250"/>
      <c r="R23" s="2252"/>
    </row>
    <row r="24" spans="1:18" s="2237" customFormat="1" ht="14.25" thickBot="1">
      <c r="A24" s="2743"/>
      <c r="B24" s="1219" t="s">
        <v>88</v>
      </c>
      <c r="C24" s="1220" t="str">
        <f>C10</f>
        <v>城市次干道——清源东路</v>
      </c>
      <c r="D24" s="2250"/>
      <c r="E24" s="2253"/>
      <c r="F24" s="2253"/>
      <c r="G24" s="2254"/>
      <c r="H24" s="2250"/>
      <c r="I24" s="2251"/>
      <c r="J24" s="2250"/>
      <c r="K24" s="2250"/>
      <c r="L24" s="2251"/>
      <c r="M24" s="2250"/>
      <c r="N24" s="2250"/>
      <c r="O24" s="2251"/>
      <c r="P24" s="2250"/>
      <c r="Q24" s="2250"/>
      <c r="R24" s="2252"/>
    </row>
    <row r="25" spans="1:18" s="2237" customFormat="1">
      <c r="B25" s="2250"/>
      <c r="C25" s="2250"/>
      <c r="D25" s="2250"/>
      <c r="H25" s="2250"/>
      <c r="I25" s="2251"/>
      <c r="J25" s="2250"/>
      <c r="K25" s="2250"/>
      <c r="L25" s="2251"/>
      <c r="M25" s="2250"/>
      <c r="N25" s="2250"/>
      <c r="O25" s="2251"/>
      <c r="P25" s="2250"/>
      <c r="Q25" s="2250"/>
      <c r="R25" s="2252"/>
    </row>
    <row r="26" spans="1:18" s="2237" customFormat="1">
      <c r="B26" s="2250"/>
      <c r="C26" s="2250"/>
      <c r="D26" s="2250"/>
      <c r="H26" s="2250"/>
      <c r="I26" s="2251"/>
      <c r="J26" s="2250"/>
      <c r="K26" s="2250"/>
      <c r="L26" s="2251"/>
      <c r="M26" s="2250"/>
      <c r="N26" s="2250"/>
      <c r="O26" s="2251"/>
      <c r="P26" s="2250"/>
      <c r="Q26" s="2250"/>
      <c r="R26" s="2252"/>
    </row>
    <row r="27" spans="1:18" s="2237" customFormat="1">
      <c r="B27" s="2250"/>
      <c r="C27" s="2250"/>
      <c r="D27" s="2250"/>
      <c r="H27" s="2250"/>
      <c r="I27" s="2251"/>
      <c r="J27" s="2250"/>
      <c r="K27" s="2250"/>
      <c r="L27" s="2251"/>
      <c r="M27" s="2250"/>
      <c r="N27" s="2250"/>
      <c r="O27" s="2251"/>
      <c r="P27" s="2250"/>
      <c r="Q27" s="2250"/>
      <c r="R27" s="2252"/>
    </row>
    <row r="28" spans="1:18" s="2237" customFormat="1">
      <c r="B28" s="2250"/>
      <c r="C28" s="2250"/>
      <c r="D28" s="2250"/>
      <c r="H28" s="2250"/>
      <c r="I28" s="2251"/>
      <c r="J28" s="2250"/>
      <c r="K28" s="2250"/>
      <c r="L28" s="2251"/>
      <c r="M28" s="2250"/>
      <c r="N28" s="2250"/>
      <c r="O28" s="2251"/>
      <c r="P28" s="2250"/>
      <c r="Q28" s="2250"/>
      <c r="R28" s="2252"/>
    </row>
    <row r="29" spans="1:18" s="2237" customFormat="1">
      <c r="B29" s="2250"/>
      <c r="C29" s="2250"/>
      <c r="D29" s="2250"/>
      <c r="H29" s="2250"/>
      <c r="I29" s="2251"/>
      <c r="J29" s="2250"/>
      <c r="K29" s="2250"/>
      <c r="L29" s="2251"/>
      <c r="M29" s="2250"/>
      <c r="N29" s="2250"/>
      <c r="O29" s="2251"/>
      <c r="P29" s="2250"/>
      <c r="Q29" s="2250"/>
      <c r="R29" s="2252"/>
    </row>
    <row r="30" spans="1:18" s="2237" customFormat="1">
      <c r="B30" s="2250"/>
      <c r="C30" s="2250"/>
      <c r="D30" s="2250"/>
      <c r="H30" s="2250"/>
      <c r="I30" s="2251"/>
      <c r="J30" s="2250"/>
      <c r="K30" s="2250"/>
      <c r="L30" s="2251"/>
      <c r="M30" s="2250"/>
      <c r="N30" s="2250"/>
      <c r="O30" s="2251"/>
      <c r="P30" s="2250"/>
      <c r="Q30" s="2250"/>
      <c r="R30" s="2252"/>
    </row>
    <row r="31" spans="1:18" s="2237" customFormat="1">
      <c r="B31" s="2250"/>
      <c r="C31" s="2250"/>
      <c r="D31" s="2250"/>
      <c r="H31" s="2250"/>
      <c r="I31" s="2251"/>
      <c r="J31" s="2250"/>
      <c r="K31" s="2250"/>
      <c r="L31" s="2251"/>
      <c r="M31" s="2250"/>
      <c r="N31" s="2250"/>
      <c r="O31" s="2251"/>
      <c r="P31" s="2250"/>
      <c r="Q31" s="2250"/>
      <c r="R31" s="2252"/>
    </row>
    <row r="32" spans="1:18" s="2237" customFormat="1">
      <c r="B32" s="2250"/>
      <c r="C32" s="2250"/>
      <c r="D32" s="2250"/>
      <c r="H32" s="2250"/>
      <c r="I32" s="2251"/>
      <c r="J32" s="2250"/>
      <c r="K32" s="2250"/>
      <c r="L32" s="2251"/>
      <c r="M32" s="2250"/>
      <c r="N32" s="2250"/>
      <c r="O32" s="2251"/>
      <c r="P32" s="2250"/>
      <c r="Q32" s="2250"/>
      <c r="R32" s="2252"/>
    </row>
    <row r="33" spans="2:18" s="2237" customFormat="1">
      <c r="B33" s="2250"/>
      <c r="C33" s="2250"/>
      <c r="D33" s="2250"/>
      <c r="H33" s="2250"/>
      <c r="I33" s="2251"/>
      <c r="J33" s="2250"/>
      <c r="K33" s="2250"/>
      <c r="L33" s="2251"/>
      <c r="M33" s="2250"/>
      <c r="N33" s="2250"/>
      <c r="O33" s="2251"/>
      <c r="P33" s="2250"/>
      <c r="Q33" s="2250"/>
      <c r="R33" s="2252"/>
    </row>
    <row r="34" spans="2:18" s="2237" customFormat="1">
      <c r="B34" s="2250"/>
      <c r="C34" s="2250"/>
      <c r="D34" s="2250"/>
      <c r="H34" s="2250"/>
      <c r="I34" s="2251"/>
      <c r="J34" s="2250"/>
      <c r="K34" s="2250"/>
      <c r="L34" s="2251"/>
      <c r="M34" s="2250"/>
      <c r="N34" s="2250"/>
      <c r="O34" s="2251"/>
      <c r="P34" s="2250"/>
      <c r="Q34" s="2250"/>
      <c r="R34" s="2252"/>
    </row>
    <row r="35" spans="2:18" s="2237" customFormat="1">
      <c r="B35" s="2250"/>
      <c r="C35" s="2250"/>
      <c r="D35" s="2250"/>
      <c r="H35" s="2250"/>
      <c r="I35" s="2251"/>
      <c r="J35" s="2250"/>
      <c r="K35" s="2250"/>
      <c r="L35" s="2251"/>
      <c r="M35" s="2250"/>
      <c r="N35" s="2250"/>
      <c r="O35" s="2251"/>
      <c r="P35" s="2250"/>
      <c r="Q35" s="2250"/>
      <c r="R35" s="2252"/>
    </row>
    <row r="36" spans="2:18" s="2237" customFormat="1">
      <c r="B36" s="2250"/>
      <c r="C36" s="2250"/>
      <c r="D36" s="2250"/>
      <c r="H36" s="2250"/>
      <c r="I36" s="2251"/>
      <c r="J36" s="2250"/>
      <c r="K36" s="2250"/>
      <c r="L36" s="2251"/>
      <c r="M36" s="2250"/>
      <c r="N36" s="2250"/>
      <c r="O36" s="2251"/>
      <c r="P36" s="2250"/>
      <c r="Q36" s="2250"/>
      <c r="R36" s="2252"/>
    </row>
    <row r="37" spans="2:18" s="2237" customFormat="1">
      <c r="B37" s="2250"/>
      <c r="C37" s="2250"/>
      <c r="D37" s="2250"/>
      <c r="H37" s="2250"/>
      <c r="I37" s="2251"/>
      <c r="J37" s="2250"/>
      <c r="K37" s="2250"/>
      <c r="L37" s="2251"/>
      <c r="M37" s="2250"/>
      <c r="N37" s="2250"/>
      <c r="O37" s="2251"/>
      <c r="P37" s="2250"/>
      <c r="Q37" s="2250"/>
      <c r="R37" s="2252"/>
    </row>
    <row r="38" spans="2:18" s="2237" customFormat="1">
      <c r="B38" s="2250"/>
      <c r="C38" s="2250"/>
      <c r="D38" s="2250"/>
      <c r="E38" s="2250"/>
      <c r="F38" s="2250"/>
      <c r="G38" s="2251"/>
      <c r="H38" s="2250"/>
      <c r="I38" s="2251"/>
      <c r="J38" s="2250"/>
      <c r="K38" s="2250"/>
      <c r="L38" s="2251"/>
      <c r="M38" s="2250"/>
      <c r="N38" s="2250"/>
      <c r="O38" s="2251"/>
      <c r="P38" s="2250"/>
      <c r="Q38" s="2250"/>
      <c r="R38" s="2252"/>
    </row>
    <row r="39" spans="2:18" s="2237" customFormat="1">
      <c r="B39" s="2250"/>
      <c r="C39" s="2250"/>
      <c r="D39" s="2250"/>
      <c r="E39" s="2250"/>
      <c r="F39" s="2250"/>
      <c r="G39" s="2251"/>
      <c r="H39" s="2250"/>
      <c r="I39" s="2251"/>
      <c r="J39" s="2250"/>
      <c r="K39" s="2250"/>
      <c r="L39" s="2251"/>
      <c r="M39" s="2250"/>
      <c r="N39" s="2250"/>
      <c r="O39" s="2251"/>
      <c r="P39" s="2250"/>
      <c r="Q39" s="2250"/>
      <c r="R39" s="2252"/>
    </row>
    <row r="40" spans="2:18" s="2237" customFormat="1">
      <c r="B40" s="2250"/>
      <c r="C40" s="2250"/>
      <c r="D40" s="2250"/>
      <c r="E40" s="2250"/>
      <c r="F40" s="2250"/>
      <c r="G40" s="2251"/>
      <c r="H40" s="2250"/>
      <c r="I40" s="2251"/>
      <c r="J40" s="2250"/>
      <c r="K40" s="2250"/>
      <c r="L40" s="2251"/>
      <c r="M40" s="2250"/>
      <c r="N40" s="2250"/>
      <c r="O40" s="2251"/>
      <c r="P40" s="2250"/>
      <c r="Q40" s="2250"/>
      <c r="R40" s="2252"/>
    </row>
    <row r="41" spans="2:18" s="2237" customFormat="1">
      <c r="B41" s="2250"/>
      <c r="C41" s="2250"/>
      <c r="D41" s="2250"/>
      <c r="E41" s="2250"/>
      <c r="F41" s="2250"/>
      <c r="G41" s="2251"/>
      <c r="H41" s="2250"/>
      <c r="I41" s="2251"/>
      <c r="J41" s="2250"/>
      <c r="K41" s="2250"/>
      <c r="L41" s="2251"/>
      <c r="M41" s="2250"/>
      <c r="N41" s="2250"/>
      <c r="O41" s="2251"/>
      <c r="P41" s="2250"/>
      <c r="Q41" s="2250"/>
      <c r="R41" s="2252"/>
    </row>
    <row r="42" spans="2:18" s="2237" customFormat="1">
      <c r="B42" s="2250"/>
      <c r="C42" s="2250"/>
      <c r="D42" s="2250"/>
      <c r="E42" s="2250"/>
      <c r="F42" s="2250"/>
      <c r="G42" s="2251"/>
      <c r="H42" s="2250"/>
      <c r="I42" s="2251"/>
      <c r="J42" s="2250"/>
      <c r="K42" s="2250"/>
      <c r="L42" s="2251"/>
      <c r="M42" s="2250"/>
      <c r="N42" s="2250"/>
      <c r="O42" s="2251"/>
      <c r="P42" s="2250"/>
      <c r="Q42" s="2250"/>
      <c r="R42" s="2252"/>
    </row>
    <row r="43" spans="2:18" s="2237" customFormat="1">
      <c r="B43" s="2250"/>
      <c r="C43" s="2250"/>
      <c r="D43" s="2250"/>
      <c r="E43" s="2250"/>
      <c r="F43" s="2250"/>
      <c r="G43" s="2251"/>
      <c r="H43" s="2250"/>
      <c r="I43" s="2251"/>
      <c r="J43" s="2250"/>
      <c r="K43" s="2250"/>
      <c r="L43" s="2251"/>
      <c r="M43" s="2250"/>
      <c r="N43" s="2250"/>
      <c r="O43" s="2251"/>
      <c r="P43" s="2250"/>
      <c r="Q43" s="2250"/>
      <c r="R43" s="2252"/>
    </row>
    <row r="44" spans="2:18" s="2237" customFormat="1">
      <c r="B44" s="2250"/>
      <c r="C44" s="2250"/>
      <c r="D44" s="2250"/>
      <c r="E44" s="2250"/>
      <c r="F44" s="2250"/>
      <c r="G44" s="2251"/>
      <c r="H44" s="2250"/>
      <c r="I44" s="2251"/>
      <c r="J44" s="2250"/>
      <c r="K44" s="2250"/>
      <c r="L44" s="2251"/>
      <c r="M44" s="2250"/>
      <c r="N44" s="2250"/>
      <c r="O44" s="2251"/>
      <c r="P44" s="2250"/>
      <c r="Q44" s="2250"/>
      <c r="R44" s="2252"/>
    </row>
    <row r="45" spans="2:18" s="2237" customFormat="1">
      <c r="B45" s="2250"/>
      <c r="C45" s="2250"/>
      <c r="D45" s="2250"/>
      <c r="E45" s="2250"/>
      <c r="F45" s="2250"/>
      <c r="G45" s="2251"/>
      <c r="H45" s="2250"/>
      <c r="I45" s="2251"/>
      <c r="J45" s="2250"/>
      <c r="K45" s="2250"/>
      <c r="L45" s="2251"/>
      <c r="M45" s="2250"/>
      <c r="N45" s="2250"/>
      <c r="O45" s="2251"/>
      <c r="P45" s="2250"/>
      <c r="Q45" s="2250"/>
      <c r="R45" s="2252"/>
    </row>
    <row r="46" spans="2:18" s="2237" customFormat="1">
      <c r="B46" s="2250"/>
      <c r="C46" s="2250"/>
      <c r="D46" s="2250"/>
      <c r="E46" s="2250"/>
      <c r="F46" s="2250"/>
      <c r="G46" s="2251"/>
      <c r="H46" s="2250"/>
      <c r="I46" s="2251"/>
      <c r="J46" s="2250"/>
      <c r="K46" s="2250"/>
      <c r="L46" s="2251"/>
      <c r="M46" s="2250"/>
      <c r="N46" s="2250"/>
      <c r="O46" s="2251"/>
      <c r="P46" s="2250"/>
      <c r="Q46" s="2250"/>
      <c r="R46" s="2252"/>
    </row>
    <row r="47" spans="2:18" s="2237" customFormat="1">
      <c r="B47" s="2250"/>
      <c r="C47" s="2250"/>
      <c r="D47" s="2250"/>
      <c r="E47" s="2250"/>
      <c r="F47" s="2250"/>
      <c r="G47" s="2251"/>
      <c r="H47" s="2250"/>
      <c r="I47" s="2251"/>
      <c r="J47" s="2250"/>
      <c r="K47" s="2250"/>
      <c r="L47" s="2251"/>
      <c r="M47" s="2250"/>
      <c r="N47" s="2250"/>
      <c r="O47" s="2251"/>
      <c r="P47" s="2250"/>
      <c r="Q47" s="2250"/>
      <c r="R47" s="2252"/>
    </row>
    <row r="48" spans="2:18" s="2237" customFormat="1">
      <c r="B48" s="2250"/>
      <c r="C48" s="2250"/>
      <c r="D48" s="2250"/>
      <c r="E48" s="2250"/>
      <c r="F48" s="2250"/>
      <c r="G48" s="2251"/>
      <c r="H48" s="2250"/>
      <c r="I48" s="2251"/>
      <c r="J48" s="2250"/>
      <c r="K48" s="2250"/>
      <c r="L48" s="2251"/>
      <c r="M48" s="2250"/>
      <c r="N48" s="2250"/>
      <c r="O48" s="2251"/>
      <c r="P48" s="2250"/>
      <c r="Q48" s="2250"/>
      <c r="R48" s="2252"/>
    </row>
    <row r="49" spans="2:18" s="2237" customFormat="1">
      <c r="B49" s="2250"/>
      <c r="C49" s="2250"/>
      <c r="D49" s="2250"/>
      <c r="E49" s="2250"/>
      <c r="F49" s="2250"/>
      <c r="G49" s="2251"/>
      <c r="H49" s="2250"/>
      <c r="I49" s="2251"/>
      <c r="J49" s="2250"/>
      <c r="K49" s="2250"/>
      <c r="L49" s="2251"/>
      <c r="M49" s="2250"/>
      <c r="N49" s="2250"/>
      <c r="O49" s="2251"/>
      <c r="P49" s="2250"/>
      <c r="Q49" s="2250"/>
      <c r="R49" s="2252"/>
    </row>
    <row r="50" spans="2:18" s="2237" customFormat="1">
      <c r="B50" s="2250"/>
      <c r="C50" s="2250"/>
      <c r="D50" s="2250"/>
      <c r="E50" s="2250"/>
      <c r="F50" s="2250"/>
      <c r="G50" s="2251"/>
      <c r="H50" s="2250"/>
      <c r="I50" s="2251"/>
      <c r="J50" s="2250"/>
      <c r="K50" s="2250"/>
      <c r="L50" s="2251"/>
      <c r="M50" s="2250"/>
      <c r="N50" s="2250"/>
      <c r="O50" s="2251"/>
      <c r="P50" s="2250"/>
      <c r="Q50" s="2250"/>
      <c r="R50" s="2252"/>
    </row>
    <row r="51" spans="2:18" s="2237" customFormat="1">
      <c r="B51" s="2250"/>
      <c r="C51" s="2250"/>
      <c r="D51" s="2250"/>
      <c r="E51" s="2250"/>
      <c r="F51" s="2250"/>
      <c r="G51" s="2251"/>
      <c r="H51" s="2250"/>
      <c r="I51" s="2251"/>
      <c r="J51" s="2250"/>
      <c r="K51" s="2250"/>
      <c r="L51" s="2251"/>
      <c r="M51" s="2250"/>
      <c r="N51" s="2250"/>
      <c r="O51" s="2251"/>
      <c r="P51" s="2250"/>
      <c r="Q51" s="2250"/>
      <c r="R51" s="2252"/>
    </row>
    <row r="52" spans="2:18" s="2237" customFormat="1">
      <c r="B52" s="2250"/>
      <c r="C52" s="2250"/>
      <c r="D52" s="2250"/>
      <c r="E52" s="2250"/>
      <c r="F52" s="2250"/>
      <c r="G52" s="2251"/>
      <c r="H52" s="2250"/>
      <c r="I52" s="2251"/>
      <c r="J52" s="2250"/>
      <c r="K52" s="2250"/>
      <c r="L52" s="2251"/>
      <c r="M52" s="2250"/>
      <c r="N52" s="2250"/>
      <c r="O52" s="2251"/>
      <c r="P52" s="2250"/>
      <c r="Q52" s="2250"/>
      <c r="R52" s="2252"/>
    </row>
    <row r="53" spans="2:18" s="2237" customFormat="1">
      <c r="B53" s="2250"/>
      <c r="C53" s="2250"/>
      <c r="D53" s="2250"/>
      <c r="E53" s="2250"/>
      <c r="F53" s="2250"/>
      <c r="G53" s="2251"/>
      <c r="H53" s="2250"/>
      <c r="I53" s="2251"/>
      <c r="J53" s="2250"/>
      <c r="K53" s="2250"/>
      <c r="L53" s="2251"/>
      <c r="M53" s="2250"/>
      <c r="N53" s="2250"/>
      <c r="O53" s="2251"/>
      <c r="P53" s="2250"/>
      <c r="Q53" s="2250"/>
      <c r="R53" s="2252"/>
    </row>
    <row r="54" spans="2:18" s="2237" customFormat="1">
      <c r="B54" s="2250"/>
      <c r="C54" s="2250"/>
      <c r="D54" s="2250"/>
      <c r="E54" s="2250"/>
      <c r="F54" s="2250"/>
      <c r="G54" s="2251"/>
      <c r="H54" s="2250"/>
      <c r="I54" s="2251"/>
      <c r="J54" s="2250"/>
      <c r="K54" s="2250"/>
      <c r="L54" s="2251"/>
      <c r="M54" s="2250"/>
      <c r="N54" s="2250"/>
      <c r="O54" s="2251"/>
      <c r="P54" s="2250"/>
      <c r="Q54" s="2250"/>
      <c r="R54" s="2252"/>
    </row>
    <row r="55" spans="2:18" s="2237" customFormat="1">
      <c r="B55" s="2250"/>
      <c r="C55" s="2250"/>
      <c r="D55" s="2250"/>
      <c r="E55" s="2250"/>
      <c r="F55" s="2250"/>
      <c r="G55" s="2251"/>
      <c r="H55" s="2250"/>
      <c r="I55" s="2251"/>
      <c r="J55" s="2250"/>
      <c r="K55" s="2250"/>
      <c r="L55" s="2251"/>
      <c r="M55" s="2250"/>
      <c r="N55" s="2250"/>
      <c r="O55" s="2251"/>
      <c r="P55" s="2250"/>
      <c r="Q55" s="2250"/>
      <c r="R55" s="2252"/>
    </row>
    <row r="56" spans="2:18" s="2237" customFormat="1">
      <c r="B56" s="2250"/>
      <c r="C56" s="2250"/>
      <c r="D56" s="2250"/>
      <c r="E56" s="2250"/>
      <c r="F56" s="2250"/>
      <c r="G56" s="2251"/>
      <c r="H56" s="2250"/>
      <c r="I56" s="2251"/>
      <c r="J56" s="2250"/>
      <c r="K56" s="2250"/>
      <c r="L56" s="2251"/>
      <c r="M56" s="2250"/>
      <c r="N56" s="2250"/>
      <c r="O56" s="2251"/>
      <c r="P56" s="2250"/>
      <c r="Q56" s="2250"/>
      <c r="R56" s="2252"/>
    </row>
    <row r="57" spans="2:18" s="2237" customFormat="1">
      <c r="B57" s="2250"/>
      <c r="C57" s="2250"/>
      <c r="D57" s="2250"/>
      <c r="E57" s="2250"/>
      <c r="F57" s="2250"/>
      <c r="G57" s="2251"/>
      <c r="H57" s="2250"/>
      <c r="I57" s="2251"/>
      <c r="J57" s="2250"/>
      <c r="K57" s="2250"/>
      <c r="L57" s="2251"/>
      <c r="M57" s="2250"/>
      <c r="N57" s="2250"/>
      <c r="O57" s="2251"/>
      <c r="P57" s="2250"/>
      <c r="Q57" s="2250"/>
      <c r="R57" s="2252"/>
    </row>
    <row r="58" spans="2:18" s="2237" customFormat="1">
      <c r="B58" s="2250"/>
      <c r="C58" s="2250"/>
      <c r="D58" s="2250"/>
      <c r="E58" s="2250"/>
      <c r="F58" s="2250"/>
      <c r="G58" s="2251"/>
      <c r="H58" s="2250"/>
      <c r="I58" s="2251"/>
      <c r="J58" s="2250"/>
      <c r="K58" s="2250"/>
      <c r="L58" s="2251"/>
      <c r="M58" s="2250"/>
      <c r="N58" s="2250"/>
      <c r="O58" s="2251"/>
      <c r="P58" s="2250"/>
      <c r="Q58" s="2250"/>
      <c r="R58" s="2252"/>
    </row>
    <row r="59" spans="2:18" s="2237" customFormat="1">
      <c r="B59" s="2250"/>
      <c r="C59" s="2250"/>
      <c r="D59" s="2250"/>
      <c r="E59" s="2250"/>
      <c r="F59" s="2250"/>
      <c r="G59" s="2251"/>
      <c r="H59" s="2250"/>
      <c r="I59" s="2251"/>
      <c r="J59" s="2250"/>
      <c r="K59" s="2250"/>
      <c r="L59" s="2251"/>
      <c r="M59" s="2250"/>
      <c r="N59" s="2250"/>
      <c r="O59" s="2251"/>
      <c r="P59" s="2250"/>
      <c r="Q59" s="2250"/>
      <c r="R59" s="2252"/>
    </row>
    <row r="60" spans="2:18" s="2237" customFormat="1">
      <c r="B60" s="2250"/>
      <c r="C60" s="2250"/>
      <c r="D60" s="2250"/>
      <c r="E60" s="2250"/>
      <c r="F60" s="2250"/>
      <c r="G60" s="2251"/>
      <c r="H60" s="2250"/>
      <c r="I60" s="2251"/>
      <c r="J60" s="2250"/>
      <c r="K60" s="2250"/>
      <c r="L60" s="2251"/>
      <c r="M60" s="2250"/>
      <c r="N60" s="2250"/>
      <c r="O60" s="2251"/>
      <c r="P60" s="2250"/>
      <c r="Q60" s="2250"/>
      <c r="R60" s="2252"/>
    </row>
    <row r="61" spans="2:18" s="2237" customFormat="1">
      <c r="B61" s="2250"/>
      <c r="C61" s="2250"/>
      <c r="D61" s="2250"/>
      <c r="E61" s="2250"/>
      <c r="F61" s="2250"/>
      <c r="G61" s="2251"/>
      <c r="H61" s="2250"/>
      <c r="I61" s="2251"/>
      <c r="J61" s="2250"/>
      <c r="K61" s="2250"/>
      <c r="L61" s="2251"/>
      <c r="M61" s="2250"/>
      <c r="N61" s="2250"/>
      <c r="O61" s="2251"/>
      <c r="P61" s="2250"/>
      <c r="Q61" s="2250"/>
      <c r="R61" s="2252"/>
    </row>
    <row r="62" spans="2:18" s="2237" customFormat="1">
      <c r="B62" s="2250"/>
      <c r="C62" s="2250"/>
      <c r="D62" s="2250"/>
      <c r="E62" s="2250"/>
      <c r="F62" s="2250"/>
      <c r="G62" s="2251"/>
      <c r="H62" s="2250"/>
      <c r="I62" s="2251"/>
      <c r="J62" s="2250"/>
      <c r="K62" s="2250"/>
      <c r="L62" s="2251"/>
      <c r="M62" s="2250"/>
      <c r="N62" s="2250"/>
      <c r="O62" s="2251"/>
      <c r="P62" s="2250"/>
      <c r="Q62" s="2250"/>
      <c r="R62" s="2252"/>
    </row>
    <row r="63" spans="2:18" s="2237" customFormat="1">
      <c r="B63" s="2250"/>
      <c r="C63" s="2250"/>
      <c r="D63" s="2250"/>
      <c r="E63" s="2250"/>
      <c r="F63" s="2250"/>
      <c r="G63" s="2251"/>
      <c r="H63" s="2250"/>
      <c r="I63" s="2251"/>
      <c r="J63" s="2250"/>
      <c r="K63" s="2250"/>
      <c r="L63" s="2251"/>
      <c r="M63" s="2250"/>
      <c r="N63" s="2250"/>
      <c r="O63" s="2251"/>
      <c r="P63" s="2250"/>
      <c r="Q63" s="2250"/>
      <c r="R63" s="2252"/>
    </row>
    <row r="64" spans="2:18" s="2237" customFormat="1">
      <c r="B64" s="2250"/>
      <c r="C64" s="2250"/>
      <c r="D64" s="2250"/>
      <c r="E64" s="2250"/>
      <c r="F64" s="2250"/>
      <c r="G64" s="2251"/>
      <c r="H64" s="2250"/>
      <c r="I64" s="2251"/>
      <c r="J64" s="2250"/>
      <c r="K64" s="2250"/>
      <c r="L64" s="2251"/>
      <c r="M64" s="2250"/>
      <c r="N64" s="2250"/>
      <c r="O64" s="2251"/>
      <c r="P64" s="2250"/>
      <c r="Q64" s="2250"/>
      <c r="R64" s="2252"/>
    </row>
    <row r="65" spans="2:18" s="2237" customFormat="1">
      <c r="B65" s="2250"/>
      <c r="C65" s="2250"/>
      <c r="D65" s="2250"/>
      <c r="E65" s="2250"/>
      <c r="F65" s="2250"/>
      <c r="G65" s="2251"/>
      <c r="H65" s="2250"/>
      <c r="I65" s="2251"/>
      <c r="J65" s="2250"/>
      <c r="K65" s="2250"/>
      <c r="L65" s="2251"/>
      <c r="M65" s="2250"/>
      <c r="N65" s="2250"/>
      <c r="O65" s="2251"/>
      <c r="P65" s="2250"/>
      <c r="Q65" s="2250"/>
      <c r="R65" s="2252"/>
    </row>
    <row r="66" spans="2:18" s="2237" customFormat="1">
      <c r="B66" s="2250"/>
      <c r="C66" s="2250"/>
      <c r="D66" s="2250"/>
      <c r="E66" s="2250"/>
      <c r="F66" s="2250"/>
      <c r="G66" s="2251"/>
      <c r="H66" s="2250"/>
      <c r="I66" s="2251"/>
      <c r="J66" s="2250"/>
      <c r="K66" s="2250"/>
      <c r="L66" s="2251"/>
      <c r="M66" s="2250"/>
      <c r="N66" s="2250"/>
      <c r="O66" s="2251"/>
      <c r="P66" s="2250"/>
      <c r="Q66" s="2250"/>
      <c r="R66" s="2252"/>
    </row>
    <row r="67" spans="2:18" s="2237" customFormat="1">
      <c r="B67" s="2250"/>
      <c r="C67" s="2250"/>
      <c r="D67" s="2250"/>
      <c r="E67" s="2250"/>
      <c r="F67" s="2250"/>
      <c r="G67" s="2251"/>
      <c r="H67" s="2250"/>
      <c r="I67" s="2251"/>
      <c r="J67" s="2250"/>
      <c r="K67" s="2250"/>
      <c r="L67" s="2251"/>
      <c r="M67" s="2250"/>
      <c r="N67" s="2250"/>
      <c r="O67" s="2251"/>
      <c r="P67" s="2250"/>
      <c r="Q67" s="2250"/>
      <c r="R67" s="2252"/>
    </row>
    <row r="68" spans="2:18" s="2237" customFormat="1">
      <c r="B68" s="2250"/>
      <c r="C68" s="2250"/>
      <c r="D68" s="2250"/>
      <c r="E68" s="2250"/>
      <c r="F68" s="2250"/>
      <c r="G68" s="2251"/>
      <c r="H68" s="2250"/>
      <c r="I68" s="2251"/>
      <c r="J68" s="2250"/>
      <c r="K68" s="2250"/>
      <c r="L68" s="2251"/>
      <c r="M68" s="2250"/>
      <c r="N68" s="2250"/>
      <c r="O68" s="2251"/>
      <c r="P68" s="2250"/>
      <c r="Q68" s="2250"/>
      <c r="R68" s="2252"/>
    </row>
    <row r="69" spans="2:18" s="2237" customFormat="1">
      <c r="B69" s="2250"/>
      <c r="C69" s="2250"/>
      <c r="D69" s="2250"/>
      <c r="E69" s="2250"/>
      <c r="F69" s="2250"/>
      <c r="G69" s="2251"/>
      <c r="H69" s="2250"/>
      <c r="I69" s="2251"/>
      <c r="J69" s="2250"/>
      <c r="K69" s="2250"/>
      <c r="L69" s="2251"/>
      <c r="M69" s="2250"/>
      <c r="N69" s="2250"/>
      <c r="O69" s="2251"/>
      <c r="P69" s="2250"/>
      <c r="Q69" s="2250"/>
      <c r="R69" s="2252"/>
    </row>
    <row r="70" spans="2:18" s="2237" customFormat="1">
      <c r="B70" s="2250"/>
      <c r="C70" s="2250"/>
      <c r="D70" s="2250"/>
      <c r="E70" s="2250"/>
      <c r="F70" s="2250"/>
      <c r="G70" s="2251"/>
      <c r="H70" s="2250"/>
      <c r="I70" s="2251"/>
      <c r="J70" s="2250"/>
      <c r="K70" s="2250"/>
      <c r="L70" s="2251"/>
      <c r="M70" s="2250"/>
      <c r="N70" s="2250"/>
      <c r="O70" s="2251"/>
      <c r="P70" s="2250"/>
      <c r="Q70" s="2250"/>
      <c r="R70" s="2252"/>
    </row>
    <row r="71" spans="2:18" s="2237" customFormat="1">
      <c r="B71" s="2250"/>
      <c r="C71" s="2250"/>
      <c r="D71" s="2250"/>
      <c r="E71" s="2250"/>
      <c r="F71" s="2250"/>
      <c r="G71" s="2251"/>
      <c r="H71" s="2250"/>
      <c r="I71" s="2251"/>
      <c r="J71" s="2250"/>
      <c r="K71" s="2250"/>
      <c r="L71" s="2251"/>
      <c r="M71" s="2250"/>
      <c r="N71" s="2250"/>
      <c r="O71" s="2251"/>
      <c r="P71" s="2250"/>
      <c r="Q71" s="2250"/>
      <c r="R71" s="2252"/>
    </row>
    <row r="72" spans="2:18" s="2237" customFormat="1">
      <c r="B72" s="2250"/>
      <c r="C72" s="2250"/>
      <c r="D72" s="2250"/>
      <c r="E72" s="2250"/>
      <c r="F72" s="2250"/>
      <c r="G72" s="2251"/>
      <c r="H72" s="2250"/>
      <c r="I72" s="2251"/>
      <c r="J72" s="2250"/>
      <c r="K72" s="2250"/>
      <c r="L72" s="2251"/>
      <c r="M72" s="2250"/>
      <c r="N72" s="2250"/>
      <c r="O72" s="2251"/>
      <c r="P72" s="2250"/>
      <c r="Q72" s="2250"/>
      <c r="R72" s="2252"/>
    </row>
    <row r="73" spans="2:18" s="2237" customFormat="1">
      <c r="B73" s="2250"/>
      <c r="C73" s="2250"/>
      <c r="D73" s="2250"/>
      <c r="E73" s="2250"/>
      <c r="F73" s="2250"/>
      <c r="G73" s="2251"/>
      <c r="H73" s="2250"/>
      <c r="I73" s="2251"/>
      <c r="J73" s="2250"/>
      <c r="K73" s="2250"/>
      <c r="L73" s="2251"/>
      <c r="M73" s="2250"/>
      <c r="N73" s="2250"/>
      <c r="O73" s="2251"/>
      <c r="P73" s="2250"/>
      <c r="Q73" s="2250"/>
      <c r="R73" s="2252"/>
    </row>
    <row r="74" spans="2:18" s="2237" customFormat="1">
      <c r="B74" s="2250"/>
      <c r="C74" s="2250"/>
      <c r="D74" s="2250"/>
      <c r="E74" s="2250"/>
      <c r="F74" s="2250"/>
      <c r="G74" s="2251"/>
      <c r="H74" s="2250"/>
      <c r="I74" s="2251"/>
      <c r="J74" s="2250"/>
      <c r="K74" s="2250"/>
      <c r="L74" s="2251"/>
      <c r="M74" s="2250"/>
      <c r="N74" s="2250"/>
      <c r="O74" s="2251"/>
      <c r="P74" s="2250"/>
      <c r="Q74" s="2250"/>
      <c r="R74" s="2252"/>
    </row>
    <row r="75" spans="2:18" s="2237" customFormat="1">
      <c r="B75" s="2250"/>
      <c r="C75" s="2250"/>
      <c r="D75" s="2250"/>
      <c r="E75" s="2250"/>
      <c r="F75" s="2250"/>
      <c r="G75" s="2251"/>
      <c r="H75" s="2250"/>
      <c r="I75" s="2251"/>
      <c r="J75" s="2250"/>
      <c r="K75" s="2250"/>
      <c r="L75" s="2251"/>
      <c r="M75" s="2250"/>
      <c r="N75" s="2250"/>
      <c r="O75" s="2251"/>
      <c r="P75" s="2250"/>
      <c r="Q75" s="2250"/>
      <c r="R75" s="2252"/>
    </row>
    <row r="76" spans="2:18" s="2237" customFormat="1">
      <c r="B76" s="2250"/>
      <c r="C76" s="2250"/>
      <c r="D76" s="2250"/>
      <c r="E76" s="2250"/>
      <c r="F76" s="2250"/>
      <c r="G76" s="2251"/>
      <c r="H76" s="2250"/>
      <c r="I76" s="2251"/>
      <c r="J76" s="2250"/>
      <c r="K76" s="2250"/>
      <c r="L76" s="2251"/>
      <c r="M76" s="2250"/>
      <c r="N76" s="2250"/>
      <c r="O76" s="2251"/>
      <c r="P76" s="2250"/>
      <c r="Q76" s="2250"/>
      <c r="R76" s="2252"/>
    </row>
    <row r="77" spans="2:18" s="2237" customFormat="1">
      <c r="B77" s="2250"/>
      <c r="C77" s="2250"/>
      <c r="D77" s="2250"/>
      <c r="E77" s="2250"/>
      <c r="F77" s="2250"/>
      <c r="G77" s="2251"/>
      <c r="H77" s="2250"/>
      <c r="I77" s="2251"/>
      <c r="J77" s="2250"/>
      <c r="K77" s="2250"/>
      <c r="L77" s="2251"/>
      <c r="M77" s="2250"/>
      <c r="N77" s="2250"/>
      <c r="O77" s="2251"/>
      <c r="P77" s="2250"/>
      <c r="Q77" s="2250"/>
      <c r="R77" s="2252"/>
    </row>
    <row r="78" spans="2:18" s="2237" customFormat="1">
      <c r="B78" s="2250"/>
      <c r="C78" s="2250"/>
      <c r="D78" s="2250"/>
      <c r="E78" s="2250"/>
      <c r="F78" s="2250"/>
      <c r="G78" s="2251"/>
      <c r="H78" s="2250"/>
      <c r="I78" s="2251"/>
      <c r="J78" s="2250"/>
      <c r="K78" s="2250"/>
      <c r="L78" s="2251"/>
      <c r="M78" s="2250"/>
      <c r="N78" s="2250"/>
      <c r="O78" s="2251"/>
      <c r="P78" s="2250"/>
      <c r="Q78" s="2250"/>
      <c r="R78" s="2252"/>
    </row>
    <row r="79" spans="2:18" s="2237" customFormat="1">
      <c r="B79" s="2250"/>
      <c r="C79" s="2250"/>
      <c r="D79" s="2250"/>
      <c r="E79" s="2250"/>
      <c r="F79" s="2250"/>
      <c r="G79" s="2251"/>
      <c r="H79" s="2250"/>
      <c r="I79" s="2251"/>
      <c r="J79" s="2250"/>
      <c r="K79" s="2250"/>
      <c r="L79" s="2251"/>
      <c r="M79" s="2250"/>
      <c r="N79" s="2250"/>
      <c r="O79" s="2251"/>
      <c r="P79" s="2250"/>
      <c r="Q79" s="2250"/>
      <c r="R79" s="2252"/>
    </row>
    <row r="80" spans="2:18" s="2237" customFormat="1">
      <c r="B80" s="2250"/>
      <c r="C80" s="2250"/>
      <c r="D80" s="2250"/>
      <c r="E80" s="2250"/>
      <c r="F80" s="2250"/>
      <c r="G80" s="2251"/>
      <c r="H80" s="2250"/>
      <c r="I80" s="2251"/>
      <c r="J80" s="2250"/>
      <c r="K80" s="2250"/>
      <c r="L80" s="2251"/>
      <c r="M80" s="2250"/>
      <c r="N80" s="2250"/>
      <c r="O80" s="2251"/>
      <c r="P80" s="2250"/>
      <c r="Q80" s="2250"/>
      <c r="R80" s="2252"/>
    </row>
    <row r="81" spans="2:18" s="2237" customFormat="1">
      <c r="B81" s="2250"/>
      <c r="C81" s="2250"/>
      <c r="D81" s="2250"/>
      <c r="E81" s="2250"/>
      <c r="F81" s="2250"/>
      <c r="G81" s="2251"/>
      <c r="H81" s="2250"/>
      <c r="I81" s="2251"/>
      <c r="J81" s="2250"/>
      <c r="K81" s="2250"/>
      <c r="L81" s="2251"/>
      <c r="M81" s="2250"/>
      <c r="N81" s="2250"/>
      <c r="O81" s="2251"/>
      <c r="P81" s="2250"/>
      <c r="Q81" s="2250"/>
      <c r="R81" s="2252"/>
    </row>
    <row r="82" spans="2:18" s="2237" customFormat="1">
      <c r="B82" s="2250"/>
      <c r="C82" s="2250"/>
      <c r="D82" s="2250"/>
      <c r="E82" s="2250"/>
      <c r="F82" s="2250"/>
      <c r="G82" s="2251"/>
      <c r="H82" s="2250"/>
      <c r="I82" s="2251"/>
      <c r="J82" s="2250"/>
      <c r="K82" s="2250"/>
      <c r="L82" s="2251"/>
      <c r="M82" s="2250"/>
      <c r="N82" s="2250"/>
      <c r="O82" s="2251"/>
      <c r="P82" s="2250"/>
      <c r="Q82" s="2250"/>
      <c r="R82" s="2252"/>
    </row>
    <row r="83" spans="2:18" s="2237" customFormat="1">
      <c r="B83" s="2250"/>
      <c r="C83" s="2250"/>
      <c r="D83" s="2250"/>
      <c r="E83" s="2250"/>
      <c r="F83" s="2250"/>
      <c r="G83" s="2251"/>
      <c r="H83" s="2250"/>
      <c r="I83" s="2251"/>
      <c r="J83" s="2250"/>
      <c r="K83" s="2250"/>
      <c r="L83" s="2251"/>
      <c r="M83" s="2250"/>
      <c r="N83" s="2250"/>
      <c r="O83" s="2251"/>
      <c r="P83" s="2250"/>
      <c r="Q83" s="2250"/>
      <c r="R83" s="2252"/>
    </row>
    <row r="84" spans="2:18" s="2237" customFormat="1">
      <c r="B84" s="2250"/>
      <c r="C84" s="2250"/>
      <c r="D84" s="2250"/>
      <c r="E84" s="2250"/>
      <c r="F84" s="2250"/>
      <c r="G84" s="2251"/>
      <c r="H84" s="2250"/>
      <c r="I84" s="2251"/>
      <c r="J84" s="2250"/>
      <c r="K84" s="2250"/>
      <c r="L84" s="2251"/>
      <c r="M84" s="2250"/>
      <c r="N84" s="2250"/>
      <c r="O84" s="2251"/>
      <c r="P84" s="2250"/>
      <c r="Q84" s="2250"/>
      <c r="R84" s="2252"/>
    </row>
    <row r="85" spans="2:18" s="2237" customFormat="1">
      <c r="B85" s="2250"/>
      <c r="C85" s="2250"/>
      <c r="D85" s="2250"/>
      <c r="E85" s="2250"/>
      <c r="F85" s="2250"/>
      <c r="G85" s="2251"/>
      <c r="H85" s="2250"/>
      <c r="I85" s="2251"/>
      <c r="J85" s="2250"/>
      <c r="K85" s="2250"/>
      <c r="L85" s="2251"/>
      <c r="M85" s="2250"/>
      <c r="N85" s="2250"/>
      <c r="O85" s="2251"/>
      <c r="P85" s="2250"/>
      <c r="Q85" s="2250"/>
      <c r="R85" s="2252"/>
    </row>
    <row r="86" spans="2:18" s="2237" customFormat="1">
      <c r="B86" s="2250"/>
      <c r="C86" s="2250"/>
      <c r="D86" s="2250"/>
      <c r="E86" s="2250"/>
      <c r="F86" s="2250"/>
      <c r="G86" s="2251"/>
      <c r="H86" s="2250"/>
      <c r="I86" s="2251"/>
      <c r="J86" s="2250"/>
      <c r="K86" s="2250"/>
      <c r="L86" s="2251"/>
      <c r="M86" s="2250"/>
      <c r="N86" s="2250"/>
      <c r="O86" s="2251"/>
      <c r="P86" s="2250"/>
      <c r="Q86" s="2250"/>
      <c r="R86" s="2252"/>
    </row>
    <row r="87" spans="2:18" s="2237" customFormat="1">
      <c r="B87" s="2250"/>
      <c r="C87" s="2250"/>
      <c r="D87" s="2250"/>
      <c r="E87" s="2250"/>
      <c r="F87" s="2250"/>
      <c r="G87" s="2251"/>
      <c r="H87" s="2250"/>
      <c r="I87" s="2251"/>
      <c r="J87" s="2250"/>
      <c r="K87" s="2250"/>
      <c r="L87" s="2251"/>
      <c r="M87" s="2250"/>
      <c r="N87" s="2250"/>
      <c r="O87" s="2251"/>
      <c r="P87" s="2250"/>
      <c r="Q87" s="2250"/>
      <c r="R87" s="2252"/>
    </row>
    <row r="88" spans="2:18" s="2237" customFormat="1">
      <c r="B88" s="2250"/>
      <c r="C88" s="2250"/>
      <c r="D88" s="2250"/>
      <c r="E88" s="2250"/>
      <c r="F88" s="2250"/>
      <c r="G88" s="2251"/>
      <c r="H88" s="2250"/>
      <c r="I88" s="2251"/>
      <c r="J88" s="2250"/>
      <c r="K88" s="2250"/>
      <c r="L88" s="2251"/>
      <c r="M88" s="2250"/>
      <c r="N88" s="2250"/>
      <c r="O88" s="2251"/>
      <c r="P88" s="2250"/>
      <c r="Q88" s="2250"/>
      <c r="R88" s="2252"/>
    </row>
    <row r="89" spans="2:18" s="2237" customFormat="1">
      <c r="B89" s="2250"/>
      <c r="C89" s="2250"/>
      <c r="D89" s="2250"/>
      <c r="E89" s="2250"/>
      <c r="F89" s="2250"/>
      <c r="G89" s="2251"/>
      <c r="H89" s="2250"/>
      <c r="I89" s="2251"/>
      <c r="J89" s="2250"/>
      <c r="K89" s="2250"/>
      <c r="L89" s="2251"/>
      <c r="M89" s="2250"/>
      <c r="N89" s="2250"/>
      <c r="O89" s="2251"/>
      <c r="P89" s="2250"/>
      <c r="Q89" s="2250"/>
      <c r="R89" s="2252"/>
    </row>
    <row r="90" spans="2:18" s="2237" customFormat="1">
      <c r="B90" s="2250"/>
      <c r="C90" s="2250"/>
      <c r="D90" s="2250"/>
      <c r="E90" s="2250"/>
      <c r="F90" s="2250"/>
      <c r="G90" s="2251"/>
      <c r="H90" s="2250"/>
      <c r="I90" s="2251"/>
      <c r="J90" s="2250"/>
      <c r="K90" s="2250"/>
      <c r="L90" s="2251"/>
      <c r="M90" s="2250"/>
      <c r="N90" s="2250"/>
      <c r="O90" s="2251"/>
      <c r="P90" s="2250"/>
      <c r="Q90" s="2250"/>
      <c r="R90" s="2252"/>
    </row>
    <row r="91" spans="2:18" s="2237" customFormat="1">
      <c r="B91" s="2250"/>
      <c r="C91" s="2250"/>
      <c r="D91" s="2250"/>
      <c r="E91" s="2250"/>
      <c r="F91" s="2250"/>
      <c r="G91" s="2251"/>
      <c r="H91" s="2250"/>
      <c r="I91" s="2251"/>
      <c r="J91" s="2250"/>
      <c r="K91" s="2250"/>
      <c r="L91" s="2251"/>
      <c r="M91" s="2250"/>
      <c r="N91" s="2250"/>
      <c r="O91" s="2251"/>
      <c r="P91" s="2250"/>
      <c r="Q91" s="2250"/>
      <c r="R91" s="2252"/>
    </row>
    <row r="92" spans="2:18" s="2237" customFormat="1">
      <c r="B92" s="2250"/>
      <c r="C92" s="2250"/>
      <c r="D92" s="2250"/>
      <c r="E92" s="2250"/>
      <c r="F92" s="2250"/>
      <c r="G92" s="2251"/>
      <c r="H92" s="2250"/>
      <c r="I92" s="2251"/>
      <c r="J92" s="2250"/>
      <c r="K92" s="2250"/>
      <c r="L92" s="2251"/>
      <c r="M92" s="2250"/>
      <c r="N92" s="2250"/>
      <c r="O92" s="2251"/>
      <c r="P92" s="2250"/>
      <c r="Q92" s="2250"/>
      <c r="R92" s="2252"/>
    </row>
    <row r="93" spans="2:18" s="2237" customFormat="1">
      <c r="B93" s="2250"/>
      <c r="C93" s="2250"/>
      <c r="D93" s="2250"/>
      <c r="E93" s="2250"/>
      <c r="F93" s="2250"/>
      <c r="G93" s="2251"/>
      <c r="H93" s="2250"/>
      <c r="I93" s="2251"/>
      <c r="J93" s="2250"/>
      <c r="K93" s="2250"/>
      <c r="L93" s="2251"/>
      <c r="M93" s="2250"/>
      <c r="N93" s="2250"/>
      <c r="O93" s="2251"/>
      <c r="P93" s="2250"/>
      <c r="Q93" s="2250"/>
      <c r="R93" s="2252"/>
    </row>
    <row r="94" spans="2:18" s="2237" customFormat="1">
      <c r="B94" s="2250"/>
      <c r="C94" s="2250"/>
      <c r="D94" s="2250"/>
      <c r="E94" s="2250"/>
      <c r="F94" s="2250"/>
      <c r="G94" s="2251"/>
      <c r="H94" s="2250"/>
      <c r="I94" s="2251"/>
      <c r="J94" s="2250"/>
      <c r="K94" s="2250"/>
      <c r="L94" s="2251"/>
      <c r="M94" s="2250"/>
      <c r="N94" s="2250"/>
      <c r="O94" s="2251"/>
      <c r="P94" s="2250"/>
      <c r="Q94" s="2250"/>
      <c r="R94" s="2252"/>
    </row>
    <row r="95" spans="2:18" s="2237" customFormat="1">
      <c r="B95" s="2250"/>
      <c r="C95" s="2250"/>
      <c r="D95" s="2250"/>
      <c r="E95" s="2250"/>
      <c r="F95" s="2250"/>
      <c r="G95" s="2251"/>
      <c r="H95" s="2250"/>
      <c r="I95" s="2251"/>
      <c r="J95" s="2250"/>
      <c r="K95" s="2250"/>
      <c r="L95" s="2251"/>
      <c r="M95" s="2250"/>
      <c r="N95" s="2250"/>
      <c r="O95" s="2251"/>
      <c r="P95" s="2250"/>
      <c r="Q95" s="2250"/>
      <c r="R95" s="2252"/>
    </row>
    <row r="96" spans="2:18" s="2237" customFormat="1">
      <c r="B96" s="2250"/>
      <c r="C96" s="2250"/>
      <c r="D96" s="2250"/>
      <c r="E96" s="2250"/>
      <c r="F96" s="2250"/>
      <c r="G96" s="2251"/>
      <c r="H96" s="2250"/>
      <c r="I96" s="2251"/>
      <c r="J96" s="2250"/>
      <c r="K96" s="2250"/>
      <c r="L96" s="2251"/>
      <c r="M96" s="2250"/>
      <c r="N96" s="2250"/>
      <c r="O96" s="2251"/>
      <c r="P96" s="2250"/>
      <c r="Q96" s="2250"/>
      <c r="R96" s="2252"/>
    </row>
    <row r="97" spans="2:18" s="2237" customFormat="1">
      <c r="B97" s="2250"/>
      <c r="C97" s="2250"/>
      <c r="D97" s="2250"/>
      <c r="E97" s="2250"/>
      <c r="F97" s="2250"/>
      <c r="G97" s="2251"/>
      <c r="H97" s="2250"/>
      <c r="I97" s="2251"/>
      <c r="J97" s="2250"/>
      <c r="K97" s="2250"/>
      <c r="L97" s="2251"/>
      <c r="M97" s="2250"/>
      <c r="N97" s="2250"/>
      <c r="O97" s="2251"/>
      <c r="P97" s="2250"/>
      <c r="Q97" s="2250"/>
      <c r="R97" s="2252"/>
    </row>
    <row r="98" spans="2:18" s="2237" customFormat="1">
      <c r="B98" s="2250"/>
      <c r="C98" s="2250"/>
      <c r="D98" s="2250"/>
      <c r="E98" s="2250"/>
      <c r="F98" s="2250"/>
      <c r="G98" s="2251"/>
      <c r="H98" s="2250"/>
      <c r="I98" s="2251"/>
      <c r="J98" s="2250"/>
      <c r="K98" s="2250"/>
      <c r="L98" s="2251"/>
      <c r="M98" s="2250"/>
      <c r="N98" s="2250"/>
      <c r="O98" s="2251"/>
      <c r="P98" s="2250"/>
      <c r="Q98" s="2250"/>
      <c r="R98" s="2252"/>
    </row>
    <row r="99" spans="2:18" s="2237" customFormat="1">
      <c r="B99" s="2250"/>
      <c r="C99" s="2250"/>
      <c r="D99" s="2250"/>
      <c r="E99" s="2250"/>
      <c r="F99" s="2250"/>
      <c r="G99" s="2251"/>
      <c r="H99" s="2250"/>
      <c r="I99" s="2251"/>
      <c r="J99" s="2250"/>
      <c r="K99" s="2250"/>
      <c r="L99" s="2251"/>
      <c r="M99" s="2250"/>
      <c r="N99" s="2250"/>
      <c r="O99" s="2251"/>
      <c r="P99" s="2250"/>
      <c r="Q99" s="2250"/>
      <c r="R99" s="2252"/>
    </row>
    <row r="100" spans="2:18" s="2237" customFormat="1">
      <c r="B100" s="2250"/>
      <c r="C100" s="2250"/>
      <c r="D100" s="2250"/>
      <c r="E100" s="2250"/>
      <c r="F100" s="2250"/>
      <c r="G100" s="2251"/>
      <c r="H100" s="2250"/>
      <c r="I100" s="2251"/>
      <c r="J100" s="2250"/>
      <c r="K100" s="2250"/>
      <c r="L100" s="2251"/>
      <c r="M100" s="2250"/>
      <c r="N100" s="2250"/>
      <c r="O100" s="2251"/>
      <c r="P100" s="2250"/>
      <c r="Q100" s="2250"/>
      <c r="R100" s="2252"/>
    </row>
    <row r="101" spans="2:18" s="2237" customFormat="1">
      <c r="B101" s="2250"/>
      <c r="C101" s="2250"/>
      <c r="D101" s="2250"/>
      <c r="E101" s="2250"/>
      <c r="F101" s="2250"/>
      <c r="G101" s="2251"/>
      <c r="H101" s="2250"/>
      <c r="I101" s="2251"/>
      <c r="J101" s="2250"/>
      <c r="K101" s="2250"/>
      <c r="L101" s="2251"/>
      <c r="M101" s="2250"/>
      <c r="N101" s="2250"/>
      <c r="O101" s="2251"/>
      <c r="P101" s="2250"/>
      <c r="Q101" s="2250"/>
      <c r="R101" s="2252"/>
    </row>
    <row r="102" spans="2:18" s="2237" customFormat="1">
      <c r="B102" s="2250"/>
      <c r="C102" s="2250"/>
      <c r="D102" s="2250"/>
      <c r="E102" s="2250"/>
      <c r="F102" s="2250"/>
      <c r="G102" s="2251"/>
      <c r="H102" s="2250"/>
      <c r="I102" s="2251"/>
      <c r="J102" s="2250"/>
      <c r="K102" s="2250"/>
      <c r="L102" s="2251"/>
      <c r="M102" s="2250"/>
      <c r="N102" s="2250"/>
      <c r="O102" s="2251"/>
      <c r="P102" s="2250"/>
      <c r="Q102" s="2250"/>
      <c r="R102" s="2252"/>
    </row>
    <row r="103" spans="2:18" s="2237" customFormat="1">
      <c r="B103" s="2250"/>
      <c r="C103" s="2250"/>
      <c r="D103" s="2250"/>
      <c r="E103" s="2250"/>
      <c r="F103" s="2250"/>
      <c r="G103" s="2251"/>
      <c r="H103" s="2250"/>
      <c r="I103" s="2251"/>
      <c r="J103" s="2250"/>
      <c r="K103" s="2250"/>
      <c r="L103" s="2251"/>
      <c r="M103" s="2250"/>
      <c r="N103" s="2250"/>
      <c r="O103" s="2251"/>
      <c r="P103" s="2250"/>
      <c r="Q103" s="2250"/>
      <c r="R103" s="2252"/>
    </row>
    <row r="104" spans="2:18" s="2237" customFormat="1">
      <c r="B104" s="2250"/>
      <c r="C104" s="2250"/>
      <c r="D104" s="2250"/>
      <c r="E104" s="2250"/>
      <c r="F104" s="2250"/>
      <c r="G104" s="2251"/>
      <c r="H104" s="2250"/>
      <c r="I104" s="2251"/>
      <c r="J104" s="2250"/>
      <c r="K104" s="2250"/>
      <c r="L104" s="2251"/>
      <c r="M104" s="2250"/>
      <c r="N104" s="2250"/>
      <c r="O104" s="2251"/>
      <c r="P104" s="2250"/>
      <c r="Q104" s="2250"/>
      <c r="R104" s="2252"/>
    </row>
    <row r="105" spans="2:18" s="2237" customFormat="1">
      <c r="B105" s="2250"/>
      <c r="C105" s="2250"/>
      <c r="D105" s="2250"/>
      <c r="E105" s="2250"/>
      <c r="F105" s="2250"/>
      <c r="G105" s="2251"/>
      <c r="H105" s="2250"/>
      <c r="I105" s="2251"/>
      <c r="J105" s="2250"/>
      <c r="K105" s="2250"/>
      <c r="L105" s="2251"/>
      <c r="M105" s="2250"/>
      <c r="N105" s="2250"/>
      <c r="O105" s="2251"/>
      <c r="P105" s="2250"/>
      <c r="Q105" s="2250"/>
      <c r="R105" s="2252"/>
    </row>
    <row r="106" spans="2:18" s="2237" customFormat="1">
      <c r="B106" s="2250"/>
      <c r="C106" s="2250"/>
      <c r="D106" s="2250"/>
      <c r="E106" s="2250"/>
      <c r="F106" s="2250"/>
      <c r="G106" s="2251"/>
      <c r="H106" s="2250"/>
      <c r="I106" s="2251"/>
      <c r="J106" s="2250"/>
      <c r="K106" s="2250"/>
      <c r="L106" s="2251"/>
      <c r="M106" s="2250"/>
      <c r="N106" s="2250"/>
      <c r="O106" s="2251"/>
      <c r="P106" s="2250"/>
      <c r="Q106" s="2250"/>
      <c r="R106" s="2252"/>
    </row>
    <row r="107" spans="2:18" s="2237" customFormat="1">
      <c r="B107" s="2250"/>
      <c r="C107" s="2250"/>
      <c r="D107" s="2250"/>
      <c r="E107" s="2250"/>
      <c r="F107" s="2250"/>
      <c r="G107" s="2251"/>
      <c r="H107" s="2250"/>
      <c r="I107" s="2251"/>
      <c r="J107" s="2250"/>
      <c r="K107" s="2250"/>
      <c r="L107" s="2251"/>
      <c r="M107" s="2250"/>
      <c r="N107" s="2250"/>
      <c r="O107" s="2251"/>
      <c r="P107" s="2250"/>
      <c r="Q107" s="2250"/>
      <c r="R107" s="2252"/>
    </row>
    <row r="108" spans="2:18" s="2237" customFormat="1">
      <c r="B108" s="2250"/>
      <c r="C108" s="2250"/>
      <c r="D108" s="2250"/>
      <c r="E108" s="2250"/>
      <c r="F108" s="2250"/>
      <c r="G108" s="2251"/>
      <c r="H108" s="2250"/>
      <c r="I108" s="2251"/>
      <c r="J108" s="2250"/>
      <c r="K108" s="2250"/>
      <c r="L108" s="2251"/>
      <c r="M108" s="2250"/>
      <c r="N108" s="2250"/>
      <c r="O108" s="2251"/>
      <c r="P108" s="2250"/>
      <c r="Q108" s="2250"/>
      <c r="R108" s="2252"/>
    </row>
    <row r="109" spans="2:18" s="2237" customFormat="1">
      <c r="B109" s="2250"/>
      <c r="C109" s="2250"/>
      <c r="D109" s="2250"/>
      <c r="E109" s="2250"/>
      <c r="F109" s="2250"/>
      <c r="G109" s="2251"/>
      <c r="H109" s="2250"/>
      <c r="I109" s="2251"/>
      <c r="J109" s="2250"/>
      <c r="K109" s="2250"/>
      <c r="L109" s="2251"/>
      <c r="M109" s="2250"/>
      <c r="N109" s="2250"/>
      <c r="O109" s="2251"/>
      <c r="P109" s="2250"/>
      <c r="Q109" s="2250"/>
      <c r="R109" s="2252"/>
    </row>
    <row r="110" spans="2:18" s="2237" customFormat="1">
      <c r="B110" s="2250"/>
      <c r="C110" s="2250"/>
      <c r="D110" s="2250"/>
      <c r="E110" s="2250"/>
      <c r="F110" s="2250"/>
      <c r="G110" s="2251"/>
      <c r="H110" s="2250"/>
      <c r="I110" s="2251"/>
      <c r="J110" s="2250"/>
      <c r="K110" s="2250"/>
      <c r="L110" s="2251"/>
      <c r="M110" s="2250"/>
      <c r="N110" s="2250"/>
      <c r="O110" s="2251"/>
      <c r="P110" s="2250"/>
      <c r="Q110" s="2250"/>
      <c r="R110" s="2252"/>
    </row>
    <row r="111" spans="2:18" s="2237" customFormat="1">
      <c r="B111" s="2250"/>
      <c r="C111" s="2250"/>
      <c r="D111" s="2250"/>
      <c r="E111" s="2250"/>
      <c r="F111" s="2250"/>
      <c r="G111" s="2251"/>
      <c r="H111" s="2250"/>
      <c r="I111" s="2251"/>
      <c r="J111" s="2250"/>
      <c r="K111" s="2250"/>
      <c r="L111" s="2251"/>
      <c r="M111" s="2250"/>
      <c r="N111" s="2250"/>
      <c r="O111" s="2251"/>
      <c r="P111" s="2250"/>
      <c r="Q111" s="2250"/>
      <c r="R111" s="2252"/>
    </row>
    <row r="112" spans="2:18" s="2237" customFormat="1">
      <c r="B112" s="2250"/>
      <c r="C112" s="2250"/>
      <c r="D112" s="2250"/>
      <c r="E112" s="2250"/>
      <c r="F112" s="2250"/>
      <c r="G112" s="2251"/>
      <c r="H112" s="2250"/>
      <c r="I112" s="2251"/>
      <c r="J112" s="2250"/>
      <c r="K112" s="2250"/>
      <c r="L112" s="2251"/>
      <c r="M112" s="2250"/>
      <c r="N112" s="2250"/>
      <c r="O112" s="2251"/>
      <c r="P112" s="2250"/>
      <c r="Q112" s="2250"/>
      <c r="R112" s="2252"/>
    </row>
    <row r="113" spans="2:18" s="2237" customFormat="1">
      <c r="B113" s="2250"/>
      <c r="C113" s="2250"/>
      <c r="D113" s="2250"/>
      <c r="E113" s="2250"/>
      <c r="F113" s="2250"/>
      <c r="G113" s="2251"/>
      <c r="H113" s="2250"/>
      <c r="I113" s="2251"/>
      <c r="J113" s="2250"/>
      <c r="K113" s="2250"/>
      <c r="L113" s="2251"/>
      <c r="M113" s="2250"/>
      <c r="N113" s="2250"/>
      <c r="O113" s="2251"/>
      <c r="P113" s="2250"/>
      <c r="Q113" s="2250"/>
      <c r="R113" s="2252"/>
    </row>
    <row r="114" spans="2:18" s="2237" customFormat="1">
      <c r="B114" s="2250"/>
      <c r="C114" s="2250"/>
      <c r="D114" s="2250"/>
      <c r="E114" s="2250"/>
      <c r="F114" s="2250"/>
      <c r="G114" s="2251"/>
      <c r="H114" s="2250"/>
      <c r="I114" s="2251"/>
      <c r="J114" s="2250"/>
      <c r="K114" s="2250"/>
      <c r="L114" s="2251"/>
      <c r="M114" s="2250"/>
      <c r="N114" s="2250"/>
      <c r="O114" s="2251"/>
      <c r="P114" s="2250"/>
      <c r="Q114" s="2250"/>
      <c r="R114" s="2252"/>
    </row>
    <row r="115" spans="2:18" s="2237" customFormat="1">
      <c r="B115" s="2250"/>
      <c r="C115" s="2250"/>
      <c r="D115" s="2250"/>
      <c r="E115" s="2250"/>
      <c r="F115" s="2250"/>
      <c r="G115" s="2251"/>
      <c r="H115" s="2250"/>
      <c r="I115" s="2251"/>
      <c r="J115" s="2250"/>
      <c r="K115" s="2250"/>
      <c r="L115" s="2251"/>
      <c r="M115" s="2250"/>
      <c r="N115" s="2250"/>
      <c r="O115" s="2251"/>
      <c r="P115" s="2250"/>
      <c r="Q115" s="2250"/>
      <c r="R115" s="2252"/>
    </row>
    <row r="116" spans="2:18" s="2237" customFormat="1">
      <c r="B116" s="2250"/>
      <c r="C116" s="2250"/>
      <c r="D116" s="2250"/>
      <c r="E116" s="2250"/>
      <c r="F116" s="2250"/>
      <c r="G116" s="2251"/>
      <c r="H116" s="2250"/>
      <c r="I116" s="2251"/>
      <c r="J116" s="2250"/>
      <c r="K116" s="2250"/>
      <c r="L116" s="2251"/>
      <c r="M116" s="2250"/>
      <c r="N116" s="2250"/>
      <c r="O116" s="2251"/>
      <c r="P116" s="2250"/>
      <c r="Q116" s="2250"/>
      <c r="R116" s="2252"/>
    </row>
    <row r="117" spans="2:18" s="2237" customFormat="1">
      <c r="B117" s="2250"/>
      <c r="C117" s="2250"/>
      <c r="D117" s="2250"/>
      <c r="E117" s="2250"/>
      <c r="F117" s="2250"/>
      <c r="G117" s="2251"/>
      <c r="H117" s="2250"/>
      <c r="I117" s="2251"/>
      <c r="J117" s="2250"/>
      <c r="K117" s="2250"/>
      <c r="L117" s="2251"/>
      <c r="M117" s="2250"/>
      <c r="N117" s="2250"/>
      <c r="O117" s="2251"/>
      <c r="P117" s="2250"/>
      <c r="Q117" s="2250"/>
      <c r="R117" s="2252"/>
    </row>
    <row r="118" spans="2:18" s="2237" customFormat="1">
      <c r="B118" s="2250"/>
      <c r="C118" s="2250"/>
      <c r="D118" s="2250"/>
      <c r="E118" s="2250"/>
      <c r="F118" s="2250"/>
      <c r="G118" s="2251"/>
      <c r="H118" s="2250"/>
      <c r="I118" s="2251"/>
      <c r="J118" s="2250"/>
      <c r="K118" s="2250"/>
      <c r="L118" s="2251"/>
      <c r="M118" s="2250"/>
      <c r="N118" s="2250"/>
      <c r="O118" s="2251"/>
      <c r="P118" s="2250"/>
      <c r="Q118" s="2250"/>
      <c r="R118" s="2252"/>
    </row>
    <row r="119" spans="2:18" s="2237" customFormat="1">
      <c r="B119" s="2250"/>
      <c r="C119" s="2250"/>
      <c r="D119" s="2250"/>
      <c r="E119" s="2250"/>
      <c r="F119" s="2250"/>
      <c r="G119" s="2251"/>
      <c r="H119" s="2250"/>
      <c r="I119" s="2251"/>
      <c r="J119" s="2250"/>
      <c r="K119" s="2250"/>
      <c r="L119" s="2251"/>
      <c r="M119" s="2250"/>
      <c r="N119" s="2250"/>
      <c r="O119" s="2251"/>
      <c r="P119" s="2250"/>
      <c r="Q119" s="2250"/>
      <c r="R119" s="2252"/>
    </row>
    <row r="120" spans="2:18" s="2237" customFormat="1">
      <c r="B120" s="2250"/>
      <c r="C120" s="2250"/>
      <c r="D120" s="2250"/>
      <c r="E120" s="2250"/>
      <c r="F120" s="2250"/>
      <c r="G120" s="2251"/>
      <c r="H120" s="2250"/>
      <c r="I120" s="2251"/>
      <c r="J120" s="2250"/>
      <c r="K120" s="2250"/>
      <c r="L120" s="2251"/>
      <c r="M120" s="2250"/>
      <c r="N120" s="2250"/>
      <c r="O120" s="2251"/>
      <c r="P120" s="2250"/>
      <c r="Q120" s="2250"/>
      <c r="R120" s="2252"/>
    </row>
    <row r="121" spans="2:18" s="2237" customFormat="1">
      <c r="B121" s="2250"/>
      <c r="C121" s="2250"/>
      <c r="D121" s="2250"/>
      <c r="E121" s="2250"/>
      <c r="F121" s="2250"/>
      <c r="G121" s="2251"/>
      <c r="H121" s="2250"/>
      <c r="I121" s="2251"/>
      <c r="J121" s="2250"/>
      <c r="K121" s="2250"/>
      <c r="L121" s="2251"/>
      <c r="M121" s="2250"/>
      <c r="N121" s="2250"/>
      <c r="O121" s="2251"/>
      <c r="P121" s="2250"/>
      <c r="Q121" s="2250"/>
      <c r="R121" s="2252"/>
    </row>
    <row r="122" spans="2:18" s="2237" customFormat="1">
      <c r="B122" s="2250"/>
      <c r="C122" s="2250"/>
      <c r="D122" s="2250"/>
      <c r="E122" s="2250"/>
      <c r="F122" s="2250"/>
      <c r="G122" s="2251"/>
      <c r="H122" s="2250"/>
      <c r="I122" s="2251"/>
      <c r="J122" s="2250"/>
      <c r="K122" s="2250"/>
      <c r="L122" s="2251"/>
      <c r="M122" s="2250"/>
      <c r="N122" s="2250"/>
      <c r="O122" s="2251"/>
      <c r="P122" s="2250"/>
      <c r="Q122" s="2250"/>
      <c r="R122" s="2252"/>
    </row>
    <row r="123" spans="2:18" s="2237" customFormat="1">
      <c r="B123" s="2250"/>
      <c r="C123" s="2250"/>
      <c r="D123" s="2250"/>
      <c r="E123" s="2250"/>
      <c r="F123" s="2250"/>
      <c r="G123" s="2251"/>
      <c r="H123" s="2250"/>
      <c r="I123" s="2251"/>
      <c r="J123" s="2250"/>
      <c r="K123" s="2250"/>
      <c r="L123" s="2251"/>
      <c r="M123" s="2250"/>
      <c r="N123" s="2250"/>
      <c r="O123" s="2251"/>
      <c r="P123" s="2250"/>
      <c r="Q123" s="2250"/>
      <c r="R123" s="2252"/>
    </row>
    <row r="124" spans="2:18" s="2237" customFormat="1">
      <c r="B124" s="2250"/>
      <c r="C124" s="2250"/>
      <c r="D124" s="2250"/>
      <c r="E124" s="2250"/>
      <c r="F124" s="2250"/>
      <c r="G124" s="2251"/>
      <c r="H124" s="2250"/>
      <c r="I124" s="2251"/>
      <c r="J124" s="2250"/>
      <c r="K124" s="2250"/>
      <c r="L124" s="2251"/>
      <c r="M124" s="2250"/>
      <c r="N124" s="2250"/>
      <c r="O124" s="2251"/>
      <c r="P124" s="2250"/>
      <c r="Q124" s="2250"/>
      <c r="R124" s="2252"/>
    </row>
    <row r="125" spans="2:18" s="2237" customFormat="1">
      <c r="B125" s="2250"/>
      <c r="C125" s="2250"/>
      <c r="D125" s="2250"/>
      <c r="E125" s="2250"/>
      <c r="F125" s="2250"/>
      <c r="G125" s="2251"/>
      <c r="H125" s="2250"/>
      <c r="I125" s="2251"/>
      <c r="J125" s="2250"/>
      <c r="K125" s="2250"/>
      <c r="L125" s="2251"/>
      <c r="M125" s="2250"/>
      <c r="N125" s="2250"/>
      <c r="O125" s="2251"/>
      <c r="P125" s="2250"/>
      <c r="Q125" s="2250"/>
      <c r="R125" s="2252"/>
    </row>
    <row r="126" spans="2:18" s="2237" customFormat="1">
      <c r="B126" s="2250"/>
      <c r="C126" s="2250"/>
      <c r="D126" s="2250"/>
      <c r="E126" s="2250"/>
      <c r="F126" s="2250"/>
      <c r="G126" s="2251"/>
      <c r="H126" s="2250"/>
      <c r="I126" s="2251"/>
      <c r="J126" s="2250"/>
      <c r="K126" s="2250"/>
      <c r="L126" s="2251"/>
      <c r="M126" s="2250"/>
      <c r="N126" s="2250"/>
      <c r="O126" s="2251"/>
      <c r="P126" s="2250"/>
      <c r="Q126" s="2250"/>
      <c r="R126" s="2252"/>
    </row>
    <row r="127" spans="2:18" s="2237" customFormat="1">
      <c r="B127" s="2250"/>
      <c r="C127" s="2250"/>
      <c r="D127" s="2250"/>
      <c r="E127" s="2250"/>
      <c r="F127" s="2250"/>
      <c r="G127" s="2251"/>
      <c r="H127" s="2250"/>
      <c r="I127" s="2251"/>
      <c r="J127" s="2250"/>
      <c r="K127" s="2250"/>
      <c r="L127" s="2251"/>
      <c r="M127" s="2250"/>
      <c r="N127" s="2250"/>
      <c r="O127" s="2251"/>
      <c r="P127" s="2250"/>
      <c r="Q127" s="2250"/>
      <c r="R127" s="2252"/>
    </row>
    <row r="128" spans="2:18" s="2237" customFormat="1">
      <c r="B128" s="2250"/>
      <c r="C128" s="2250"/>
      <c r="D128" s="2250"/>
      <c r="E128" s="2250"/>
      <c r="F128" s="2250"/>
      <c r="G128" s="2251"/>
      <c r="H128" s="2250"/>
      <c r="I128" s="2251"/>
      <c r="J128" s="2250"/>
      <c r="K128" s="2250"/>
      <c r="L128" s="2251"/>
      <c r="M128" s="2250"/>
      <c r="N128" s="2250"/>
      <c r="O128" s="2251"/>
      <c r="P128" s="2250"/>
      <c r="Q128" s="2250"/>
      <c r="R128" s="2252"/>
    </row>
    <row r="129" spans="2:18" s="2237" customFormat="1">
      <c r="B129" s="2250"/>
      <c r="C129" s="2250"/>
      <c r="D129" s="2250"/>
      <c r="E129" s="2250"/>
      <c r="F129" s="2250"/>
      <c r="G129" s="2251"/>
      <c r="H129" s="2250"/>
      <c r="I129" s="2251"/>
      <c r="J129" s="2250"/>
      <c r="K129" s="2250"/>
      <c r="L129" s="2251"/>
      <c r="M129" s="2250"/>
      <c r="N129" s="2250"/>
      <c r="O129" s="2251"/>
      <c r="P129" s="2250"/>
      <c r="Q129" s="2250"/>
      <c r="R129" s="2252"/>
    </row>
    <row r="130" spans="2:18" s="2237" customFormat="1">
      <c r="B130" s="2250"/>
      <c r="C130" s="2250"/>
      <c r="D130" s="2250"/>
      <c r="E130" s="2250"/>
      <c r="F130" s="2250"/>
      <c r="G130" s="2251"/>
      <c r="H130" s="2250"/>
      <c r="I130" s="2251"/>
      <c r="J130" s="2250"/>
      <c r="K130" s="2250"/>
      <c r="L130" s="2251"/>
      <c r="M130" s="2250"/>
      <c r="N130" s="2250"/>
      <c r="O130" s="2251"/>
      <c r="P130" s="2250"/>
      <c r="Q130" s="2250"/>
      <c r="R130" s="2252"/>
    </row>
    <row r="131" spans="2:18" s="2237" customFormat="1">
      <c r="B131" s="2250"/>
      <c r="C131" s="2250"/>
      <c r="D131" s="2250"/>
      <c r="E131" s="2250"/>
      <c r="F131" s="2250"/>
      <c r="G131" s="2251"/>
      <c r="H131" s="2250"/>
      <c r="I131" s="2251"/>
      <c r="J131" s="2250"/>
      <c r="K131" s="2250"/>
      <c r="L131" s="2251"/>
      <c r="M131" s="2250"/>
      <c r="N131" s="2250"/>
      <c r="O131" s="2251"/>
      <c r="P131" s="2250"/>
      <c r="Q131" s="2250"/>
      <c r="R131" s="2252"/>
    </row>
    <row r="132" spans="2:18" s="2237" customFormat="1">
      <c r="B132" s="2250"/>
      <c r="C132" s="2250"/>
      <c r="D132" s="2250"/>
      <c r="E132" s="2250"/>
      <c r="F132" s="2250"/>
      <c r="G132" s="2251"/>
      <c r="H132" s="2250"/>
      <c r="I132" s="2251"/>
      <c r="J132" s="2250"/>
      <c r="K132" s="2250"/>
      <c r="L132" s="2251"/>
      <c r="M132" s="2250"/>
      <c r="N132" s="2250"/>
      <c r="O132" s="2251"/>
      <c r="P132" s="2250"/>
      <c r="Q132" s="2250"/>
      <c r="R132" s="2252"/>
    </row>
    <row r="133" spans="2:18" s="2237" customFormat="1">
      <c r="B133" s="2250"/>
      <c r="C133" s="2250"/>
      <c r="D133" s="2250"/>
      <c r="E133" s="2250"/>
      <c r="F133" s="2250"/>
      <c r="G133" s="2251"/>
      <c r="H133" s="2250"/>
      <c r="I133" s="2251"/>
      <c r="J133" s="2250"/>
      <c r="K133" s="2250"/>
      <c r="L133" s="2251"/>
      <c r="M133" s="2250"/>
      <c r="N133" s="2250"/>
      <c r="O133" s="2251"/>
      <c r="P133" s="2250"/>
      <c r="Q133" s="2250"/>
      <c r="R133" s="2252"/>
    </row>
    <row r="134" spans="2:18" s="2237" customFormat="1">
      <c r="B134" s="2250"/>
      <c r="C134" s="2250"/>
      <c r="D134" s="2250"/>
      <c r="E134" s="2250"/>
      <c r="F134" s="2250"/>
      <c r="G134" s="2251"/>
      <c r="H134" s="2250"/>
      <c r="I134" s="2251"/>
      <c r="J134" s="2250"/>
      <c r="K134" s="2250"/>
      <c r="L134" s="2251"/>
      <c r="M134" s="2250"/>
      <c r="N134" s="2250"/>
      <c r="O134" s="2251"/>
      <c r="P134" s="2250"/>
      <c r="Q134" s="2250"/>
      <c r="R134" s="2252"/>
    </row>
    <row r="135" spans="2:18" s="2237" customFormat="1">
      <c r="B135" s="2250"/>
      <c r="C135" s="2250"/>
      <c r="D135" s="2250"/>
      <c r="E135" s="2250"/>
      <c r="F135" s="2250"/>
      <c r="G135" s="2251"/>
      <c r="H135" s="2250"/>
      <c r="I135" s="2251"/>
      <c r="J135" s="2250"/>
      <c r="K135" s="2250"/>
      <c r="L135" s="2251"/>
      <c r="M135" s="2250"/>
      <c r="N135" s="2250"/>
      <c r="O135" s="2251"/>
      <c r="P135" s="2250"/>
      <c r="Q135" s="2250"/>
      <c r="R135" s="2252"/>
    </row>
    <row r="136" spans="2:18" s="2237" customFormat="1">
      <c r="B136" s="2250"/>
      <c r="C136" s="2250"/>
      <c r="D136" s="2250"/>
      <c r="E136" s="2250"/>
      <c r="F136" s="2250"/>
      <c r="G136" s="2251"/>
      <c r="H136" s="2250"/>
      <c r="I136" s="2251"/>
      <c r="J136" s="2250"/>
      <c r="K136" s="2250"/>
      <c r="L136" s="2251"/>
      <c r="M136" s="2250"/>
      <c r="N136" s="2250"/>
      <c r="O136" s="2251"/>
      <c r="P136" s="2250"/>
      <c r="Q136" s="2250"/>
      <c r="R136" s="2252"/>
    </row>
    <row r="137" spans="2:18" s="2237" customFormat="1">
      <c r="B137" s="2250"/>
      <c r="C137" s="2250"/>
      <c r="D137" s="2250"/>
      <c r="E137" s="2250"/>
      <c r="F137" s="2250"/>
      <c r="G137" s="2251"/>
      <c r="H137" s="2250"/>
      <c r="I137" s="2251"/>
      <c r="J137" s="2250"/>
      <c r="K137" s="2250"/>
      <c r="L137" s="2251"/>
      <c r="M137" s="2250"/>
      <c r="N137" s="2250"/>
      <c r="O137" s="2251"/>
      <c r="P137" s="2250"/>
      <c r="Q137" s="2250"/>
      <c r="R137" s="2252"/>
    </row>
    <row r="138" spans="2:18" s="2237" customFormat="1">
      <c r="B138" s="2250"/>
      <c r="C138" s="2250"/>
      <c r="D138" s="2250"/>
      <c r="E138" s="2250"/>
      <c r="F138" s="2250"/>
      <c r="G138" s="2251"/>
      <c r="H138" s="2250"/>
      <c r="I138" s="2251"/>
      <c r="J138" s="2250"/>
      <c r="K138" s="2250"/>
      <c r="L138" s="2251"/>
      <c r="M138" s="2250"/>
      <c r="N138" s="2250"/>
      <c r="O138" s="2251"/>
      <c r="P138" s="2250"/>
      <c r="Q138" s="2250"/>
      <c r="R138" s="2252"/>
    </row>
    <row r="139" spans="2:18" s="2237" customFormat="1">
      <c r="B139" s="2250"/>
      <c r="C139" s="2250"/>
      <c r="D139" s="2250"/>
      <c r="E139" s="2250"/>
      <c r="F139" s="2250"/>
      <c r="G139" s="2251"/>
      <c r="H139" s="2250"/>
      <c r="I139" s="2251"/>
      <c r="J139" s="2250"/>
      <c r="K139" s="2250"/>
      <c r="L139" s="2251"/>
      <c r="M139" s="2250"/>
      <c r="N139" s="2250"/>
      <c r="O139" s="2251"/>
      <c r="P139" s="2250"/>
      <c r="Q139" s="2250"/>
      <c r="R139" s="2252"/>
    </row>
    <row r="140" spans="2:18" s="2237" customFormat="1">
      <c r="B140" s="2250"/>
      <c r="C140" s="2250"/>
      <c r="D140" s="2250"/>
      <c r="E140" s="2250"/>
      <c r="F140" s="2250"/>
      <c r="G140" s="2251"/>
      <c r="H140" s="2250"/>
      <c r="I140" s="2251"/>
      <c r="J140" s="2250"/>
      <c r="K140" s="2250"/>
      <c r="L140" s="2251"/>
      <c r="M140" s="2250"/>
      <c r="N140" s="2250"/>
      <c r="O140" s="2251"/>
      <c r="P140" s="2250"/>
      <c r="Q140" s="2250"/>
      <c r="R140" s="2252"/>
    </row>
    <row r="141" spans="2:18" s="2237" customFormat="1">
      <c r="B141" s="2250"/>
      <c r="C141" s="2250"/>
      <c r="D141" s="2250"/>
      <c r="E141" s="2250"/>
      <c r="F141" s="2250"/>
      <c r="G141" s="2251"/>
      <c r="H141" s="2250"/>
      <c r="I141" s="2251"/>
      <c r="J141" s="2250"/>
      <c r="K141" s="2250"/>
      <c r="L141" s="2251"/>
      <c r="M141" s="2250"/>
      <c r="N141" s="2250"/>
      <c r="O141" s="2251"/>
      <c r="P141" s="2250"/>
      <c r="Q141" s="2250"/>
      <c r="R141" s="2252"/>
    </row>
    <row r="142" spans="2:18" s="2237" customFormat="1">
      <c r="B142" s="2250"/>
      <c r="C142" s="2250"/>
      <c r="D142" s="2250"/>
      <c r="E142" s="2250"/>
      <c r="F142" s="2250"/>
      <c r="G142" s="2251"/>
      <c r="H142" s="2250"/>
      <c r="I142" s="2251"/>
      <c r="J142" s="2250"/>
      <c r="K142" s="2250"/>
      <c r="L142" s="2251"/>
      <c r="M142" s="2250"/>
      <c r="N142" s="2250"/>
      <c r="O142" s="2251"/>
      <c r="P142" s="2250"/>
      <c r="Q142" s="2250"/>
      <c r="R142" s="2252"/>
    </row>
    <row r="143" spans="2:18" s="2237" customFormat="1">
      <c r="B143" s="2250"/>
      <c r="C143" s="2250"/>
      <c r="D143" s="2250"/>
      <c r="E143" s="2250"/>
      <c r="F143" s="2250"/>
      <c r="G143" s="2251"/>
      <c r="H143" s="2250"/>
      <c r="I143" s="2251"/>
      <c r="J143" s="2250"/>
      <c r="K143" s="2250"/>
      <c r="L143" s="2251"/>
      <c r="M143" s="2250"/>
      <c r="N143" s="2250"/>
      <c r="O143" s="2251"/>
      <c r="P143" s="2250"/>
      <c r="Q143" s="2250"/>
      <c r="R143" s="2252"/>
    </row>
    <row r="144" spans="2:18" s="2237" customFormat="1">
      <c r="B144" s="2250"/>
      <c r="C144" s="2250"/>
      <c r="D144" s="2250"/>
      <c r="E144" s="2250"/>
      <c r="F144" s="2250"/>
      <c r="G144" s="2251"/>
      <c r="H144" s="2250"/>
      <c r="I144" s="2251"/>
      <c r="J144" s="2250"/>
      <c r="K144" s="2250"/>
      <c r="L144" s="2251"/>
      <c r="M144" s="2250"/>
      <c r="N144" s="2250"/>
      <c r="O144" s="2251"/>
      <c r="P144" s="2250"/>
      <c r="Q144" s="2250"/>
      <c r="R144" s="2252"/>
    </row>
    <row r="145" spans="2:18" s="2237" customFormat="1">
      <c r="B145" s="2250"/>
      <c r="C145" s="2250"/>
      <c r="D145" s="2250"/>
      <c r="E145" s="2250"/>
      <c r="F145" s="2250"/>
      <c r="G145" s="2251"/>
      <c r="H145" s="2250"/>
      <c r="I145" s="2251"/>
      <c r="J145" s="2250"/>
      <c r="K145" s="2250"/>
      <c r="L145" s="2251"/>
      <c r="M145" s="2250"/>
      <c r="N145" s="2250"/>
      <c r="O145" s="2251"/>
      <c r="P145" s="2250"/>
      <c r="Q145" s="2250"/>
      <c r="R145" s="2252"/>
    </row>
    <row r="146" spans="2:18" s="2237" customFormat="1">
      <c r="B146" s="2250"/>
      <c r="C146" s="2250"/>
      <c r="D146" s="2250"/>
      <c r="E146" s="2250"/>
      <c r="F146" s="2250"/>
      <c r="G146" s="2251"/>
      <c r="H146" s="2250"/>
      <c r="I146" s="2251"/>
      <c r="J146" s="2250"/>
      <c r="K146" s="2250"/>
      <c r="L146" s="2251"/>
      <c r="M146" s="2250"/>
      <c r="N146" s="2250"/>
      <c r="O146" s="2251"/>
      <c r="P146" s="2250"/>
      <c r="Q146" s="2250"/>
      <c r="R146" s="2252"/>
    </row>
    <row r="147" spans="2:18" s="2237" customFormat="1">
      <c r="B147" s="2250"/>
      <c r="C147" s="2250"/>
      <c r="D147" s="2250"/>
      <c r="E147" s="2250"/>
      <c r="F147" s="2250"/>
      <c r="G147" s="2251"/>
      <c r="H147" s="2250"/>
      <c r="I147" s="2251"/>
      <c r="J147" s="2250"/>
      <c r="K147" s="2250"/>
      <c r="L147" s="2251"/>
      <c r="M147" s="2250"/>
      <c r="N147" s="2250"/>
      <c r="O147" s="2251"/>
      <c r="P147" s="2250"/>
      <c r="Q147" s="2250"/>
      <c r="R147" s="2252"/>
    </row>
    <row r="148" spans="2:18" s="2237" customFormat="1">
      <c r="B148" s="2250"/>
      <c r="C148" s="2250"/>
      <c r="D148" s="2250"/>
      <c r="E148" s="2250"/>
      <c r="F148" s="2250"/>
      <c r="G148" s="2251"/>
      <c r="H148" s="2250"/>
      <c r="I148" s="2251"/>
      <c r="J148" s="2250"/>
      <c r="K148" s="2250"/>
      <c r="L148" s="2251"/>
      <c r="M148" s="2250"/>
      <c r="N148" s="2250"/>
      <c r="O148" s="2251"/>
      <c r="P148" s="2250"/>
      <c r="Q148" s="2250"/>
      <c r="R148" s="2252"/>
    </row>
    <row r="149" spans="2:18" s="2237" customFormat="1">
      <c r="B149" s="2250"/>
      <c r="C149" s="2250"/>
      <c r="D149" s="2250"/>
      <c r="E149" s="2250"/>
      <c r="F149" s="2250"/>
      <c r="G149" s="2251"/>
      <c r="H149" s="2250"/>
      <c r="I149" s="2251"/>
      <c r="J149" s="2250"/>
      <c r="K149" s="2250"/>
      <c r="L149" s="2251"/>
      <c r="M149" s="2250"/>
      <c r="N149" s="2250"/>
      <c r="O149" s="2251"/>
      <c r="P149" s="2250"/>
      <c r="Q149" s="2250"/>
      <c r="R149" s="2252"/>
    </row>
    <row r="150" spans="2:18" s="2237" customFormat="1">
      <c r="B150" s="2250"/>
      <c r="C150" s="2250"/>
      <c r="D150" s="2250"/>
      <c r="E150" s="2250"/>
      <c r="F150" s="2250"/>
      <c r="G150" s="2251"/>
      <c r="H150" s="2250"/>
      <c r="I150" s="2251"/>
      <c r="J150" s="2250"/>
      <c r="K150" s="2250"/>
      <c r="L150" s="2251"/>
      <c r="M150" s="2250"/>
      <c r="N150" s="2250"/>
      <c r="O150" s="2251"/>
      <c r="P150" s="2250"/>
      <c r="Q150" s="2250"/>
      <c r="R150" s="2252"/>
    </row>
    <row r="151" spans="2:18" s="2237" customFormat="1">
      <c r="B151" s="2250"/>
      <c r="C151" s="2250"/>
      <c r="D151" s="2250"/>
      <c r="E151" s="2250"/>
      <c r="F151" s="2250"/>
      <c r="G151" s="2251"/>
      <c r="H151" s="2250"/>
      <c r="I151" s="2251"/>
      <c r="J151" s="2250"/>
      <c r="K151" s="2250"/>
      <c r="L151" s="2251"/>
      <c r="M151" s="2250"/>
      <c r="N151" s="2250"/>
      <c r="O151" s="2251"/>
      <c r="P151" s="2250"/>
      <c r="Q151" s="2250"/>
      <c r="R151" s="2252"/>
    </row>
    <row r="152" spans="2:18" s="2237" customFormat="1">
      <c r="B152" s="2250"/>
      <c r="C152" s="2250"/>
      <c r="D152" s="2250"/>
      <c r="E152" s="2250"/>
      <c r="F152" s="2250"/>
      <c r="G152" s="2251"/>
      <c r="H152" s="2250"/>
      <c r="I152" s="2251"/>
      <c r="J152" s="2250"/>
      <c r="K152" s="2250"/>
      <c r="L152" s="2251"/>
      <c r="M152" s="2250"/>
      <c r="N152" s="2250"/>
      <c r="O152" s="2251"/>
      <c r="P152" s="2250"/>
      <c r="Q152" s="2250"/>
      <c r="R152" s="2252"/>
    </row>
    <row r="153" spans="2:18" s="2237" customFormat="1">
      <c r="B153" s="2250"/>
      <c r="C153" s="2250"/>
      <c r="D153" s="2250"/>
      <c r="E153" s="2250"/>
      <c r="F153" s="2250"/>
      <c r="G153" s="2251"/>
      <c r="H153" s="2250"/>
      <c r="I153" s="2251"/>
      <c r="J153" s="2250"/>
      <c r="K153" s="2250"/>
      <c r="L153" s="2251"/>
      <c r="M153" s="2250"/>
      <c r="N153" s="2250"/>
      <c r="O153" s="2251"/>
      <c r="P153" s="2250"/>
      <c r="Q153" s="2250"/>
      <c r="R153" s="2252"/>
    </row>
    <row r="154" spans="2:18" s="2237" customFormat="1">
      <c r="B154" s="2250"/>
      <c r="C154" s="2250"/>
      <c r="D154" s="2250"/>
      <c r="E154" s="2250"/>
      <c r="F154" s="2250"/>
      <c r="G154" s="2251"/>
      <c r="H154" s="2250"/>
      <c r="I154" s="2251"/>
      <c r="J154" s="2250"/>
      <c r="K154" s="2250"/>
      <c r="L154" s="2251"/>
      <c r="M154" s="2250"/>
      <c r="N154" s="2250"/>
      <c r="O154" s="2251"/>
      <c r="P154" s="2250"/>
      <c r="Q154" s="2250"/>
      <c r="R154" s="2252"/>
    </row>
    <row r="155" spans="2:18" s="2237" customFormat="1">
      <c r="B155" s="2250"/>
      <c r="C155" s="2250"/>
      <c r="D155" s="2250"/>
      <c r="E155" s="2250"/>
      <c r="F155" s="2250"/>
      <c r="G155" s="2251"/>
      <c r="H155" s="2250"/>
      <c r="I155" s="2251"/>
      <c r="J155" s="2250"/>
      <c r="K155" s="2250"/>
      <c r="L155" s="2251"/>
      <c r="M155" s="2250"/>
      <c r="N155" s="2250"/>
      <c r="O155" s="2251"/>
      <c r="P155" s="2250"/>
      <c r="Q155" s="2250"/>
      <c r="R155" s="2252"/>
    </row>
    <row r="156" spans="2:18" s="2237" customFormat="1">
      <c r="B156" s="2250"/>
      <c r="C156" s="2250"/>
      <c r="D156" s="2250"/>
      <c r="E156" s="2250"/>
      <c r="F156" s="2250"/>
      <c r="G156" s="2251"/>
      <c r="H156" s="2250"/>
      <c r="I156" s="2251"/>
      <c r="J156" s="2250"/>
      <c r="K156" s="2250"/>
      <c r="L156" s="2251"/>
      <c r="M156" s="2250"/>
      <c r="N156" s="2250"/>
      <c r="O156" s="2251"/>
      <c r="P156" s="2250"/>
      <c r="Q156" s="2250"/>
      <c r="R156" s="2252"/>
    </row>
    <row r="157" spans="2:18" s="2237" customFormat="1">
      <c r="B157" s="2250"/>
      <c r="C157" s="2250"/>
      <c r="D157" s="2250"/>
      <c r="E157" s="2250"/>
      <c r="F157" s="2250"/>
      <c r="G157" s="2251"/>
      <c r="H157" s="2250"/>
      <c r="I157" s="2251"/>
      <c r="J157" s="2250"/>
      <c r="K157" s="2250"/>
      <c r="L157" s="2251"/>
      <c r="M157" s="2250"/>
      <c r="N157" s="2250"/>
      <c r="O157" s="2251"/>
      <c r="P157" s="2250"/>
      <c r="Q157" s="2250"/>
      <c r="R157" s="2252"/>
    </row>
    <row r="158" spans="2:18" s="2237" customFormat="1">
      <c r="B158" s="2250"/>
      <c r="C158" s="2250"/>
      <c r="D158" s="2250"/>
      <c r="E158" s="2250"/>
      <c r="F158" s="2250"/>
      <c r="G158" s="2251"/>
      <c r="H158" s="2250"/>
      <c r="I158" s="2251"/>
      <c r="J158" s="2250"/>
      <c r="K158" s="2250"/>
      <c r="L158" s="2251"/>
      <c r="M158" s="2250"/>
      <c r="N158" s="2250"/>
      <c r="O158" s="2251"/>
      <c r="P158" s="2250"/>
      <c r="Q158" s="2250"/>
      <c r="R158" s="2252"/>
    </row>
    <row r="159" spans="2:18" s="2237" customFormat="1">
      <c r="B159" s="2250"/>
      <c r="C159" s="2250"/>
      <c r="D159" s="2250"/>
      <c r="E159" s="2250"/>
      <c r="F159" s="2250"/>
      <c r="G159" s="2251"/>
      <c r="H159" s="2250"/>
      <c r="I159" s="2251"/>
      <c r="J159" s="2250"/>
      <c r="K159" s="2250"/>
      <c r="L159" s="2251"/>
      <c r="M159" s="2250"/>
      <c r="N159" s="2250"/>
      <c r="O159" s="2251"/>
      <c r="P159" s="2250"/>
      <c r="Q159" s="2250"/>
      <c r="R159" s="2252"/>
    </row>
    <row r="160" spans="2:18" s="2237" customFormat="1">
      <c r="B160" s="2250"/>
      <c r="C160" s="2250"/>
      <c r="D160" s="2250"/>
      <c r="E160" s="2250"/>
      <c r="F160" s="2250"/>
      <c r="G160" s="2251"/>
      <c r="H160" s="2250"/>
      <c r="I160" s="2251"/>
      <c r="J160" s="2250"/>
      <c r="K160" s="2250"/>
      <c r="L160" s="2251"/>
      <c r="M160" s="2250"/>
      <c r="N160" s="2250"/>
      <c r="O160" s="2251"/>
      <c r="P160" s="2250"/>
      <c r="Q160" s="2250"/>
      <c r="R160" s="2252"/>
    </row>
    <row r="161" spans="2:18" s="2237" customFormat="1">
      <c r="B161" s="2250"/>
      <c r="C161" s="2250"/>
      <c r="D161" s="2250"/>
      <c r="E161" s="2250"/>
      <c r="F161" s="2250"/>
      <c r="G161" s="2251"/>
      <c r="H161" s="2250"/>
      <c r="I161" s="2251"/>
      <c r="J161" s="2250"/>
      <c r="K161" s="2250"/>
      <c r="L161" s="2251"/>
      <c r="M161" s="2250"/>
      <c r="N161" s="2250"/>
      <c r="O161" s="2251"/>
      <c r="P161" s="2250"/>
      <c r="Q161" s="2250"/>
      <c r="R161" s="2252"/>
    </row>
    <row r="162" spans="2:18" s="2237" customFormat="1">
      <c r="B162" s="2250"/>
      <c r="C162" s="2250"/>
      <c r="D162" s="2250"/>
      <c r="E162" s="2250"/>
      <c r="F162" s="2250"/>
      <c r="G162" s="2251"/>
      <c r="H162" s="2250"/>
      <c r="I162" s="2251"/>
      <c r="J162" s="2250"/>
      <c r="K162" s="2250"/>
      <c r="L162" s="2251"/>
      <c r="M162" s="2250"/>
      <c r="N162" s="2250"/>
      <c r="O162" s="2251"/>
      <c r="P162" s="2250"/>
      <c r="Q162" s="2250"/>
      <c r="R162" s="2252"/>
    </row>
    <row r="163" spans="2:18" s="2237" customFormat="1">
      <c r="B163" s="2250"/>
      <c r="C163" s="2250"/>
      <c r="D163" s="2250"/>
      <c r="E163" s="2250"/>
      <c r="F163" s="2250"/>
      <c r="G163" s="2251"/>
      <c r="H163" s="2250"/>
      <c r="I163" s="2251"/>
      <c r="J163" s="2250"/>
      <c r="K163" s="2250"/>
      <c r="L163" s="2251"/>
      <c r="M163" s="2250"/>
      <c r="N163" s="2250"/>
      <c r="O163" s="2251"/>
      <c r="P163" s="2250"/>
      <c r="Q163" s="2250"/>
      <c r="R163" s="2252"/>
    </row>
    <row r="164" spans="2:18" s="2237" customFormat="1">
      <c r="B164" s="2250"/>
      <c r="C164" s="2250"/>
      <c r="D164" s="2250"/>
      <c r="E164" s="2250"/>
      <c r="F164" s="2250"/>
      <c r="G164" s="2251"/>
      <c r="H164" s="2250"/>
      <c r="I164" s="2251"/>
      <c r="J164" s="2250"/>
      <c r="K164" s="2250"/>
      <c r="L164" s="2251"/>
      <c r="M164" s="2250"/>
      <c r="N164" s="2250"/>
      <c r="O164" s="2251"/>
      <c r="P164" s="2250"/>
      <c r="Q164" s="2250"/>
      <c r="R164" s="2252"/>
    </row>
    <row r="165" spans="2:18" s="2237" customFormat="1">
      <c r="B165" s="2250"/>
      <c r="C165" s="2250"/>
      <c r="D165" s="2250"/>
      <c r="E165" s="2250"/>
      <c r="F165" s="2250"/>
      <c r="G165" s="2251"/>
      <c r="H165" s="2250"/>
      <c r="I165" s="2251"/>
      <c r="J165" s="2250"/>
      <c r="K165" s="2250"/>
      <c r="L165" s="2251"/>
      <c r="M165" s="2250"/>
      <c r="N165" s="2250"/>
      <c r="O165" s="2251"/>
      <c r="P165" s="2250"/>
      <c r="Q165" s="2250"/>
      <c r="R165" s="2252"/>
    </row>
    <row r="166" spans="2:18" s="2237" customFormat="1">
      <c r="B166" s="2250"/>
      <c r="C166" s="2250"/>
      <c r="D166" s="2250"/>
      <c r="E166" s="2250"/>
      <c r="F166" s="2250"/>
      <c r="G166" s="2251"/>
      <c r="H166" s="2250"/>
      <c r="I166" s="2251"/>
      <c r="J166" s="2250"/>
      <c r="K166" s="2250"/>
      <c r="L166" s="2251"/>
      <c r="M166" s="2250"/>
      <c r="N166" s="2250"/>
      <c r="O166" s="2251"/>
      <c r="P166" s="2250"/>
      <c r="Q166" s="2250"/>
      <c r="R166" s="2252"/>
    </row>
    <row r="167" spans="2:18" s="2237" customFormat="1">
      <c r="B167" s="2250"/>
      <c r="C167" s="2250"/>
      <c r="D167" s="2250"/>
      <c r="E167" s="2250"/>
      <c r="F167" s="2250"/>
      <c r="G167" s="2251"/>
      <c r="H167" s="2250"/>
      <c r="I167" s="2251"/>
      <c r="J167" s="2250"/>
      <c r="K167" s="2250"/>
      <c r="L167" s="2251"/>
      <c r="M167" s="2250"/>
      <c r="N167" s="2250"/>
      <c r="O167" s="2251"/>
      <c r="P167" s="2250"/>
      <c r="Q167" s="2250"/>
      <c r="R167" s="2252"/>
    </row>
    <row r="168" spans="2:18" s="2237" customFormat="1">
      <c r="B168" s="2250"/>
      <c r="C168" s="2250"/>
      <c r="D168" s="2250"/>
      <c r="E168" s="2250"/>
      <c r="F168" s="2250"/>
      <c r="G168" s="2251"/>
      <c r="H168" s="2250"/>
      <c r="I168" s="2251"/>
      <c r="J168" s="2250"/>
      <c r="K168" s="2250"/>
      <c r="L168" s="2251"/>
      <c r="M168" s="2250"/>
      <c r="N168" s="2250"/>
      <c r="O168" s="2251"/>
      <c r="P168" s="2250"/>
      <c r="Q168" s="2250"/>
      <c r="R168" s="2252"/>
    </row>
    <row r="169" spans="2:18" s="2237" customFormat="1">
      <c r="B169" s="2250"/>
      <c r="C169" s="2250"/>
      <c r="D169" s="2250"/>
      <c r="E169" s="2250"/>
      <c r="F169" s="2250"/>
      <c r="G169" s="2251"/>
      <c r="H169" s="2250"/>
      <c r="I169" s="2251"/>
      <c r="J169" s="2250"/>
      <c r="K169" s="2250"/>
      <c r="L169" s="2251"/>
      <c r="M169" s="2250"/>
      <c r="N169" s="2250"/>
      <c r="O169" s="2251"/>
      <c r="P169" s="2250"/>
      <c r="Q169" s="2250"/>
      <c r="R169" s="2252"/>
    </row>
    <row r="170" spans="2:18" s="2237" customFormat="1">
      <c r="B170" s="2250"/>
      <c r="C170" s="2250"/>
      <c r="D170" s="2250"/>
      <c r="E170" s="2250"/>
      <c r="F170" s="2250"/>
      <c r="G170" s="2251"/>
      <c r="H170" s="2250"/>
      <c r="I170" s="2251"/>
      <c r="J170" s="2250"/>
      <c r="K170" s="2250"/>
      <c r="L170" s="2251"/>
      <c r="M170" s="2250"/>
      <c r="N170" s="2250"/>
      <c r="O170" s="2251"/>
      <c r="P170" s="2250"/>
      <c r="Q170" s="2250"/>
      <c r="R170" s="2252"/>
    </row>
    <row r="171" spans="2:18" s="2237" customFormat="1">
      <c r="B171" s="2250"/>
      <c r="C171" s="2250"/>
      <c r="D171" s="2250"/>
      <c r="E171" s="2250"/>
      <c r="F171" s="2250"/>
      <c r="G171" s="2251"/>
      <c r="H171" s="2250"/>
      <c r="I171" s="2251"/>
      <c r="J171" s="2250"/>
      <c r="K171" s="2250"/>
      <c r="L171" s="2251"/>
      <c r="M171" s="2250"/>
      <c r="N171" s="2250"/>
      <c r="O171" s="2251"/>
      <c r="P171" s="2250"/>
      <c r="Q171" s="2250"/>
      <c r="R171" s="2252"/>
    </row>
    <row r="172" spans="2:18" s="2237" customFormat="1">
      <c r="B172" s="2250"/>
      <c r="C172" s="2250"/>
      <c r="D172" s="2250"/>
      <c r="E172" s="2250"/>
      <c r="F172" s="2250"/>
      <c r="G172" s="2251"/>
      <c r="H172" s="2250"/>
      <c r="I172" s="2251"/>
      <c r="J172" s="2250"/>
      <c r="K172" s="2250"/>
      <c r="L172" s="2251"/>
      <c r="M172" s="2250"/>
      <c r="N172" s="2250"/>
      <c r="O172" s="2251"/>
      <c r="P172" s="2250"/>
      <c r="Q172" s="2250"/>
      <c r="R172" s="2252"/>
    </row>
    <row r="173" spans="2:18" s="2237" customFormat="1">
      <c r="B173" s="2250"/>
      <c r="C173" s="2250"/>
      <c r="D173" s="2250"/>
      <c r="E173" s="2250"/>
      <c r="F173" s="2250"/>
      <c r="G173" s="2251"/>
      <c r="H173" s="2250"/>
      <c r="I173" s="2251"/>
      <c r="J173" s="2250"/>
      <c r="K173" s="2250"/>
      <c r="L173" s="2251"/>
      <c r="M173" s="2250"/>
      <c r="N173" s="2250"/>
      <c r="O173" s="2251"/>
      <c r="P173" s="2250"/>
      <c r="Q173" s="2250"/>
      <c r="R173" s="2252"/>
    </row>
    <row r="174" spans="2:18" s="2237" customFormat="1">
      <c r="B174" s="2250"/>
      <c r="C174" s="2250"/>
      <c r="D174" s="2250"/>
      <c r="E174" s="2250"/>
      <c r="F174" s="2250"/>
      <c r="G174" s="2251"/>
      <c r="H174" s="2250"/>
      <c r="I174" s="2251"/>
      <c r="J174" s="2250"/>
      <c r="K174" s="2250"/>
      <c r="L174" s="2251"/>
      <c r="M174" s="2250"/>
      <c r="N174" s="2250"/>
      <c r="O174" s="2251"/>
      <c r="P174" s="2250"/>
      <c r="Q174" s="2250"/>
      <c r="R174" s="2252"/>
    </row>
    <row r="175" spans="2:18" s="2237" customFormat="1">
      <c r="B175" s="2250"/>
      <c r="C175" s="2250"/>
      <c r="D175" s="2250"/>
      <c r="E175" s="2250"/>
      <c r="F175" s="2250"/>
      <c r="G175" s="2251"/>
      <c r="H175" s="2250"/>
      <c r="I175" s="2251"/>
      <c r="J175" s="2250"/>
      <c r="K175" s="2250"/>
      <c r="L175" s="2251"/>
      <c r="M175" s="2250"/>
      <c r="N175" s="2250"/>
      <c r="O175" s="2251"/>
      <c r="P175" s="2250"/>
      <c r="Q175" s="2250"/>
      <c r="R175" s="2252"/>
    </row>
    <row r="176" spans="2:18" s="2237" customFormat="1">
      <c r="B176" s="2250"/>
      <c r="C176" s="2250"/>
      <c r="D176" s="2250"/>
      <c r="E176" s="2250"/>
      <c r="F176" s="2250"/>
      <c r="G176" s="2251"/>
      <c r="H176" s="2250"/>
      <c r="I176" s="2251"/>
      <c r="J176" s="2250"/>
      <c r="K176" s="2250"/>
      <c r="L176" s="2251"/>
      <c r="M176" s="2250"/>
      <c r="N176" s="2250"/>
      <c r="O176" s="2251"/>
      <c r="P176" s="2250"/>
      <c r="Q176" s="2250"/>
      <c r="R176" s="2252"/>
    </row>
    <row r="177" spans="1:18" s="2237" customFormat="1">
      <c r="B177" s="2250"/>
      <c r="C177" s="2250"/>
      <c r="D177" s="2250"/>
      <c r="E177" s="2250"/>
      <c r="F177" s="2250"/>
      <c r="G177" s="2251"/>
      <c r="H177" s="2250"/>
      <c r="I177" s="2251"/>
      <c r="J177" s="2250"/>
      <c r="K177" s="2250"/>
      <c r="L177" s="2251"/>
      <c r="M177" s="2250"/>
      <c r="N177" s="2250"/>
      <c r="O177" s="2251"/>
      <c r="P177" s="2250"/>
      <c r="Q177" s="2250"/>
      <c r="R177" s="2252"/>
    </row>
    <row r="178" spans="1:18" s="2237" customFormat="1">
      <c r="B178" s="2250"/>
      <c r="C178" s="2250"/>
      <c r="D178" s="2250"/>
      <c r="E178" s="2250"/>
      <c r="F178" s="2250"/>
      <c r="G178" s="2251"/>
      <c r="H178" s="2250"/>
      <c r="I178" s="2251"/>
      <c r="J178" s="2250"/>
      <c r="K178" s="2250"/>
      <c r="L178" s="2251"/>
      <c r="M178" s="2250"/>
      <c r="N178" s="2250"/>
      <c r="O178" s="2251"/>
      <c r="P178" s="2250"/>
      <c r="Q178" s="2250"/>
      <c r="R178" s="2252"/>
    </row>
    <row r="179" spans="1:18" s="2237" customFormat="1">
      <c r="B179" s="2250"/>
      <c r="C179" s="2250"/>
      <c r="D179" s="2250"/>
      <c r="E179" s="2250"/>
      <c r="F179" s="2250"/>
      <c r="G179" s="2251"/>
      <c r="H179" s="2250"/>
      <c r="I179" s="2251"/>
      <c r="J179" s="2250"/>
      <c r="K179" s="2250"/>
      <c r="L179" s="2251"/>
      <c r="M179" s="2250"/>
      <c r="N179" s="2250"/>
      <c r="O179" s="2251"/>
      <c r="P179" s="2250"/>
      <c r="Q179" s="2250"/>
      <c r="R179" s="2252"/>
    </row>
    <row r="180" spans="1:18" s="2237" customFormat="1">
      <c r="B180" s="2250"/>
      <c r="C180" s="2250"/>
      <c r="D180" s="2250"/>
      <c r="E180" s="2250"/>
      <c r="F180" s="2250"/>
      <c r="G180" s="2251"/>
      <c r="H180" s="2250"/>
      <c r="I180" s="2251"/>
      <c r="J180" s="2250"/>
      <c r="K180" s="2250"/>
      <c r="L180" s="2251"/>
      <c r="M180" s="2250"/>
      <c r="N180" s="2250"/>
      <c r="O180" s="2251"/>
      <c r="P180" s="2250"/>
      <c r="Q180" s="2250"/>
      <c r="R180" s="2252"/>
    </row>
    <row r="181" spans="1:18" s="2237" customFormat="1">
      <c r="B181" s="2250"/>
      <c r="C181" s="2250"/>
      <c r="D181" s="2250"/>
      <c r="E181" s="2250"/>
      <c r="F181" s="2250"/>
      <c r="G181" s="2251"/>
      <c r="H181" s="2250"/>
      <c r="I181" s="2251"/>
      <c r="J181" s="2250"/>
      <c r="K181" s="2250"/>
      <c r="L181" s="2251"/>
      <c r="M181" s="2250"/>
      <c r="N181" s="2250"/>
      <c r="O181" s="2251"/>
      <c r="P181" s="2250"/>
      <c r="Q181" s="2250"/>
      <c r="R181" s="2252"/>
    </row>
    <row r="182" spans="1:18" s="2237" customFormat="1">
      <c r="B182" s="2250"/>
      <c r="C182" s="2250"/>
      <c r="D182" s="2250"/>
      <c r="E182" s="2250"/>
      <c r="F182" s="2250"/>
      <c r="G182" s="2251"/>
      <c r="H182" s="2250"/>
      <c r="I182" s="2251"/>
      <c r="J182" s="2250"/>
      <c r="K182" s="2250"/>
      <c r="L182" s="2251"/>
      <c r="M182" s="2250"/>
      <c r="N182" s="2250"/>
      <c r="O182" s="2251"/>
      <c r="P182" s="2250"/>
      <c r="Q182" s="2250"/>
      <c r="R182" s="2252"/>
    </row>
    <row r="183" spans="1:18" s="2237" customFormat="1">
      <c r="B183" s="2250"/>
      <c r="C183" s="2250"/>
      <c r="D183" s="2250"/>
      <c r="E183" s="2250"/>
      <c r="F183" s="2250"/>
      <c r="G183" s="2251"/>
      <c r="H183" s="2250"/>
      <c r="I183" s="2251"/>
      <c r="J183" s="2250"/>
      <c r="K183" s="2250"/>
      <c r="L183" s="2251"/>
      <c r="M183" s="2250"/>
      <c r="N183" s="2250"/>
      <c r="O183" s="2251"/>
      <c r="P183" s="2250"/>
      <c r="Q183" s="2250"/>
      <c r="R183" s="2252"/>
    </row>
    <row r="184" spans="1:18" s="2237" customFormat="1">
      <c r="B184" s="2250"/>
      <c r="C184" s="2250"/>
      <c r="D184" s="2250"/>
      <c r="E184" s="2250"/>
      <c r="F184" s="2250"/>
      <c r="G184" s="2251"/>
      <c r="H184" s="2250"/>
      <c r="I184" s="2251"/>
      <c r="J184" s="2250"/>
      <c r="K184" s="2250"/>
      <c r="L184" s="2251"/>
      <c r="M184" s="2250"/>
      <c r="N184" s="2250"/>
      <c r="O184" s="2251"/>
      <c r="P184" s="2250"/>
      <c r="Q184" s="2250"/>
      <c r="R184" s="2252"/>
    </row>
    <row r="185" spans="1:18" s="2237" customFormat="1">
      <c r="B185" s="2250"/>
      <c r="C185" s="2250"/>
      <c r="D185" s="2250"/>
      <c r="E185" s="2250"/>
      <c r="F185" s="2250"/>
      <c r="G185" s="2251"/>
      <c r="H185" s="2250"/>
      <c r="I185" s="2251"/>
      <c r="J185" s="2250"/>
      <c r="K185" s="2250"/>
      <c r="L185" s="2251"/>
      <c r="M185" s="2250"/>
      <c r="N185" s="2250"/>
      <c r="O185" s="2251"/>
      <c r="P185" s="2250"/>
      <c r="Q185" s="2250"/>
      <c r="R185" s="2252"/>
    </row>
    <row r="186" spans="1:18">
      <c r="A186" s="2237"/>
      <c r="B186" s="2250"/>
      <c r="C186" s="2250"/>
      <c r="E186" s="2250"/>
      <c r="F186" s="2250"/>
      <c r="G186" s="2251"/>
    </row>
    <row r="187" spans="1:18">
      <c r="A187" s="2237"/>
      <c r="B187" s="2250"/>
      <c r="C187" s="2250"/>
      <c r="E187" s="2250"/>
      <c r="F187" s="2250"/>
      <c r="G187" s="225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25" sqref="G25"/>
    </sheetView>
  </sheetViews>
  <sheetFormatPr defaultRowHeight="13.5"/>
  <cols>
    <col min="1" max="1" width="23.375" style="3232" customWidth="1"/>
    <col min="2" max="9" width="15.75" style="3232" customWidth="1"/>
    <col min="10" max="16384" width="9" style="3232"/>
  </cols>
  <sheetData>
    <row r="1" spans="1:10" ht="16.5">
      <c r="A1" s="3237" t="s">
        <v>2976</v>
      </c>
      <c r="B1" s="3237">
        <f>SUM(B14:B23)</f>
        <v>132955.72</v>
      </c>
      <c r="C1" s="3236"/>
      <c r="D1" s="3236"/>
      <c r="E1" s="3236"/>
      <c r="F1" s="3236"/>
      <c r="G1" s="3234"/>
    </row>
    <row r="2" spans="1:10" ht="16.5">
      <c r="A2" s="3237" t="s">
        <v>2964</v>
      </c>
      <c r="B2" s="3237">
        <f>SUM(C14:C23)</f>
        <v>33167.03</v>
      </c>
      <c r="C2" s="3236"/>
      <c r="D2" s="3236"/>
      <c r="E2" s="3236"/>
      <c r="F2" s="3236"/>
      <c r="G2" s="3234"/>
    </row>
    <row r="3" spans="1:10" ht="16.5">
      <c r="A3" s="3237" t="s">
        <v>2973</v>
      </c>
      <c r="B3" s="3238">
        <f>项目基本情况!D3</f>
        <v>43006</v>
      </c>
      <c r="C3" s="3236"/>
      <c r="D3" s="3236"/>
      <c r="E3" s="3236"/>
      <c r="F3" s="3236"/>
      <c r="G3" s="3234"/>
    </row>
    <row r="4" spans="1:10" ht="33">
      <c r="A4" s="3237" t="s">
        <v>2972</v>
      </c>
      <c r="B4" s="3237" t="s">
        <v>2971</v>
      </c>
      <c r="C4" s="3237" t="s">
        <v>2970</v>
      </c>
      <c r="D4" s="3237" t="s">
        <v>2969</v>
      </c>
      <c r="E4" s="3236"/>
      <c r="F4" s="3234"/>
      <c r="G4" s="3234"/>
    </row>
    <row r="5" spans="1:10" ht="16.5">
      <c r="A5" s="3237" t="s">
        <v>2968</v>
      </c>
      <c r="B5" s="3237">
        <f ca="1">SUM(D14:D23)</f>
        <v>413942</v>
      </c>
      <c r="C5" s="3237">
        <f ca="1">ROUND(B5*10000/$B$1,0)</f>
        <v>31134</v>
      </c>
      <c r="D5" s="3237">
        <f ca="1">ROUND(B5*10000/$B$2,0)</f>
        <v>124805</v>
      </c>
      <c r="E5" s="3236"/>
      <c r="F5" s="3234"/>
      <c r="G5" s="3234"/>
    </row>
    <row r="6" spans="1:10" ht="16.5">
      <c r="A6" s="3237" t="s">
        <v>2967</v>
      </c>
      <c r="B6" s="3237">
        <f ca="1">SUM(G14:G23)</f>
        <v>413942</v>
      </c>
      <c r="C6" s="3237">
        <f ca="1">ROUND(B6*10000/$B$1,0)</f>
        <v>31134</v>
      </c>
      <c r="D6" s="3237">
        <f ca="1">ROUND(B6*10000/$B$2,0)</f>
        <v>124805</v>
      </c>
      <c r="E6" s="3236"/>
      <c r="F6" s="3234"/>
      <c r="G6" s="3234"/>
    </row>
    <row r="7" spans="1:10" ht="16.5">
      <c r="A7" s="3237" t="s">
        <v>2975</v>
      </c>
      <c r="B7" s="3237">
        <f>SUM(H14:H23)</f>
        <v>0</v>
      </c>
      <c r="C7" s="3237">
        <f>ROUND(B7*10000/$B$1,0)</f>
        <v>0</v>
      </c>
      <c r="D7" s="3237">
        <f>ROUND(B7*10000/$B$2,0)</f>
        <v>0</v>
      </c>
      <c r="E7" s="3236"/>
      <c r="F7" s="3234"/>
      <c r="G7" s="3234"/>
    </row>
    <row r="8" spans="1:10" ht="16.5">
      <c r="A8" s="3237" t="s">
        <v>2864</v>
      </c>
      <c r="B8" s="3237">
        <f>SUM(I14:I23)</f>
        <v>0</v>
      </c>
      <c r="C8" s="3237">
        <f>ROUND(B8*10000/$B$1,0)</f>
        <v>0</v>
      </c>
      <c r="D8" s="3237">
        <f>ROUND(B8*10000/$B$2,0)</f>
        <v>0</v>
      </c>
      <c r="E8" s="3236"/>
      <c r="F8" s="3234"/>
      <c r="G8" s="3234"/>
    </row>
    <row r="9" spans="1:10" ht="16.5">
      <c r="A9" s="3237" t="s">
        <v>2966</v>
      </c>
      <c r="B9" s="3239"/>
      <c r="C9" s="3236"/>
      <c r="D9" s="3236"/>
      <c r="E9" s="3236"/>
      <c r="F9" s="3234"/>
      <c r="G9" s="3234"/>
    </row>
    <row r="10" spans="1:10" ht="16.5">
      <c r="A10" s="3237" t="s">
        <v>2965</v>
      </c>
      <c r="B10" s="3239"/>
      <c r="C10" s="3236"/>
      <c r="D10" s="3236"/>
      <c r="E10" s="3236"/>
      <c r="F10" s="3234"/>
      <c r="G10" s="3234"/>
    </row>
    <row r="11" spans="1:10" ht="16.5">
      <c r="A11" s="3237" t="s">
        <v>2981</v>
      </c>
      <c r="B11" s="3239"/>
      <c r="C11" s="3236"/>
      <c r="D11" s="3236"/>
      <c r="E11" s="3236"/>
      <c r="F11" s="3234"/>
      <c r="G11" s="3234"/>
    </row>
    <row r="12" spans="1:10" ht="16.5">
      <c r="A12" s="3236"/>
      <c r="B12" s="3236"/>
      <c r="C12" s="3236"/>
      <c r="D12" s="3236"/>
      <c r="E12" s="3236"/>
      <c r="F12" s="3234"/>
      <c r="G12" s="3234"/>
    </row>
    <row r="13" spans="1:10" ht="33">
      <c r="A13" s="3242" t="s">
        <v>2980</v>
      </c>
      <c r="B13" s="3235" t="s">
        <v>2977</v>
      </c>
      <c r="C13" s="3235" t="s">
        <v>2979</v>
      </c>
      <c r="D13" s="3235" t="s">
        <v>2978</v>
      </c>
      <c r="E13" s="3237" t="s">
        <v>2970</v>
      </c>
      <c r="F13" s="3237" t="s">
        <v>2969</v>
      </c>
      <c r="G13" s="3235" t="s">
        <v>2963</v>
      </c>
      <c r="H13" s="3235" t="s">
        <v>2974</v>
      </c>
      <c r="I13" s="3235" t="s">
        <v>2962</v>
      </c>
      <c r="J13" s="3234"/>
    </row>
    <row r="14" spans="1:10" ht="16.5">
      <c r="A14" s="3233" t="s">
        <v>2961</v>
      </c>
      <c r="B14" s="3235">
        <f>'数据-汇总表'!E3</f>
        <v>43758.520000000004</v>
      </c>
      <c r="C14" s="3235">
        <f>'数据-汇总表'!D3</f>
        <v>10808.06</v>
      </c>
      <c r="D14" s="3235">
        <f ca="1">结果表!H118</f>
        <v>145332</v>
      </c>
      <c r="E14" s="3235">
        <f ca="1">ROUND(D14*10000/B14,0)</f>
        <v>33212</v>
      </c>
      <c r="F14" s="3235">
        <f ca="1">ROUND(D14*10000/C14,0)</f>
        <v>134466</v>
      </c>
      <c r="G14" s="3235">
        <f ca="1">结果表!D122</f>
        <v>145332</v>
      </c>
      <c r="H14" s="3235" t="str">
        <f>结果表!D124</f>
        <v>——</v>
      </c>
      <c r="I14" s="3235" t="str">
        <f>结果表!D126</f>
        <v>——</v>
      </c>
      <c r="J14" s="3234"/>
    </row>
    <row r="15" spans="1:10" ht="16.5">
      <c r="A15" s="3233" t="s">
        <v>2960</v>
      </c>
      <c r="B15" s="3240">
        <f>'[1]数据-汇总表'!$E$3</f>
        <v>68898.2</v>
      </c>
      <c r="C15" s="3240">
        <f>'[1]数据-汇总表'!$D$3</f>
        <v>17017.400000000001</v>
      </c>
      <c r="D15" s="3240">
        <f ca="1">[1]结果表!$G$19</f>
        <v>233123</v>
      </c>
      <c r="E15" s="3235">
        <f t="shared" ref="E15:E23" ca="1" si="0">ROUND(D15*10000/B15,0)</f>
        <v>33836</v>
      </c>
      <c r="F15" s="3235">
        <f t="shared" ref="F15:F23" ca="1" si="1">ROUND(D15*10000/C15,0)</f>
        <v>136991</v>
      </c>
      <c r="G15" s="3241">
        <f ca="1">D15</f>
        <v>233123</v>
      </c>
      <c r="H15" s="3241"/>
      <c r="I15" s="3240"/>
      <c r="J15" s="3234"/>
    </row>
    <row r="16" spans="1:10" ht="16.5">
      <c r="A16" s="3233" t="s">
        <v>2959</v>
      </c>
      <c r="B16" s="3240">
        <f>'[2]数据-汇总表'!$E$3</f>
        <v>20299</v>
      </c>
      <c r="C16" s="3240">
        <f>'[2]数据-汇总表'!$D$3</f>
        <v>5341.57</v>
      </c>
      <c r="D16" s="3240">
        <f ca="1">[2]结果表!$G$19</f>
        <v>35487</v>
      </c>
      <c r="E16" s="3235">
        <f t="shared" ca="1" si="0"/>
        <v>17482</v>
      </c>
      <c r="F16" s="3235">
        <f t="shared" ca="1" si="1"/>
        <v>66436</v>
      </c>
      <c r="G16" s="3241">
        <f ca="1">D16</f>
        <v>35487</v>
      </c>
      <c r="H16" s="3241"/>
      <c r="I16" s="3240"/>
    </row>
    <row r="17" spans="1:9" ht="16.5">
      <c r="A17" s="3233" t="s">
        <v>2958</v>
      </c>
      <c r="B17" s="3240"/>
      <c r="C17" s="3240"/>
      <c r="D17" s="3240"/>
      <c r="E17" s="3235" t="e">
        <f t="shared" si="0"/>
        <v>#DIV/0!</v>
      </c>
      <c r="F17" s="3235" t="e">
        <f t="shared" si="1"/>
        <v>#DIV/0!</v>
      </c>
      <c r="G17" s="3241"/>
      <c r="H17" s="3241"/>
      <c r="I17" s="3240"/>
    </row>
    <row r="18" spans="1:9" ht="16.5">
      <c r="A18" s="3233" t="s">
        <v>2957</v>
      </c>
      <c r="B18" s="3240"/>
      <c r="C18" s="3240"/>
      <c r="D18" s="3240"/>
      <c r="E18" s="3235" t="e">
        <f t="shared" si="0"/>
        <v>#DIV/0!</v>
      </c>
      <c r="F18" s="3235" t="e">
        <f t="shared" si="1"/>
        <v>#DIV/0!</v>
      </c>
      <c r="G18" s="3240"/>
      <c r="H18" s="3240"/>
      <c r="I18" s="3240"/>
    </row>
    <row r="19" spans="1:9" ht="16.5">
      <c r="A19" s="3233" t="s">
        <v>2956</v>
      </c>
      <c r="B19" s="3240"/>
      <c r="C19" s="3240"/>
      <c r="D19" s="3240"/>
      <c r="E19" s="3235" t="e">
        <f t="shared" si="0"/>
        <v>#DIV/0!</v>
      </c>
      <c r="F19" s="3235" t="e">
        <f t="shared" si="1"/>
        <v>#DIV/0!</v>
      </c>
      <c r="G19" s="3240"/>
      <c r="H19" s="3240"/>
      <c r="I19" s="3240"/>
    </row>
    <row r="20" spans="1:9" ht="16.5">
      <c r="A20" s="3233" t="s">
        <v>2955</v>
      </c>
      <c r="B20" s="3240"/>
      <c r="C20" s="3240"/>
      <c r="D20" s="3240"/>
      <c r="E20" s="3235" t="e">
        <f t="shared" si="0"/>
        <v>#DIV/0!</v>
      </c>
      <c r="F20" s="3235" t="e">
        <f t="shared" si="1"/>
        <v>#DIV/0!</v>
      </c>
      <c r="G20" s="3240"/>
      <c r="H20" s="3240"/>
      <c r="I20" s="3240"/>
    </row>
    <row r="21" spans="1:9" ht="16.5">
      <c r="A21" s="3233" t="s">
        <v>2954</v>
      </c>
      <c r="B21" s="3240"/>
      <c r="C21" s="3240"/>
      <c r="D21" s="3240"/>
      <c r="E21" s="3235" t="e">
        <f t="shared" si="0"/>
        <v>#DIV/0!</v>
      </c>
      <c r="F21" s="3235" t="e">
        <f t="shared" si="1"/>
        <v>#DIV/0!</v>
      </c>
      <c r="G21" s="3240"/>
      <c r="H21" s="3240"/>
      <c r="I21" s="3240"/>
    </row>
    <row r="22" spans="1:9" ht="16.5">
      <c r="A22" s="3233" t="s">
        <v>2953</v>
      </c>
      <c r="B22" s="3240"/>
      <c r="C22" s="3240"/>
      <c r="D22" s="3240"/>
      <c r="E22" s="3235" t="e">
        <f t="shared" si="0"/>
        <v>#DIV/0!</v>
      </c>
      <c r="F22" s="3235" t="e">
        <f t="shared" si="1"/>
        <v>#DIV/0!</v>
      </c>
      <c r="G22" s="3240"/>
      <c r="H22" s="3240"/>
      <c r="I22" s="3240"/>
    </row>
    <row r="23" spans="1:9" ht="16.5">
      <c r="A23" s="3233" t="s">
        <v>2952</v>
      </c>
      <c r="B23" s="3240"/>
      <c r="C23" s="3240"/>
      <c r="D23" s="3240"/>
      <c r="E23" s="3237" t="e">
        <f t="shared" si="0"/>
        <v>#DIV/0!</v>
      </c>
      <c r="F23" s="3237" t="e">
        <f t="shared" si="1"/>
        <v>#DIV/0!</v>
      </c>
      <c r="G23" s="3240"/>
      <c r="H23" s="3240"/>
      <c r="I23" s="3240"/>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5" zoomScaleNormal="100" zoomScaleSheetLayoutView="100" zoomScalePageLayoutView="80" workbookViewId="0">
      <selection activeCell="G130" sqref="G130"/>
    </sheetView>
  </sheetViews>
  <sheetFormatPr defaultColWidth="12.625" defaultRowHeight="21.75" customHeight="1"/>
  <cols>
    <col min="1" max="2" width="12.625" style="1234"/>
    <col min="3" max="4" width="12.625" style="1234" customWidth="1"/>
    <col min="5" max="9" width="12.625" style="1234"/>
    <col min="10" max="11" width="12.625" style="1435" customWidth="1"/>
    <col min="12" max="12" width="12.625" style="1435"/>
    <col min="13" max="13" width="14.125" style="1435" bestFit="1" customWidth="1"/>
    <col min="14" max="26" width="12.625" style="1435"/>
    <col min="27" max="35" width="12.625" style="1423"/>
    <col min="36" max="16384" width="12.625" style="1234"/>
  </cols>
  <sheetData>
    <row r="1" spans="1:12" ht="21.75" customHeight="1" thickBot="1">
      <c r="A1" s="17" t="s">
        <v>756</v>
      </c>
      <c r="B1" s="1233"/>
      <c r="C1" s="2079"/>
      <c r="D1" s="1233"/>
      <c r="E1" s="1233"/>
      <c r="F1" s="2063" t="s">
        <v>2099</v>
      </c>
      <c r="G1" s="2036" t="s">
        <v>3063</v>
      </c>
      <c r="H1" s="2092" t="str">
        <f>IF(G1="现房","——","估价对象范围")</f>
        <v>估价对象范围</v>
      </c>
      <c r="I1" s="2069"/>
    </row>
    <row r="2" spans="1:12" ht="21.75" customHeight="1" thickBot="1">
      <c r="A2" s="3512" t="str">
        <f>项目基本情况!S2</f>
        <v>北京市出让国有建设用地使用权</v>
      </c>
      <c r="B2" s="3513"/>
      <c r="C2" s="3513"/>
      <c r="D2" s="3513"/>
      <c r="E2" s="3513"/>
      <c r="F2" s="3513"/>
      <c r="G2" s="3513"/>
      <c r="H2" s="3513"/>
      <c r="I2" s="3514"/>
    </row>
    <row r="3" spans="1:12" ht="12">
      <c r="A3" s="3516" t="s">
        <v>10</v>
      </c>
      <c r="B3" s="3517"/>
      <c r="C3" s="3517"/>
      <c r="D3" s="3517"/>
      <c r="E3" s="3517"/>
      <c r="F3" s="3517"/>
      <c r="G3" s="3517"/>
      <c r="H3" s="3517"/>
      <c r="I3" s="3517"/>
    </row>
    <row r="4" spans="1:12" ht="13.5">
      <c r="A4" s="425" t="s">
        <v>11</v>
      </c>
      <c r="B4" s="426" t="s">
        <v>12</v>
      </c>
      <c r="C4" s="427" t="s">
        <v>3171</v>
      </c>
      <c r="D4" s="427" t="s">
        <v>3107</v>
      </c>
      <c r="E4" s="3518" t="s">
        <v>757</v>
      </c>
      <c r="F4" s="3519"/>
      <c r="G4" s="3519"/>
      <c r="H4" s="3519"/>
      <c r="I4" s="3520"/>
      <c r="K4" s="2165" t="str">
        <f>IF(ISNUMBER(FIND("比较法",结果表!C4)),"比较法",IF(ISNUMBER(FIND("成本法",结果表!C4)),"成本法",IF(ISNUMBER(FIND("假设开发法",结果表!C4)),"假设开发法",IF(ISNUMBER(FIND("收益法",结果表!C4)),"收益法","基准地价系数修正法"))))</f>
        <v>成本法</v>
      </c>
      <c r="L4" s="2165" t="str">
        <f>IF(ISNUMBER(FIND("比较法",结果表!D4)),"比较法",IF(ISNUMBER(FIND("成本法",结果表!D4)),"成本法",IF(ISNUMBER(FIND("假设开发法",结果表!D4)),"假设开发法",IF(ISNUMBER(FIND("收益法",结果表!D4)),"收益法","基准地价系数修正法"))))</f>
        <v>假设开发法</v>
      </c>
    </row>
    <row r="5" spans="1:12" ht="12.75">
      <c r="A5" s="3491" t="s">
        <v>13</v>
      </c>
      <c r="B5" s="3478">
        <v>25</v>
      </c>
      <c r="C5" s="3494"/>
      <c r="D5" s="3515"/>
      <c r="E5" s="467" t="s">
        <v>801</v>
      </c>
      <c r="F5" s="428"/>
      <c r="G5" s="428"/>
      <c r="H5" s="428"/>
      <c r="I5" s="429"/>
    </row>
    <row r="6" spans="1:12" ht="12.75">
      <c r="A6" s="3491"/>
      <c r="B6" s="3478"/>
      <c r="C6" s="3495"/>
      <c r="D6" s="3515"/>
      <c r="E6" s="467" t="s">
        <v>802</v>
      </c>
      <c r="F6" s="428"/>
      <c r="G6" s="428"/>
      <c r="H6" s="428"/>
      <c r="I6" s="429"/>
    </row>
    <row r="7" spans="1:12" ht="12.75">
      <c r="A7" s="3491"/>
      <c r="B7" s="3478"/>
      <c r="C7" s="3496"/>
      <c r="D7" s="3515"/>
      <c r="E7" s="467" t="s">
        <v>803</v>
      </c>
      <c r="F7" s="428"/>
      <c r="G7" s="428"/>
      <c r="H7" s="428"/>
      <c r="I7" s="429"/>
    </row>
    <row r="8" spans="1:12" ht="12.75">
      <c r="A8" s="3491" t="s">
        <v>14</v>
      </c>
      <c r="B8" s="3478">
        <v>15</v>
      </c>
      <c r="C8" s="3494"/>
      <c r="D8" s="3515"/>
      <c r="E8" s="467" t="s">
        <v>804</v>
      </c>
      <c r="F8" s="428"/>
      <c r="G8" s="428"/>
      <c r="H8" s="428"/>
      <c r="I8" s="429"/>
    </row>
    <row r="9" spans="1:12" ht="12.75">
      <c r="A9" s="3491"/>
      <c r="B9" s="3478"/>
      <c r="C9" s="3496"/>
      <c r="D9" s="3515"/>
      <c r="E9" s="467" t="s">
        <v>805</v>
      </c>
      <c r="F9" s="428"/>
      <c r="G9" s="428"/>
      <c r="H9" s="428"/>
      <c r="I9" s="429"/>
    </row>
    <row r="10" spans="1:12" ht="12.75">
      <c r="A10" s="3491" t="s">
        <v>15</v>
      </c>
      <c r="B10" s="3478">
        <v>15</v>
      </c>
      <c r="C10" s="3494"/>
      <c r="D10" s="3515"/>
      <c r="E10" s="467" t="s">
        <v>806</v>
      </c>
      <c r="F10" s="428"/>
      <c r="G10" s="428"/>
      <c r="H10" s="428"/>
      <c r="I10" s="429"/>
    </row>
    <row r="11" spans="1:12" ht="12.75">
      <c r="A11" s="3491"/>
      <c r="B11" s="3478"/>
      <c r="C11" s="3496"/>
      <c r="D11" s="3515"/>
      <c r="E11" s="467" t="s">
        <v>807</v>
      </c>
      <c r="F11" s="428"/>
      <c r="G11" s="428"/>
      <c r="H11" s="428"/>
      <c r="I11" s="429"/>
    </row>
    <row r="12" spans="1:12" ht="12.75">
      <c r="A12" s="3491" t="s">
        <v>16</v>
      </c>
      <c r="B12" s="3478">
        <v>15</v>
      </c>
      <c r="C12" s="3494"/>
      <c r="D12" s="3515"/>
      <c r="E12" s="467" t="s">
        <v>808</v>
      </c>
      <c r="F12" s="428"/>
      <c r="G12" s="428"/>
      <c r="H12" s="428"/>
      <c r="I12" s="429"/>
    </row>
    <row r="13" spans="1:12" ht="12.75">
      <c r="A13" s="3491"/>
      <c r="B13" s="3478"/>
      <c r="C13" s="3496"/>
      <c r="D13" s="3515"/>
      <c r="E13" s="467" t="s">
        <v>809</v>
      </c>
      <c r="F13" s="428"/>
      <c r="G13" s="428"/>
      <c r="H13" s="428"/>
      <c r="I13" s="429"/>
    </row>
    <row r="14" spans="1:12" ht="12.75">
      <c r="A14" s="3491" t="s">
        <v>17</v>
      </c>
      <c r="B14" s="3478">
        <v>30</v>
      </c>
      <c r="C14" s="3494">
        <v>4</v>
      </c>
      <c r="D14" s="3515">
        <v>6</v>
      </c>
      <c r="E14" s="467" t="s">
        <v>810</v>
      </c>
      <c r="F14" s="428"/>
      <c r="G14" s="428"/>
      <c r="H14" s="428"/>
      <c r="I14" s="429"/>
    </row>
    <row r="15" spans="1:12" ht="12.75">
      <c r="A15" s="3491"/>
      <c r="B15" s="3478"/>
      <c r="C15" s="3495"/>
      <c r="D15" s="3515"/>
      <c r="E15" s="467" t="s">
        <v>811</v>
      </c>
      <c r="F15" s="428"/>
      <c r="G15" s="428"/>
      <c r="H15" s="428"/>
      <c r="I15" s="429"/>
    </row>
    <row r="16" spans="1:12" ht="12.75">
      <c r="A16" s="3491"/>
      <c r="B16" s="3478"/>
      <c r="C16" s="3496"/>
      <c r="D16" s="3515"/>
      <c r="E16" s="467" t="s">
        <v>812</v>
      </c>
      <c r="F16" s="428"/>
      <c r="G16" s="428"/>
      <c r="H16" s="428"/>
      <c r="I16" s="429"/>
    </row>
    <row r="17" spans="1:35" ht="14.25">
      <c r="A17" s="430" t="s">
        <v>18</v>
      </c>
      <c r="B17" s="38"/>
      <c r="C17" s="468">
        <f>SUM(C5:C16)</f>
        <v>4</v>
      </c>
      <c r="D17" s="468">
        <f>SUM(D5:D16)</f>
        <v>6</v>
      </c>
      <c r="E17" s="2258"/>
      <c r="F17" s="2258"/>
      <c r="G17" s="2258"/>
      <c r="H17" s="2258"/>
      <c r="I17" s="2258"/>
      <c r="K17" s="2165"/>
      <c r="L17" s="2166" t="s">
        <v>2307</v>
      </c>
      <c r="M17" s="2166" t="s">
        <v>2308</v>
      </c>
    </row>
    <row r="18" spans="1:35" ht="15" thickBot="1">
      <c r="A18" s="431" t="s">
        <v>19</v>
      </c>
      <c r="B18" s="18"/>
      <c r="C18" s="469">
        <f>ROUND(C17/SUM(C17:D17),2)</f>
        <v>0.4</v>
      </c>
      <c r="D18" s="469">
        <f>1-C18</f>
        <v>0.6</v>
      </c>
      <c r="E18" s="2258"/>
      <c r="F18" s="2258"/>
      <c r="G18" s="2258"/>
      <c r="H18" s="2258"/>
      <c r="I18" s="2258"/>
      <c r="K18" s="2165" t="s">
        <v>2121</v>
      </c>
      <c r="L18" s="2165">
        <f>IF(C1="",'数据-汇总表'!E3,SUMIF(项目类型,C1,'数据-汇总表'!E17:E26)+SUMIF(项目类型,C1,'数据-汇总表'!I17:I26))</f>
        <v>43758.520000000004</v>
      </c>
      <c r="M18" s="2165">
        <f>IF(C1="",'数据-汇总表'!E3,SUMIF(项目类型,C1,'数据-汇总表'!E17:E26))</f>
        <v>43758.520000000004</v>
      </c>
    </row>
    <row r="19" spans="1:35" ht="14.25">
      <c r="A19" s="432" t="s">
        <v>179</v>
      </c>
      <c r="B19" s="433" t="s">
        <v>20</v>
      </c>
      <c r="C19" s="470">
        <f ca="1">SUMIF(INDIRECT("'"&amp;C4&amp;"'"&amp;"!A:A"),结果表!B19,INDIRECT("'"&amp;C4&amp;"'"&amp;"!B:B"))</f>
        <v>176588</v>
      </c>
      <c r="D19" s="471">
        <f ca="1">SUMIF(INDIRECT("'"&amp;D4&amp;"'"&amp;"!A:A"),结果表!B19,INDIRECT("'"&amp;D4&amp;"'"&amp;"!B:B"))</f>
        <v>124495</v>
      </c>
      <c r="E19" s="432" t="s">
        <v>178</v>
      </c>
      <c r="F19" s="433" t="s">
        <v>20</v>
      </c>
      <c r="G19" s="472">
        <f ca="1">ROUND(C19*$C$18+D19*$D$18,0)</f>
        <v>145332</v>
      </c>
      <c r="H19" s="434" t="s">
        <v>225</v>
      </c>
      <c r="I19" s="2258"/>
      <c r="K19" s="2165" t="s">
        <v>2122</v>
      </c>
      <c r="L19" s="2165">
        <f>IF(C1="",'数据-汇总表'!D3,SUMIF(项目类型,C1,'数据-汇总表'!D17:D26)+SUMIF(项目类型,C1,'数据-汇总表'!H17:H27))</f>
        <v>10808.06</v>
      </c>
      <c r="M19" s="2165">
        <f>IF(C1="",'数据-汇总表'!D3,SUMIF(项目类型,C1,'数据-汇总表'!D17:D26))</f>
        <v>10808.06</v>
      </c>
    </row>
    <row r="20" spans="1:35" ht="14.25">
      <c r="A20" s="435"/>
      <c r="B20" s="436" t="s">
        <v>21</v>
      </c>
      <c r="C20" s="473">
        <f ca="1">SUMIF(INDIRECT("'"&amp;C4&amp;"'"&amp;"!A:A"),结果表!B20,INDIRECT("'"&amp;C4&amp;"'"&amp;"!B:B"))</f>
        <v>40355</v>
      </c>
      <c r="D20" s="474">
        <f ca="1">SUMIF(INDIRECT("'"&amp;D4&amp;"'"&amp;"!A:A"),结果表!B20,INDIRECT("'"&amp;D4&amp;"'"&amp;"!B:B"))</f>
        <v>28450</v>
      </c>
      <c r="E20" s="435"/>
      <c r="F20" s="436" t="s">
        <v>21</v>
      </c>
      <c r="G20" s="475">
        <f ca="1">ROUND(C20*$C$18+D20*$D$18,0)</f>
        <v>33212</v>
      </c>
      <c r="H20" s="437" t="s">
        <v>224</v>
      </c>
      <c r="I20" s="2258"/>
    </row>
    <row r="21" spans="1:35" ht="15" customHeight="1" thickBot="1">
      <c r="A21" s="439"/>
      <c r="B21" s="440" t="s">
        <v>22</v>
      </c>
      <c r="C21" s="1411">
        <f ca="1">ROUND(C19*10000/L19,0)</f>
        <v>163385</v>
      </c>
      <c r="D21" s="1412">
        <f ca="1">ROUND(D19*10000/L19,0)</f>
        <v>115187</v>
      </c>
      <c r="E21" s="439"/>
      <c r="F21" s="440" t="s">
        <v>22</v>
      </c>
      <c r="G21" s="476">
        <f ca="1">ROUND(G19*10000/L19,0)</f>
        <v>134466</v>
      </c>
      <c r="H21" s="441" t="s">
        <v>224</v>
      </c>
      <c r="I21" s="2258"/>
    </row>
    <row r="22" spans="1:35" ht="15" thickBot="1">
      <c r="A22" s="273" t="s">
        <v>180</v>
      </c>
      <c r="B22" s="1413"/>
      <c r="C22" s="1414"/>
      <c r="D22" s="1415">
        <f ca="1">IF(C19&lt;D19,D19/C19-1,C19/D19-1)</f>
        <v>0.41843447528013167</v>
      </c>
      <c r="E22" s="2258"/>
      <c r="F22" s="2258"/>
      <c r="G22" s="2258"/>
      <c r="H22" s="2258"/>
      <c r="I22" s="2258"/>
    </row>
    <row r="23" spans="1:35" ht="12.75" thickBot="1">
      <c r="A23" s="1233"/>
      <c r="B23" s="1233"/>
      <c r="C23" s="1233"/>
      <c r="D23" s="1233"/>
      <c r="E23" s="2258"/>
      <c r="F23" s="2258"/>
      <c r="G23" s="2258"/>
      <c r="H23" s="2258"/>
      <c r="I23" s="2258"/>
    </row>
    <row r="24" spans="1:35" ht="14.25">
      <c r="A24" s="3485" t="s">
        <v>176</v>
      </c>
      <c r="B24" s="433" t="s">
        <v>20</v>
      </c>
      <c r="C24" s="472">
        <f>IF(B30=0,0,D30)</f>
        <v>0</v>
      </c>
      <c r="D24" s="442"/>
      <c r="E24" s="2258"/>
      <c r="F24" s="2258"/>
      <c r="G24" s="2258"/>
      <c r="H24" s="2258"/>
      <c r="I24" s="2258"/>
    </row>
    <row r="25" spans="1:35" ht="14.25">
      <c r="A25" s="3486"/>
      <c r="B25" s="436" t="s">
        <v>21</v>
      </c>
      <c r="C25" s="477">
        <f>IF(B30=0,0,C30)</f>
        <v>0</v>
      </c>
      <c r="D25" s="443"/>
      <c r="E25" s="2258"/>
      <c r="F25" s="2258">
        <f ca="1">ROUND(C19/'数据-汇总表'!$E$3*10000,0)</f>
        <v>40355</v>
      </c>
      <c r="G25" s="2258">
        <f ca="1">ROUND(D19/'数据-汇总表'!$E$3*10000,0)</f>
        <v>28450</v>
      </c>
      <c r="H25" s="2258">
        <f ca="1">ROUND(G19/'数据-汇总表'!$E$3*10000,0)</f>
        <v>33212</v>
      </c>
      <c r="I25" s="2258"/>
    </row>
    <row r="26" spans="1:35" ht="13.5" customHeight="1">
      <c r="A26" s="444" t="s">
        <v>177</v>
      </c>
      <c r="B26" s="445" t="s">
        <v>120</v>
      </c>
      <c r="C26" s="445" t="s">
        <v>121</v>
      </c>
      <c r="D26" s="446" t="s">
        <v>122</v>
      </c>
      <c r="E26" s="2258"/>
      <c r="F26" s="2258"/>
      <c r="G26" s="2258"/>
      <c r="H26" s="2258"/>
      <c r="I26" s="2258"/>
    </row>
    <row r="27" spans="1:35" ht="14.25">
      <c r="A27" s="444"/>
      <c r="B27" s="478">
        <v>0</v>
      </c>
      <c r="C27" s="478">
        <v>0</v>
      </c>
      <c r="D27" s="479">
        <f>ROUND(C27*B27/10000,0)</f>
        <v>0</v>
      </c>
      <c r="E27" s="2258"/>
      <c r="F27" s="2258"/>
      <c r="G27" s="2258"/>
      <c r="H27" s="2258"/>
      <c r="I27" s="2258"/>
    </row>
    <row r="28" spans="1:35" ht="14.25">
      <c r="A28" s="444"/>
      <c r="B28" s="478"/>
      <c r="C28" s="478"/>
      <c r="D28" s="479"/>
      <c r="E28" s="2258"/>
      <c r="F28" s="2258"/>
      <c r="G28" s="2258"/>
      <c r="H28" s="2258"/>
      <c r="I28" s="2258"/>
    </row>
    <row r="29" spans="1:35" ht="14.25">
      <c r="A29" s="444"/>
      <c r="B29" s="478"/>
      <c r="C29" s="478"/>
      <c r="D29" s="479"/>
      <c r="E29" s="2258"/>
      <c r="F29" s="2258"/>
      <c r="G29" s="2258"/>
      <c r="H29" s="2258"/>
      <c r="I29" s="2258"/>
    </row>
    <row r="30" spans="1:35" ht="14.25">
      <c r="A30" s="447" t="s">
        <v>175</v>
      </c>
      <c r="B30" s="480">
        <f>SUM(B27:B29)</f>
        <v>0</v>
      </c>
      <c r="C30" s="480" t="e">
        <f>ROUND(D30*10000/B30,0)</f>
        <v>#DIV/0!</v>
      </c>
      <c r="D30" s="480">
        <f>SUM(D27:D29)</f>
        <v>0</v>
      </c>
      <c r="E30" s="2258"/>
      <c r="F30" s="2258"/>
      <c r="G30" s="2258"/>
      <c r="H30" s="2258"/>
      <c r="I30" s="2258"/>
    </row>
    <row r="31" spans="1:35" s="1235" customFormat="1" ht="14.25" thickBot="1">
      <c r="A31" s="448"/>
      <c r="B31" s="448"/>
      <c r="C31" s="448"/>
      <c r="D31" s="448"/>
      <c r="E31" s="2258"/>
      <c r="F31" s="2258"/>
      <c r="G31" s="2258"/>
      <c r="H31" s="2258"/>
      <c r="I31" s="2258"/>
      <c r="J31" s="1435"/>
      <c r="K31" s="1435"/>
      <c r="L31" s="1435"/>
      <c r="M31" s="1435"/>
      <c r="N31" s="1435"/>
      <c r="O31" s="1435"/>
      <c r="P31" s="1435"/>
      <c r="Q31" s="1435"/>
      <c r="R31" s="1435"/>
      <c r="S31" s="1435"/>
      <c r="T31" s="1435"/>
      <c r="U31" s="1435"/>
      <c r="V31" s="1435"/>
      <c r="W31" s="1435"/>
      <c r="X31" s="1435"/>
      <c r="Y31" s="1435"/>
      <c r="Z31" s="1435"/>
      <c r="AA31" s="1423"/>
      <c r="AB31" s="1423"/>
      <c r="AC31" s="1423"/>
      <c r="AD31" s="1423"/>
      <c r="AE31" s="1423"/>
      <c r="AF31" s="1423"/>
      <c r="AG31" s="1423"/>
      <c r="AH31" s="1423"/>
      <c r="AI31" s="1423"/>
    </row>
    <row r="32" spans="1:35" ht="15" thickBot="1">
      <c r="A32" s="449" t="s">
        <v>174</v>
      </c>
      <c r="B32" s="450"/>
      <c r="C32" s="481">
        <f ca="1">IF(D32="总价",G19-C24,G20-C25)</f>
        <v>145332</v>
      </c>
      <c r="D32" s="2073" t="s">
        <v>207</v>
      </c>
      <c r="E32" s="2258"/>
      <c r="F32" s="2258"/>
      <c r="G32" s="2258"/>
      <c r="H32" s="2258"/>
      <c r="I32" s="2258"/>
    </row>
    <row r="33" spans="1:15" ht="13.5">
      <c r="A33" s="453" t="s">
        <v>758</v>
      </c>
      <c r="B33" s="2072"/>
      <c r="C33" s="2855" t="s">
        <v>3217</v>
      </c>
      <c r="D33" s="2858" t="s">
        <v>3171</v>
      </c>
      <c r="E33" s="2070" t="s">
        <v>2101</v>
      </c>
      <c r="F33" s="2071" t="str">
        <f>IF(D32="楼面单价","取值（单价）","取值（总价）")</f>
        <v>取值（总价）</v>
      </c>
      <c r="G33" s="2258"/>
      <c r="H33" s="2258"/>
      <c r="I33" s="2258"/>
    </row>
    <row r="34" spans="1:15" ht="15">
      <c r="A34" s="454"/>
      <c r="B34" s="455" t="s">
        <v>761</v>
      </c>
      <c r="C34" s="485">
        <f ca="1">IF(C33="自定义",F34,C32-C35)</f>
        <v>136612</v>
      </c>
      <c r="D34" s="2074">
        <f ca="1">IF(C33="自定义",ROUND(C34/C32,3),IF(C33="收益比率",SUMIF(INDIRECT("'"&amp;D33&amp;"'"&amp;"!b:b"),"土地收益比率",INDIRECT("'"&amp;D33&amp;"'"&amp;"!c:c")),SUMIF(INDIRECT("'"&amp;D33&amp;"'"&amp;"!b:b"),"土地成本比率",INDIRECT("'"&amp;D33&amp;"'"&amp;"!c:c"))))</f>
        <v>0.94</v>
      </c>
      <c r="E34" s="2856" t="s">
        <v>2102</v>
      </c>
      <c r="F34" s="3230"/>
      <c r="G34" s="2258"/>
      <c r="H34" s="2258"/>
      <c r="I34" s="2258"/>
    </row>
    <row r="35" spans="1:15" ht="15.75" thickBot="1">
      <c r="A35" s="457"/>
      <c r="B35" s="2859" t="s">
        <v>763</v>
      </c>
      <c r="C35" s="2860">
        <f ca="1">IF(C33="自定义",F35,ROUND(C32*D35,0))</f>
        <v>8720</v>
      </c>
      <c r="D35" s="2861">
        <f ca="1">IF(C33="自定义",ROUND(C35/C32,3),IF(C33="收益比率",SUMIF(INDIRECT("'"&amp;D33&amp;"'"&amp;"!b:b"),"建筑物收益比率",INDIRECT("'"&amp;D33&amp;"'"&amp;"!c:c")),SUMIF(INDIRECT("'"&amp;D33&amp;"'"&amp;"!b:b"),"建筑物成本比率",INDIRECT("'"&amp;D33&amp;"'"&amp;"!c:c"))))</f>
        <v>0.06</v>
      </c>
      <c r="E35" s="2857" t="s">
        <v>2103</v>
      </c>
      <c r="F35" s="491"/>
      <c r="G35" s="2258"/>
      <c r="H35" s="2258"/>
      <c r="I35" s="2258"/>
    </row>
    <row r="36" spans="1:15" ht="15.75" thickBot="1">
      <c r="A36" s="3504" t="s">
        <v>759</v>
      </c>
      <c r="B36" s="451" t="s">
        <v>760</v>
      </c>
      <c r="C36" s="482"/>
      <c r="D36" s="452"/>
      <c r="E36" s="1236"/>
      <c r="F36" s="2259"/>
      <c r="G36" s="2258"/>
      <c r="H36" s="2258"/>
      <c r="I36" s="2258"/>
    </row>
    <row r="37" spans="1:15" ht="15.75" thickBot="1">
      <c r="A37" s="3505"/>
      <c r="B37" s="13" t="s">
        <v>762</v>
      </c>
      <c r="C37" s="484"/>
      <c r="D37" s="2207"/>
      <c r="E37" s="2207"/>
      <c r="F37" s="2259"/>
      <c r="G37" s="2258"/>
      <c r="H37" s="2258"/>
      <c r="I37" s="2258"/>
    </row>
    <row r="38" spans="1:15" ht="15.75" thickBot="1">
      <c r="A38" s="3506"/>
      <c r="B38" s="456" t="s">
        <v>764</v>
      </c>
      <c r="C38" s="1127"/>
      <c r="D38" s="1237" t="s">
        <v>765</v>
      </c>
      <c r="E38" s="2207"/>
      <c r="F38" s="2259"/>
      <c r="G38" s="2258"/>
      <c r="H38" s="2258"/>
      <c r="I38" s="2258"/>
    </row>
    <row r="39" spans="1:15" ht="13.5">
      <c r="A39" s="435" t="s">
        <v>766</v>
      </c>
      <c r="B39" s="458" t="s">
        <v>767</v>
      </c>
      <c r="C39" s="459" t="s">
        <v>768</v>
      </c>
      <c r="D39" s="459" t="s">
        <v>769</v>
      </c>
      <c r="E39" s="460" t="s">
        <v>770</v>
      </c>
      <c r="F39" s="2259"/>
      <c r="G39" s="2258"/>
      <c r="H39" s="2258"/>
      <c r="I39" s="2258"/>
    </row>
    <row r="40" spans="1:15" ht="13.5">
      <c r="A40" s="1238" t="s">
        <v>771</v>
      </c>
      <c r="B40" s="486"/>
      <c r="C40" s="487"/>
      <c r="D40" s="487"/>
      <c r="E40" s="488">
        <f ca="1">G19/'数据-汇总表'!F31*10000</f>
        <v>43452.262069773809</v>
      </c>
      <c r="F40" s="2259"/>
      <c r="G40" s="2258"/>
      <c r="H40" s="2258"/>
      <c r="I40" s="2258"/>
    </row>
    <row r="41" spans="1:15" ht="13.5">
      <c r="A41" s="1238" t="s">
        <v>772</v>
      </c>
      <c r="B41" s="486"/>
      <c r="C41" s="487"/>
      <c r="D41" s="487"/>
      <c r="E41" s="488"/>
      <c r="F41" s="2259"/>
      <c r="G41" s="2258"/>
      <c r="H41" s="2258"/>
      <c r="I41" s="2258"/>
    </row>
    <row r="42" spans="1:15" ht="14.25" thickBot="1">
      <c r="A42" s="1239"/>
      <c r="B42" s="489"/>
      <c r="C42" s="490"/>
      <c r="D42" s="490"/>
      <c r="E42" s="491"/>
      <c r="F42" s="2259"/>
      <c r="G42" s="2258"/>
      <c r="H42" s="2258"/>
      <c r="I42" s="2258"/>
    </row>
    <row r="43" spans="1:15" ht="12">
      <c r="A43" s="239"/>
      <c r="B43" s="239"/>
      <c r="C43" s="239"/>
      <c r="D43" s="239"/>
      <c r="E43" s="239"/>
      <c r="F43" s="1240"/>
      <c r="G43" s="1240"/>
      <c r="H43" s="1240"/>
      <c r="I43" s="1241"/>
    </row>
    <row r="44" spans="1:15" ht="18.75">
      <c r="A44" s="1242" t="s">
        <v>773</v>
      </c>
      <c r="B44" s="1243"/>
      <c r="C44" s="1243"/>
      <c r="D44" s="1244"/>
      <c r="E44" s="1244"/>
      <c r="F44" s="1245"/>
      <c r="G44" s="1245"/>
      <c r="H44" s="1245"/>
      <c r="I44" s="1245"/>
      <c r="J44" s="3247" t="s">
        <v>211</v>
      </c>
      <c r="K44" s="3248"/>
      <c r="L44" s="3248"/>
      <c r="M44" s="3248"/>
      <c r="N44" s="3248"/>
      <c r="O44" s="3248"/>
    </row>
    <row r="45" spans="1:15" ht="14.25" customHeight="1" thickBot="1">
      <c r="A45" s="3482" t="s">
        <v>793</v>
      </c>
      <c r="B45" s="3483"/>
      <c r="C45" s="3484"/>
      <c r="D45" s="492">
        <f ca="1">ROUND(H101*F45,0)</f>
        <v>145332</v>
      </c>
      <c r="E45" s="493" t="s">
        <v>794</v>
      </c>
      <c r="F45" s="494">
        <v>1</v>
      </c>
      <c r="G45" s="495" t="s">
        <v>795</v>
      </c>
      <c r="H45" s="2258"/>
      <c r="I45" s="2258"/>
      <c r="J45" s="3546" t="s">
        <v>212</v>
      </c>
      <c r="K45" s="3546"/>
      <c r="L45" s="3546"/>
      <c r="M45" s="3546"/>
      <c r="N45" s="3546"/>
      <c r="O45" s="3546"/>
    </row>
    <row r="46" spans="1:15" ht="14.25" customHeight="1">
      <c r="A46" s="3479" t="s">
        <v>284</v>
      </c>
      <c r="B46" s="3480"/>
      <c r="C46" s="3480"/>
      <c r="D46" s="3480"/>
      <c r="E46" s="3480"/>
      <c r="F46" s="3480"/>
      <c r="G46" s="3481"/>
      <c r="H46" s="2260"/>
      <c r="I46" s="2213"/>
      <c r="J46" s="1483">
        <v>1</v>
      </c>
      <c r="K46" s="3546" t="s">
        <v>213</v>
      </c>
      <c r="L46" s="3546"/>
      <c r="M46" s="3570"/>
      <c r="N46" s="3570"/>
      <c r="O46" s="3570"/>
    </row>
    <row r="47" spans="1:15" ht="12" customHeight="1">
      <c r="A47" s="497" t="s">
        <v>285</v>
      </c>
      <c r="B47" s="498"/>
      <c r="C47" s="499"/>
      <c r="D47" s="500" t="s">
        <v>286</v>
      </c>
      <c r="E47" s="311" t="s">
        <v>287</v>
      </c>
      <c r="F47" s="501" t="s">
        <v>796</v>
      </c>
      <c r="G47" s="502" t="s">
        <v>797</v>
      </c>
      <c r="H47" s="2260"/>
      <c r="I47" s="2213"/>
      <c r="J47" s="1483">
        <v>2</v>
      </c>
      <c r="K47" s="3546" t="s">
        <v>214</v>
      </c>
      <c r="L47" s="3546"/>
      <c r="M47" s="3571">
        <f>'数据-取费表'!B2</f>
        <v>43006</v>
      </c>
      <c r="N47" s="3571"/>
      <c r="O47" s="3571"/>
    </row>
    <row r="48" spans="1:15" ht="25.5">
      <c r="A48" s="3511" t="s">
        <v>288</v>
      </c>
      <c r="B48" s="3493"/>
      <c r="C48" s="3493"/>
      <c r="D48" s="467">
        <f>IF(H48="情况1",0,IF(H48="情况2",D52,IF(H48="情况3",D53,IF(H48="情况4",D54))))</f>
        <v>0</v>
      </c>
      <c r="E48" s="1906" t="str">
        <f>IF(H48="情况4","(销售额-原购置价)×税（费）率","销售额×税（费）率")</f>
        <v>销售额×税（费）率</v>
      </c>
      <c r="F48" s="503" t="str">
        <f>IF(H48="情况1","免征",'数据-取费表'!B41)</f>
        <v>免征</v>
      </c>
      <c r="G48" s="461" t="s">
        <v>774</v>
      </c>
      <c r="H48" s="1421" t="s">
        <v>2404</v>
      </c>
      <c r="I48" s="2260"/>
      <c r="J48" s="1483">
        <v>3</v>
      </c>
      <c r="K48" s="3546" t="s">
        <v>775</v>
      </c>
      <c r="L48" s="3546"/>
      <c r="M48" s="3572">
        <f ca="1">H101</f>
        <v>145332</v>
      </c>
      <c r="N48" s="3572"/>
      <c r="O48" s="3572"/>
    </row>
    <row r="49" spans="1:35" ht="25.5" customHeight="1">
      <c r="A49" s="504" t="s">
        <v>798</v>
      </c>
      <c r="B49" s="3477" t="s">
        <v>799</v>
      </c>
      <c r="C49" s="3477"/>
      <c r="D49" s="505">
        <v>0</v>
      </c>
      <c r="E49" s="310" t="s">
        <v>800</v>
      </c>
      <c r="F49" s="315" t="s">
        <v>170</v>
      </c>
      <c r="G49" s="3552"/>
      <c r="H49" s="2258"/>
      <c r="I49" s="2261"/>
      <c r="J49" s="1483">
        <v>4</v>
      </c>
      <c r="K49" s="3546" t="str">
        <f>IF(项目基本情况!E8="房地产抵押价值","房地产抵押价值","抵押担保权已注销时的房地产抵押价值")</f>
        <v>房地产抵押价值</v>
      </c>
      <c r="L49" s="3546"/>
      <c r="M49" s="3572">
        <f ca="1">IF(项目基本情况!E8="房地产抵押价值",H107,H109)</f>
        <v>145332</v>
      </c>
      <c r="N49" s="3572"/>
      <c r="O49" s="3572"/>
    </row>
    <row r="50" spans="1:35" ht="25.5" customHeight="1">
      <c r="A50" s="506"/>
      <c r="B50" s="3477" t="s">
        <v>291</v>
      </c>
      <c r="C50" s="3477"/>
      <c r="D50" s="507"/>
      <c r="E50" s="318"/>
      <c r="F50" s="508"/>
      <c r="G50" s="3553"/>
      <c r="H50" s="2258"/>
      <c r="I50" s="2261"/>
      <c r="J50" s="3546" t="s">
        <v>215</v>
      </c>
      <c r="K50" s="3546"/>
      <c r="L50" s="3546"/>
      <c r="M50" s="3546"/>
      <c r="N50" s="3546"/>
      <c r="O50" s="3546"/>
    </row>
    <row r="51" spans="1:35" ht="12" customHeight="1">
      <c r="A51" s="509"/>
      <c r="B51" s="3477" t="s">
        <v>292</v>
      </c>
      <c r="C51" s="3477"/>
      <c r="D51" s="510"/>
      <c r="E51" s="317"/>
      <c r="F51" s="508"/>
      <c r="G51" s="3554"/>
      <c r="H51" s="2258"/>
      <c r="I51" s="2261"/>
      <c r="J51" s="3249" t="s">
        <v>216</v>
      </c>
      <c r="K51" s="3546" t="s">
        <v>217</v>
      </c>
      <c r="L51" s="3546"/>
      <c r="M51" s="3249" t="s">
        <v>2989</v>
      </c>
      <c r="N51" s="3249" t="s">
        <v>218</v>
      </c>
      <c r="O51" s="3249" t="s">
        <v>219</v>
      </c>
    </row>
    <row r="52" spans="1:35" ht="24" customHeight="1">
      <c r="A52" s="511" t="s">
        <v>293</v>
      </c>
      <c r="B52" s="3477" t="s">
        <v>294</v>
      </c>
      <c r="C52" s="3477"/>
      <c r="D52" s="510">
        <f ca="1">ROUND(D45*'数据-取费表'!B41/(1+'数据-取费表'!C42),0)</f>
        <v>7613</v>
      </c>
      <c r="E52" s="297" t="s">
        <v>295</v>
      </c>
      <c r="F52" s="512">
        <f>'数据-取费表'!B41</f>
        <v>5.5000000000000007E-2</v>
      </c>
      <c r="G52" s="462"/>
      <c r="H52" s="2258"/>
      <c r="I52" s="2261"/>
      <c r="J52" s="1483">
        <v>1</v>
      </c>
      <c r="K52" s="3547" t="s">
        <v>776</v>
      </c>
      <c r="L52" s="3547"/>
      <c r="M52" s="3250">
        <f>D48</f>
        <v>0</v>
      </c>
      <c r="N52" s="1482" t="str">
        <f>E48</f>
        <v>销售额×税（费）率</v>
      </c>
      <c r="O52" s="3251" t="str">
        <f>F48</f>
        <v>免征</v>
      </c>
    </row>
    <row r="53" spans="1:35" ht="12" customHeight="1">
      <c r="A53" s="511" t="s">
        <v>296</v>
      </c>
      <c r="B53" s="3502" t="s">
        <v>297</v>
      </c>
      <c r="C53" s="3503"/>
      <c r="D53" s="510">
        <f ca="1">ROUND(D45*'数据-取费表'!B41/(1+'数据-取费表'!C42),0)</f>
        <v>7613</v>
      </c>
      <c r="E53" s="297" t="s">
        <v>295</v>
      </c>
      <c r="F53" s="512">
        <f>'数据-取费表'!B41</f>
        <v>5.5000000000000007E-2</v>
      </c>
      <c r="G53" s="462"/>
      <c r="H53" s="2258"/>
      <c r="I53" s="2261"/>
      <c r="J53" s="1483">
        <v>2</v>
      </c>
      <c r="K53" s="3547" t="s">
        <v>777</v>
      </c>
      <c r="L53" s="3547"/>
      <c r="M53" s="3250">
        <f t="shared" ref="M53:O54" ca="1" si="0">D55</f>
        <v>73</v>
      </c>
      <c r="N53" s="1482" t="str">
        <f t="shared" si="0"/>
        <v>销售额×税（费）率</v>
      </c>
      <c r="O53" s="3251">
        <f t="shared" si="0"/>
        <v>5.0000000000000001E-4</v>
      </c>
    </row>
    <row r="54" spans="1:35" ht="12" customHeight="1">
      <c r="A54" s="511" t="s">
        <v>298</v>
      </c>
      <c r="B54" s="3502" t="s">
        <v>299</v>
      </c>
      <c r="C54" s="3503"/>
      <c r="D54" s="510">
        <f ca="1">C68</f>
        <v>7613</v>
      </c>
      <c r="E54" s="317" t="s">
        <v>300</v>
      </c>
      <c r="F54" s="512">
        <f>'数据-取费表'!B41</f>
        <v>5.5000000000000007E-2</v>
      </c>
      <c r="G54" s="462"/>
      <c r="H54" s="2262"/>
      <c r="I54" s="2261"/>
      <c r="J54" s="1483">
        <v>3</v>
      </c>
      <c r="K54" s="3547" t="s">
        <v>778</v>
      </c>
      <c r="L54" s="3547"/>
      <c r="M54" s="3250">
        <f t="shared" ca="1" si="0"/>
        <v>82389</v>
      </c>
      <c r="N54" s="1482" t="str">
        <f t="shared" si="0"/>
        <v>增值额×税（费）率</v>
      </c>
      <c r="O54" s="3252" t="str">
        <f t="shared" si="0"/>
        <v>——</v>
      </c>
    </row>
    <row r="55" spans="1:35" ht="24" customHeight="1">
      <c r="A55" s="3492" t="s">
        <v>301</v>
      </c>
      <c r="B55" s="3493"/>
      <c r="C55" s="3493"/>
      <c r="D55" s="513">
        <f ca="1">IF(H55="个人住宅",0,ROUND(D45*I55,0))</f>
        <v>73</v>
      </c>
      <c r="E55" s="297" t="s">
        <v>302</v>
      </c>
      <c r="F55" s="512">
        <f>IF(H55="正常",I55,"免征")</f>
        <v>5.0000000000000001E-4</v>
      </c>
      <c r="G55" s="462"/>
      <c r="H55" s="1421" t="s">
        <v>155</v>
      </c>
      <c r="I55" s="514">
        <f>'数据-取费表'!B49</f>
        <v>5.0000000000000001E-4</v>
      </c>
      <c r="J55" s="1483" t="str">
        <f>IF(H59="非个人房产","",4)</f>
        <v/>
      </c>
      <c r="K55" s="3547" t="str">
        <f>IF(H59="非个人房产","——","个人所得税")</f>
        <v>——</v>
      </c>
      <c r="L55" s="3547"/>
      <c r="M55" s="3253" t="str">
        <f>D59</f>
        <v>——</v>
      </c>
      <c r="N55" s="3254" t="str">
        <f>E59</f>
        <v>——</v>
      </c>
      <c r="O55" s="3255" t="str">
        <f>F59</f>
        <v>——</v>
      </c>
    </row>
    <row r="56" spans="1:35" ht="24.75">
      <c r="A56" s="3492" t="s">
        <v>303</v>
      </c>
      <c r="B56" s="3493"/>
      <c r="C56" s="3493"/>
      <c r="D56" s="513">
        <f ca="1">IF(H56="个人住宅",D57,D58)</f>
        <v>82389</v>
      </c>
      <c r="E56" s="297" t="s">
        <v>304</v>
      </c>
      <c r="F56" s="512" t="str">
        <f>IF(H56="正常",F58,"免征")</f>
        <v>——</v>
      </c>
      <c r="G56" s="1246" t="s">
        <v>779</v>
      </c>
      <c r="H56" s="1420" t="s">
        <v>155</v>
      </c>
      <c r="I56" s="2263"/>
      <c r="J56" s="1483" t="str">
        <f>IF(项目基本情况!K6="上海银行",IF(J55="",4,J55+1),"")</f>
        <v/>
      </c>
      <c r="K56" s="3574" t="str">
        <f>IF(项目基本情况!K6="上海银行","其他处置费用","")</f>
        <v/>
      </c>
      <c r="L56" s="3575"/>
      <c r="M56" s="3250" t="str">
        <f>IF(项目基本情况!K6="上海银行",M69,"")</f>
        <v/>
      </c>
      <c r="N56" s="3577" t="str">
        <f>IF(项目基本情况!K6="上海银行","包含处置中涉及的律师、诉讼、拍卖、评估等费用","")</f>
        <v/>
      </c>
      <c r="O56" s="3578"/>
    </row>
    <row r="57" spans="1:35" ht="12.75">
      <c r="A57" s="511" t="s">
        <v>289</v>
      </c>
      <c r="B57" s="3509" t="s">
        <v>305</v>
      </c>
      <c r="C57" s="3532"/>
      <c r="D57" s="515">
        <v>0</v>
      </c>
      <c r="E57" s="310" t="s">
        <v>290</v>
      </c>
      <c r="F57" s="483"/>
      <c r="G57" s="462"/>
      <c r="H57" s="2263"/>
      <c r="I57" s="2263"/>
      <c r="J57" s="3557">
        <f>IF(AND(J55="",J56=""),4,IF(项目基本情况!K6="上海银行",结果表!J56+1,结果表!J55+1))</f>
        <v>4</v>
      </c>
      <c r="K57" s="3547" t="s">
        <v>780</v>
      </c>
      <c r="L57" s="3256" t="s">
        <v>220</v>
      </c>
      <c r="M57" s="3257"/>
      <c r="N57" s="3258">
        <f ca="1">SUMIF(M52:M56,"&lt;9e307")</f>
        <v>82462</v>
      </c>
      <c r="O57" s="3259"/>
      <c r="P57" s="3246">
        <f ca="1">N57/M49</f>
        <v>0.56740428811273502</v>
      </c>
    </row>
    <row r="58" spans="1:35" ht="24.75">
      <c r="A58" s="511" t="s">
        <v>293</v>
      </c>
      <c r="B58" s="3509" t="s">
        <v>306</v>
      </c>
      <c r="C58" s="3510"/>
      <c r="D58" s="513">
        <f ca="1">IF(H58="转让取得",C81,C97)</f>
        <v>82389</v>
      </c>
      <c r="E58" s="297" t="s">
        <v>304</v>
      </c>
      <c r="F58" s="311" t="s">
        <v>170</v>
      </c>
      <c r="G58" s="462"/>
      <c r="H58" s="1420" t="s">
        <v>1126</v>
      </c>
      <c r="I58" s="2263"/>
      <c r="J58" s="3557"/>
      <c r="K58" s="3547"/>
      <c r="L58" s="3256" t="s">
        <v>221</v>
      </c>
      <c r="M58" s="3260"/>
      <c r="N58" s="3261" t="str">
        <f ca="1">NUMBERSTRING(INT(N57*10000),2)&amp;"元整"</f>
        <v>捌亿贰仟肆佰陆拾贰万元整</v>
      </c>
      <c r="O58" s="3262"/>
    </row>
    <row r="59" spans="1:35" ht="24.75" thickBot="1">
      <c r="A59" s="3550" t="s">
        <v>307</v>
      </c>
      <c r="B59" s="3551"/>
      <c r="C59" s="3551"/>
      <c r="D59" s="516" t="str">
        <f>IF(H59="非个人房产","——",IF(H59="个人住宅",0,ROUND(D45*I59,0)))</f>
        <v>——</v>
      </c>
      <c r="E59" s="517" t="str">
        <f>IF(H59="非个人房产","——","销售额×税（费）率")</f>
        <v>——</v>
      </c>
      <c r="F59" s="518" t="str">
        <f>IF(H59="非个人房产","——",IF(H59="个人住宅","免征",I59))</f>
        <v>——</v>
      </c>
      <c r="G59" s="1247" t="s">
        <v>169</v>
      </c>
      <c r="H59" s="1420" t="s">
        <v>1125</v>
      </c>
      <c r="I59" s="519">
        <v>0.01</v>
      </c>
      <c r="J59" s="3548">
        <f>J57+1</f>
        <v>5</v>
      </c>
      <c r="K59" s="3547" t="s">
        <v>171</v>
      </c>
      <c r="L59" s="1482" t="s">
        <v>220</v>
      </c>
      <c r="M59" s="3263"/>
      <c r="N59" s="3264">
        <f ca="1">M49-N57</f>
        <v>62870</v>
      </c>
      <c r="O59" s="3265"/>
    </row>
    <row r="60" spans="1:35" ht="12" customHeight="1">
      <c r="A60" s="1248"/>
      <c r="B60" s="1233"/>
      <c r="C60" s="1233"/>
      <c r="D60" s="1233"/>
      <c r="E60" s="227"/>
      <c r="F60" s="2263"/>
      <c r="G60" s="2263"/>
      <c r="H60" s="2264"/>
      <c r="I60" s="2258"/>
      <c r="J60" s="3549"/>
      <c r="K60" s="3547"/>
      <c r="L60" s="3256" t="s">
        <v>221</v>
      </c>
      <c r="M60" s="3260"/>
      <c r="N60" s="3261" t="str">
        <f ca="1">NUMBERSTRING(INT(N59*10000),2)&amp;"元整"</f>
        <v>陆亿贰仟捌佰柒拾万元整</v>
      </c>
      <c r="O60" s="3262"/>
    </row>
    <row r="61" spans="1:35" ht="13.5" thickBot="1">
      <c r="A61" s="3490" t="s">
        <v>308</v>
      </c>
      <c r="B61" s="3490"/>
      <c r="C61" s="3490"/>
      <c r="D61" s="3490"/>
      <c r="E61" s="3490"/>
      <c r="F61" s="2263"/>
      <c r="G61" s="2263"/>
      <c r="H61" s="2264"/>
      <c r="I61" s="2258"/>
      <c r="J61" s="1483">
        <f>J59+1</f>
        <v>6</v>
      </c>
      <c r="K61" s="3547" t="s">
        <v>222</v>
      </c>
      <c r="L61" s="3547"/>
      <c r="M61" s="3266"/>
      <c r="N61" s="3267">
        <f ca="1">ROUND(N59*10000/'数据-汇总表'!E3,0)</f>
        <v>14367</v>
      </c>
      <c r="O61" s="3268"/>
    </row>
    <row r="62" spans="1:35" ht="12.75">
      <c r="A62" s="3507" t="s">
        <v>309</v>
      </c>
      <c r="B62" s="3508"/>
      <c r="C62" s="1900"/>
      <c r="D62" s="1900" t="s">
        <v>317</v>
      </c>
      <c r="E62" s="520" t="s">
        <v>318</v>
      </c>
      <c r="F62" s="2263"/>
      <c r="G62" s="2263"/>
      <c r="H62" s="2264"/>
      <c r="I62" s="2258"/>
    </row>
    <row r="63" spans="1:35" ht="12.75">
      <c r="A63" s="531" t="s">
        <v>1888</v>
      </c>
      <c r="B63" s="521" t="s">
        <v>310</v>
      </c>
      <c r="C63" s="522">
        <f ca="1">ROUND((C64+C65)/(1+'数据-取费表'!C42),0)</f>
        <v>138411</v>
      </c>
      <c r="D63" s="523"/>
      <c r="E63" s="524"/>
      <c r="F63" s="2263"/>
      <c r="G63" s="2263"/>
      <c r="H63" s="2264"/>
      <c r="I63" s="2258"/>
      <c r="J63" s="3576" t="s">
        <v>2982</v>
      </c>
      <c r="K63" s="3245" t="s">
        <v>2983</v>
      </c>
      <c r="L63" s="3243">
        <f ca="1">IF(M49&gt;10000,M49*0.5%,IF(AND(M49&gt;1000,M49&lt;=10000),M49*1%,IF(AND(M49&gt;100,M49&lt;=1000),M49*3%,IF(AND(M49&gt;10,M49&lt;=100),M49*5%,M49*8%))))</f>
        <v>726.66</v>
      </c>
      <c r="M63" s="311">
        <f ca="1">ROUND(L63,1)</f>
        <v>726.7</v>
      </c>
      <c r="Z63" s="1423"/>
      <c r="AI63" s="1234"/>
    </row>
    <row r="64" spans="1:35" ht="14.25" customHeight="1">
      <c r="A64" s="525" t="s">
        <v>1883</v>
      </c>
      <c r="B64" s="526" t="s">
        <v>311</v>
      </c>
      <c r="C64" s="527">
        <f ca="1">D45</f>
        <v>145332</v>
      </c>
      <c r="D64" s="528" t="s">
        <v>166</v>
      </c>
      <c r="E64" s="529"/>
      <c r="F64" s="2263"/>
      <c r="G64" s="2263"/>
      <c r="H64" s="2264"/>
      <c r="I64" s="2258"/>
      <c r="J64" s="3576"/>
      <c r="K64" s="3245" t="s">
        <v>2984</v>
      </c>
      <c r="L64" s="3243">
        <f ca="1">IF(M49&gt;2000,M49*0.5%,IF(AND(M49&gt;1000,M49&lt;=2000),M49*0.6%,IF(AND(M49&gt;500,M49&lt;=1000),M49*0.7%,IF(AND(M49&gt;200,M49&lt;=500),M49*0.8%,IF(AND(M49&gt;100,M49&lt;=200),M49*0.9%,IF(AND(M49&gt;50,M49&lt;=100),M49*1%,IF(AND(M49&gt;20,M49&lt;=50),M49*1.5%,IF(AND(M49&gt;10,M49&lt;=20),M49*2%,IF(AND(M49&gt;1,M49&lt;=10),M49*2.5%)))))))))</f>
        <v>726.66</v>
      </c>
      <c r="M64" s="311">
        <f t="shared" ref="M64:M65" ca="1" si="1">ROUND(L64,1)</f>
        <v>726.7</v>
      </c>
      <c r="N64" s="465" t="s">
        <v>2990</v>
      </c>
      <c r="Z64" s="1423"/>
      <c r="AI64" s="1234"/>
    </row>
    <row r="65" spans="1:35" ht="14.25" customHeight="1">
      <c r="A65" s="525" t="s">
        <v>1884</v>
      </c>
      <c r="B65" s="526" t="s">
        <v>312</v>
      </c>
      <c r="C65" s="530"/>
      <c r="D65" s="528"/>
      <c r="E65" s="529"/>
      <c r="F65" s="2263"/>
      <c r="G65" s="2263"/>
      <c r="H65" s="2264"/>
      <c r="I65" s="2258"/>
      <c r="J65" s="3576"/>
      <c r="K65" s="3245" t="s">
        <v>2985</v>
      </c>
      <c r="L65" s="3243">
        <f ca="1">IF(M49&gt;1000,M49*0.1%,IF(AND(M49&gt;500,M49&lt;=1000),M49*0.5%,IF(AND(M49&gt;50,M49&lt;=500),M49*1%,IF(AND(M49&gt;1,M49&lt;=50),M49*1.5%))))</f>
        <v>145.33199999999999</v>
      </c>
      <c r="M65" s="311">
        <f t="shared" ca="1" si="1"/>
        <v>145.30000000000001</v>
      </c>
      <c r="N65" s="465" t="s">
        <v>2991</v>
      </c>
      <c r="Z65" s="1423"/>
      <c r="AI65" s="1234"/>
    </row>
    <row r="66" spans="1:35" ht="14.25" customHeight="1">
      <c r="A66" s="531" t="s">
        <v>1885</v>
      </c>
      <c r="B66" s="532" t="s">
        <v>313</v>
      </c>
      <c r="C66" s="533"/>
      <c r="D66" s="534" t="s">
        <v>166</v>
      </c>
      <c r="E66" s="3294" t="s">
        <v>3025</v>
      </c>
      <c r="F66" s="2263"/>
      <c r="G66" s="2263"/>
      <c r="H66" s="2264"/>
      <c r="I66" s="2258"/>
      <c r="J66" s="3576"/>
      <c r="K66" s="3245" t="s">
        <v>2986</v>
      </c>
      <c r="L66" s="3243">
        <f ca="1">M49*0.5%</f>
        <v>726.66</v>
      </c>
      <c r="M66" s="311">
        <f ca="1">IF(L66&gt;0.5,0.5,ROUND(L66,0))</f>
        <v>0.5</v>
      </c>
      <c r="N66" s="465" t="s">
        <v>2992</v>
      </c>
      <c r="Z66" s="1423"/>
      <c r="AI66" s="1234"/>
    </row>
    <row r="67" spans="1:35" ht="14.25" customHeight="1">
      <c r="A67" s="531" t="s">
        <v>1886</v>
      </c>
      <c r="B67" s="532" t="s">
        <v>314</v>
      </c>
      <c r="C67" s="535">
        <f ca="1">C63-C66</f>
        <v>138411</v>
      </c>
      <c r="D67" s="528" t="s">
        <v>166</v>
      </c>
      <c r="E67" s="529"/>
      <c r="F67" s="2263"/>
      <c r="G67" s="2263"/>
      <c r="H67" s="2264"/>
      <c r="I67" s="2258"/>
      <c r="J67" s="3576"/>
      <c r="K67" s="3245" t="s">
        <v>2987</v>
      </c>
      <c r="L67" s="3243">
        <f ca="1">IF(M49&gt;=10000,(8.25+(M49-10000)*0.01%),IF(AND(M49&gt;=8000,M49&lt;10000),(7.85+(M49-8000)*0.02%),IF(AND(M49&gt;=5000,M49&lt;8000),(6.65+(M49-5000)*0.04%),IF(AND(M49&gt;=2000,M49&lt;5000),(4.25+(PM49-2000)*0.08%),IF(AND(M49&gt;=1000,M49&lt;2000),(2.75+(M49-1000)*0.15%),IF(AND(M49&gt;=100,M49&lt;1000),(0.5+(M49-100)*0.25%),IF(AND(M49&gt;0,M49&lt;100),M49*0.5%)))))))</f>
        <v>21.783200000000001</v>
      </c>
      <c r="M67" s="311">
        <f ca="1">ROUND(L67*0.9,1)</f>
        <v>19.600000000000001</v>
      </c>
      <c r="Z67" s="1423"/>
      <c r="AI67" s="1234"/>
    </row>
    <row r="68" spans="1:35" ht="14.25" customHeight="1" thickBot="1">
      <c r="A68" s="536" t="s">
        <v>1887</v>
      </c>
      <c r="B68" s="537" t="s">
        <v>315</v>
      </c>
      <c r="C68" s="538">
        <f ca="1">IF(C67&lt;=0,0,ROUND(C67*D68,0))</f>
        <v>7613</v>
      </c>
      <c r="D68" s="539">
        <f>'数据-取费表'!B41</f>
        <v>5.5000000000000007E-2</v>
      </c>
      <c r="E68" s="540"/>
      <c r="F68" s="2263"/>
      <c r="G68" s="2263"/>
      <c r="H68" s="2264"/>
      <c r="I68" s="2258"/>
      <c r="J68" s="3576"/>
      <c r="K68" s="3245" t="s">
        <v>2988</v>
      </c>
      <c r="L68" s="3243">
        <f ca="1">IF(M49&gt;10000,M49*0.5%,IF(AND(M49&gt;5000,M49&lt;=10000),M49*1%,IF(AND(M49&gt;1000,M49&lt;=5000),M49*2%,IF(AND(M49&gt;200,M49&lt;=1000),M49*3%,M49*5%))))</f>
        <v>726.66</v>
      </c>
      <c r="M68" s="311">
        <f ca="1">ROUND(L68,1)</f>
        <v>726.7</v>
      </c>
      <c r="Z68" s="1423"/>
      <c r="AI68" s="1234"/>
    </row>
    <row r="69" spans="1:35" s="1235" customFormat="1" ht="16.5" customHeight="1">
      <c r="A69" s="1249"/>
      <c r="B69" s="1250"/>
      <c r="C69" s="1251"/>
      <c r="D69" s="1252"/>
      <c r="E69" s="1253"/>
      <c r="F69" s="227"/>
      <c r="G69" s="227"/>
      <c r="H69" s="239"/>
      <c r="I69" s="1233"/>
      <c r="J69" s="3576"/>
      <c r="K69" s="3245" t="s">
        <v>186</v>
      </c>
      <c r="L69" s="3244"/>
      <c r="M69" s="311">
        <f ca="1">ROUND(SUM(M63:M68),0)</f>
        <v>2346</v>
      </c>
      <c r="N69" s="3246">
        <f ca="1">M69/M49</f>
        <v>1.614234992981587E-2</v>
      </c>
      <c r="O69" s="1435"/>
      <c r="P69" s="1435"/>
      <c r="Q69" s="1435"/>
      <c r="R69" s="1435"/>
      <c r="S69" s="1435"/>
      <c r="T69" s="1435"/>
      <c r="U69" s="1435"/>
      <c r="V69" s="1435"/>
      <c r="W69" s="1435"/>
      <c r="X69" s="1435"/>
      <c r="Y69" s="1435"/>
      <c r="Z69" s="1423"/>
      <c r="AA69" s="1423"/>
      <c r="AB69" s="1423"/>
      <c r="AC69" s="1423"/>
      <c r="AD69" s="1423"/>
      <c r="AE69" s="1423"/>
      <c r="AF69" s="1423"/>
      <c r="AG69" s="1423"/>
      <c r="AH69" s="1423"/>
    </row>
    <row r="70" spans="1:35" s="1255" customFormat="1" ht="14.25" thickBot="1">
      <c r="A70" s="3530" t="s">
        <v>316</v>
      </c>
      <c r="B70" s="3531"/>
      <c r="C70" s="3531"/>
      <c r="D70" s="3531"/>
      <c r="E70" s="3531"/>
      <c r="F70" s="3531"/>
      <c r="G70" s="3531"/>
      <c r="H70" s="3531"/>
      <c r="I70" s="1254"/>
      <c r="N70" s="2116"/>
      <c r="O70" s="2116"/>
      <c r="P70" s="2116"/>
      <c r="Q70" s="2116"/>
      <c r="R70" s="2116"/>
      <c r="S70" s="2116"/>
      <c r="T70" s="2116"/>
      <c r="U70" s="2116"/>
      <c r="V70" s="2116"/>
      <c r="W70" s="2116"/>
      <c r="X70" s="2116"/>
      <c r="Y70" s="2116"/>
      <c r="Z70" s="2116"/>
      <c r="AA70" s="1424"/>
      <c r="AB70" s="1424"/>
      <c r="AC70" s="1424"/>
      <c r="AD70" s="1424"/>
      <c r="AE70" s="1424"/>
      <c r="AF70" s="1424"/>
      <c r="AG70" s="1424"/>
      <c r="AH70" s="1424"/>
      <c r="AI70" s="1424"/>
    </row>
    <row r="71" spans="1:35" s="1255" customFormat="1" ht="14.25">
      <c r="A71" s="3507" t="s">
        <v>309</v>
      </c>
      <c r="B71" s="3508"/>
      <c r="C71" s="1900"/>
      <c r="D71" s="1900" t="s">
        <v>317</v>
      </c>
      <c r="E71" s="541" t="s">
        <v>318</v>
      </c>
      <c r="F71" s="542"/>
      <c r="G71" s="542"/>
      <c r="H71" s="543"/>
      <c r="I71" s="2265"/>
      <c r="N71" s="2116"/>
      <c r="O71" s="2116"/>
      <c r="P71" s="2116"/>
      <c r="Q71" s="2116"/>
      <c r="R71" s="2116"/>
      <c r="S71" s="2116"/>
      <c r="T71" s="2116"/>
      <c r="U71" s="2116"/>
      <c r="V71" s="2116"/>
      <c r="W71" s="2116"/>
      <c r="X71" s="2116"/>
      <c r="Y71" s="2116"/>
      <c r="Z71" s="2116"/>
      <c r="AA71" s="1424"/>
      <c r="AB71" s="1424"/>
      <c r="AC71" s="1424"/>
      <c r="AD71" s="1424"/>
      <c r="AE71" s="1424"/>
      <c r="AF71" s="1424"/>
      <c r="AG71" s="1424"/>
      <c r="AH71" s="1424"/>
      <c r="AI71" s="1424"/>
    </row>
    <row r="72" spans="1:35" s="1255" customFormat="1" ht="14.25">
      <c r="A72" s="531" t="s">
        <v>1888</v>
      </c>
      <c r="B72" s="532" t="s">
        <v>319</v>
      </c>
      <c r="C72" s="535">
        <f ca="1">ROUND(D45/(1+'数据-取费表'!C42),0)</f>
        <v>138411</v>
      </c>
      <c r="D72" s="528" t="s">
        <v>166</v>
      </c>
      <c r="E72" s="1903"/>
      <c r="F72" s="1904"/>
      <c r="G72" s="1904"/>
      <c r="H72" s="544"/>
      <c r="I72" s="2265"/>
      <c r="N72" s="2116"/>
      <c r="O72" s="2116"/>
      <c r="P72" s="2116"/>
      <c r="Q72" s="2116"/>
      <c r="R72" s="2116"/>
      <c r="S72" s="2116"/>
      <c r="T72" s="2116"/>
      <c r="U72" s="2116"/>
      <c r="V72" s="2116"/>
      <c r="W72" s="2116"/>
      <c r="X72" s="2116"/>
      <c r="Y72" s="2116"/>
      <c r="Z72" s="2116"/>
      <c r="AA72" s="1424"/>
      <c r="AB72" s="1424"/>
      <c r="AC72" s="1424"/>
      <c r="AD72" s="1424"/>
      <c r="AE72" s="1424"/>
      <c r="AF72" s="1424"/>
      <c r="AG72" s="1424"/>
      <c r="AH72" s="1424"/>
      <c r="AI72" s="1424"/>
    </row>
    <row r="73" spans="1:35" s="1255" customFormat="1" ht="14.25">
      <c r="A73" s="531" t="s">
        <v>1885</v>
      </c>
      <c r="B73" s="501" t="s">
        <v>320</v>
      </c>
      <c r="C73" s="535">
        <f ca="1">C74+C78</f>
        <v>692</v>
      </c>
      <c r="D73" s="528" t="s">
        <v>166</v>
      </c>
      <c r="E73" s="1903"/>
      <c r="F73" s="1904"/>
      <c r="G73" s="1904"/>
      <c r="H73" s="544"/>
      <c r="I73" s="2265"/>
      <c r="J73" s="2116"/>
      <c r="K73" s="2116"/>
      <c r="L73" s="2116"/>
      <c r="M73" s="2116"/>
      <c r="N73" s="2116"/>
      <c r="O73" s="2116"/>
      <c r="P73" s="2116"/>
      <c r="Q73" s="2116"/>
      <c r="R73" s="2116"/>
      <c r="S73" s="2116"/>
      <c r="T73" s="2116"/>
      <c r="U73" s="2116"/>
      <c r="V73" s="2116"/>
      <c r="W73" s="2116"/>
      <c r="X73" s="2116"/>
      <c r="Y73" s="2116"/>
      <c r="Z73" s="2116"/>
      <c r="AA73" s="1424"/>
      <c r="AB73" s="1424"/>
      <c r="AC73" s="1424"/>
      <c r="AD73" s="1424"/>
      <c r="AE73" s="1424"/>
      <c r="AF73" s="1424"/>
      <c r="AG73" s="1424"/>
      <c r="AH73" s="1424"/>
      <c r="AI73" s="1424"/>
    </row>
    <row r="74" spans="1:35" s="1255" customFormat="1" ht="24">
      <c r="A74" s="545" t="s">
        <v>1889</v>
      </c>
      <c r="B74" s="526" t="s">
        <v>321</v>
      </c>
      <c r="C74" s="528">
        <f>ROUND(IF(G77="2016年5月1日后购买",C75/(1+'数据-取费表'!C42)+C76+C77,C75+C76+C77),0)</f>
        <v>0</v>
      </c>
      <c r="D74" s="528" t="s">
        <v>166</v>
      </c>
      <c r="E74" s="1903"/>
      <c r="F74" s="1904"/>
      <c r="G74" s="1904"/>
      <c r="H74" s="544"/>
      <c r="I74" s="2265"/>
      <c r="J74" s="2116"/>
      <c r="K74" s="2116"/>
      <c r="L74" s="2116"/>
      <c r="M74" s="2116"/>
      <c r="N74" s="2116"/>
      <c r="O74" s="2116"/>
      <c r="P74" s="2116"/>
      <c r="Q74" s="2116"/>
      <c r="R74" s="2116"/>
      <c r="S74" s="2116"/>
      <c r="T74" s="2116"/>
      <c r="U74" s="2116"/>
      <c r="V74" s="2116"/>
      <c r="W74" s="2116"/>
      <c r="X74" s="2116"/>
      <c r="Y74" s="2116"/>
      <c r="Z74" s="2116"/>
      <c r="AA74" s="1424"/>
      <c r="AB74" s="1424"/>
      <c r="AC74" s="1424"/>
      <c r="AD74" s="1424"/>
      <c r="AE74" s="1424"/>
      <c r="AF74" s="1424"/>
      <c r="AG74" s="1424"/>
      <c r="AH74" s="1424"/>
      <c r="AI74" s="1424"/>
    </row>
    <row r="75" spans="1:35" s="1255" customFormat="1" ht="13.5">
      <c r="A75" s="545" t="s">
        <v>1890</v>
      </c>
      <c r="B75" s="526" t="s">
        <v>322</v>
      </c>
      <c r="C75" s="546"/>
      <c r="D75" s="528" t="s">
        <v>166</v>
      </c>
      <c r="E75" s="547" t="s">
        <v>323</v>
      </c>
      <c r="F75" s="1416" t="s">
        <v>2405</v>
      </c>
      <c r="G75" s="547" t="s">
        <v>790</v>
      </c>
      <c r="H75" s="548"/>
      <c r="I75" s="2266"/>
      <c r="J75" s="2116"/>
      <c r="K75" s="2116"/>
      <c r="L75" s="2116"/>
      <c r="M75" s="2116"/>
      <c r="N75" s="2116"/>
      <c r="O75" s="2116"/>
      <c r="P75" s="2116"/>
      <c r="Q75" s="2116"/>
      <c r="R75" s="2116"/>
      <c r="S75" s="2116"/>
      <c r="T75" s="2116"/>
      <c r="U75" s="2116"/>
      <c r="V75" s="2116"/>
      <c r="W75" s="2116"/>
      <c r="X75" s="2116"/>
      <c r="Y75" s="2116"/>
      <c r="Z75" s="2116"/>
      <c r="AA75" s="1424"/>
      <c r="AB75" s="1424"/>
      <c r="AC75" s="1424"/>
      <c r="AD75" s="1424"/>
      <c r="AE75" s="1424"/>
      <c r="AF75" s="1424"/>
      <c r="AG75" s="1424"/>
      <c r="AH75" s="1424"/>
      <c r="AI75" s="1424"/>
    </row>
    <row r="76" spans="1:35" s="1255" customFormat="1" ht="24.75" customHeight="1">
      <c r="A76" s="545" t="s">
        <v>1892</v>
      </c>
      <c r="B76" s="549" t="s">
        <v>324</v>
      </c>
      <c r="C76" s="528">
        <f>IF(F75="购房发票",ROUND(C75*H75*D76,0),0)</f>
        <v>0</v>
      </c>
      <c r="D76" s="550">
        <v>0.05</v>
      </c>
      <c r="E76" s="3502" t="s">
        <v>325</v>
      </c>
      <c r="F76" s="3477"/>
      <c r="G76" s="3477"/>
      <c r="H76" s="3529"/>
      <c r="I76" s="2265"/>
      <c r="J76" s="2116"/>
      <c r="K76" s="2116"/>
      <c r="L76" s="2116"/>
      <c r="M76" s="2116"/>
      <c r="N76" s="2116"/>
      <c r="O76" s="2116"/>
      <c r="P76" s="2116"/>
      <c r="Q76" s="2116"/>
      <c r="R76" s="2116"/>
      <c r="S76" s="2116"/>
      <c r="T76" s="2116"/>
      <c r="U76" s="2116"/>
      <c r="V76" s="2116"/>
      <c r="W76" s="2116"/>
      <c r="X76" s="2116"/>
      <c r="Y76" s="2116"/>
      <c r="Z76" s="2116"/>
      <c r="AA76" s="1424"/>
      <c r="AB76" s="1424"/>
      <c r="AC76" s="1424"/>
      <c r="AD76" s="1424"/>
      <c r="AE76" s="1424"/>
      <c r="AF76" s="1424"/>
      <c r="AG76" s="1424"/>
      <c r="AH76" s="1424"/>
      <c r="AI76" s="1424"/>
    </row>
    <row r="77" spans="1:35" s="1255" customFormat="1" ht="24.75" customHeight="1">
      <c r="A77" s="545" t="s">
        <v>1893</v>
      </c>
      <c r="B77" s="526" t="s">
        <v>326</v>
      </c>
      <c r="C77" s="528">
        <f>ROUND(IF(G77="个人住宅",0,IF(G77="2016年5月1日前购买",C75*D77,C75*D77/(1+'数据-取费表'!C42))),0)</f>
        <v>0</v>
      </c>
      <c r="D77" s="551">
        <f>'数据-取费表'!B48+'数据-取费表'!B49</f>
        <v>3.0499999999999999E-2</v>
      </c>
      <c r="E77" s="301" t="s">
        <v>791</v>
      </c>
      <c r="F77" s="552"/>
      <c r="G77" s="1417" t="s">
        <v>2496</v>
      </c>
      <c r="H77" s="1905" t="str">
        <f>IF(G77="个人买卖住房","免征印花税"," ")</f>
        <v xml:space="preserve"> </v>
      </c>
      <c r="I77" s="2265"/>
      <c r="J77" s="2116"/>
      <c r="K77" s="2116"/>
      <c r="L77" s="2116"/>
      <c r="M77" s="2116"/>
      <c r="N77" s="2116"/>
      <c r="O77" s="2116"/>
      <c r="P77" s="2116"/>
      <c r="Q77" s="2116"/>
      <c r="R77" s="2116"/>
      <c r="S77" s="2116"/>
      <c r="T77" s="2116"/>
      <c r="U77" s="2116"/>
      <c r="V77" s="2116"/>
      <c r="W77" s="2116"/>
      <c r="X77" s="2116"/>
      <c r="Y77" s="2116"/>
      <c r="Z77" s="2116"/>
      <c r="AA77" s="1424"/>
      <c r="AB77" s="1424"/>
      <c r="AC77" s="1424"/>
      <c r="AD77" s="1424"/>
      <c r="AE77" s="1424"/>
      <c r="AF77" s="1424"/>
      <c r="AG77" s="1424"/>
      <c r="AH77" s="1424"/>
      <c r="AI77" s="1424"/>
    </row>
    <row r="78" spans="1:35" s="1255" customFormat="1" ht="24.75" customHeight="1">
      <c r="A78" s="545" t="s">
        <v>1891</v>
      </c>
      <c r="B78" s="526" t="s">
        <v>327</v>
      </c>
      <c r="C78" s="553">
        <f ca="1">ROUND(D45*D78/(1+'数据-取费表'!C42),0)</f>
        <v>692</v>
      </c>
      <c r="D78" s="554">
        <f>'数据-取费表'!B43</f>
        <v>5.000000000000001E-3</v>
      </c>
      <c r="E78" s="3497" t="s">
        <v>2497</v>
      </c>
      <c r="F78" s="3488"/>
      <c r="G78" s="3488"/>
      <c r="H78" s="3498"/>
      <c r="I78" s="2267"/>
      <c r="J78" s="2116"/>
      <c r="K78" s="2116"/>
      <c r="L78" s="2116"/>
      <c r="M78" s="2116"/>
      <c r="N78" s="2116"/>
      <c r="O78" s="2116"/>
      <c r="P78" s="2116"/>
      <c r="Q78" s="2116"/>
      <c r="R78" s="2116"/>
      <c r="S78" s="2116"/>
      <c r="T78" s="2116"/>
      <c r="U78" s="2116"/>
      <c r="V78" s="2116"/>
      <c r="W78" s="2116"/>
      <c r="X78" s="2116"/>
      <c r="Y78" s="2116"/>
      <c r="Z78" s="2116"/>
      <c r="AA78" s="1424"/>
      <c r="AB78" s="1424"/>
      <c r="AC78" s="1424"/>
      <c r="AD78" s="1424"/>
      <c r="AE78" s="1424"/>
      <c r="AF78" s="1424"/>
      <c r="AG78" s="1424"/>
      <c r="AH78" s="1424"/>
      <c r="AI78" s="1424"/>
    </row>
    <row r="79" spans="1:35" s="1255" customFormat="1" ht="14.25">
      <c r="A79" s="1782" t="s">
        <v>1894</v>
      </c>
      <c r="B79" s="532" t="s">
        <v>328</v>
      </c>
      <c r="C79" s="535">
        <f ca="1">C72-C73</f>
        <v>137719</v>
      </c>
      <c r="D79" s="528" t="s">
        <v>166</v>
      </c>
      <c r="E79" s="1903"/>
      <c r="F79" s="1904"/>
      <c r="G79" s="1904"/>
      <c r="H79" s="544"/>
      <c r="I79" s="2265"/>
      <c r="J79" s="2116"/>
      <c r="K79" s="2116"/>
      <c r="L79" s="2116"/>
      <c r="M79" s="2116"/>
      <c r="N79" s="2116"/>
      <c r="O79" s="2116"/>
      <c r="P79" s="2116"/>
      <c r="Q79" s="2116"/>
      <c r="R79" s="2116"/>
      <c r="S79" s="2116"/>
      <c r="T79" s="2116"/>
      <c r="U79" s="2116"/>
      <c r="V79" s="2116"/>
      <c r="W79" s="2116"/>
      <c r="X79" s="2116"/>
      <c r="Y79" s="2116"/>
      <c r="Z79" s="2116"/>
      <c r="AA79" s="1424"/>
      <c r="AB79" s="1424"/>
      <c r="AC79" s="1424"/>
      <c r="AD79" s="1424"/>
      <c r="AE79" s="1424"/>
      <c r="AF79" s="1424"/>
      <c r="AG79" s="1424"/>
      <c r="AH79" s="1424"/>
      <c r="AI79" s="1424"/>
    </row>
    <row r="80" spans="1:35" s="1255" customFormat="1" ht="24">
      <c r="A80" s="1782" t="s">
        <v>1895</v>
      </c>
      <c r="B80" s="532" t="s">
        <v>329</v>
      </c>
      <c r="C80" s="555">
        <f ca="1">IF(C79&lt;=0,0,C79/C73)</f>
        <v>199.01589595375722</v>
      </c>
      <c r="D80" s="528" t="s">
        <v>166</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04"/>
      <c r="G80" s="1904"/>
      <c r="H80" s="544"/>
      <c r="I80" s="2265"/>
      <c r="J80" s="2116"/>
      <c r="K80" s="2116"/>
      <c r="L80" s="2116"/>
      <c r="M80" s="2116"/>
      <c r="N80" s="2116"/>
      <c r="O80" s="2116"/>
      <c r="P80" s="2116"/>
      <c r="Q80" s="2116"/>
      <c r="R80" s="2116"/>
      <c r="S80" s="2116"/>
      <c r="T80" s="2116"/>
      <c r="U80" s="2116"/>
      <c r="V80" s="2116"/>
      <c r="W80" s="2116"/>
      <c r="X80" s="2116"/>
      <c r="Y80" s="2116"/>
      <c r="Z80" s="2116"/>
      <c r="AA80" s="1424"/>
      <c r="AB80" s="1424"/>
      <c r="AC80" s="1424"/>
      <c r="AD80" s="1424"/>
      <c r="AE80" s="1424"/>
      <c r="AF80" s="1424"/>
      <c r="AG80" s="1424"/>
      <c r="AH80" s="1424"/>
      <c r="AI80" s="1424"/>
    </row>
    <row r="81" spans="1:35" s="1255" customFormat="1" ht="24.75" thickBot="1">
      <c r="A81" s="1783" t="s">
        <v>1896</v>
      </c>
      <c r="B81" s="537" t="s">
        <v>330</v>
      </c>
      <c r="C81" s="556">
        <f ca="1">ROUND(IF(C79&lt;=0,0,IF(C80&gt;=200%,C79*60%-C73*35%,IF(C80&gt;=100%,C79*50%-C73*15%,IF(C80&gt;=50%,C79*40%-C73*5%,IF(C80&lt;50%,C79*30%,0))))),0)</f>
        <v>82389</v>
      </c>
      <c r="D81" s="557" t="s">
        <v>166</v>
      </c>
      <c r="E81" s="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9"/>
      <c r="G81" s="559"/>
      <c r="H81" s="560"/>
      <c r="I81" s="2265"/>
      <c r="J81" s="2116"/>
      <c r="K81" s="2116"/>
      <c r="L81" s="2116"/>
      <c r="M81" s="2116"/>
      <c r="N81" s="2116"/>
      <c r="O81" s="2116"/>
      <c r="P81" s="2116"/>
      <c r="Q81" s="2116"/>
      <c r="R81" s="2116"/>
      <c r="S81" s="2116"/>
      <c r="T81" s="2116"/>
      <c r="U81" s="2116"/>
      <c r="V81" s="2116"/>
      <c r="W81" s="2116"/>
      <c r="X81" s="2116"/>
      <c r="Y81" s="2116"/>
      <c r="Z81" s="2116"/>
      <c r="AA81" s="1424"/>
      <c r="AB81" s="1424"/>
      <c r="AC81" s="1424"/>
      <c r="AD81" s="1424"/>
      <c r="AE81" s="1424"/>
      <c r="AF81" s="1424"/>
      <c r="AG81" s="1424"/>
      <c r="AH81" s="1424"/>
      <c r="AI81" s="1424"/>
    </row>
    <row r="82" spans="1:35" s="1255" customFormat="1" ht="7.5" customHeight="1">
      <c r="A82" s="1222"/>
      <c r="B82" s="1223"/>
      <c r="C82" s="292"/>
      <c r="D82" s="292"/>
      <c r="E82" s="1223"/>
      <c r="F82" s="1223"/>
      <c r="G82" s="1223"/>
      <c r="H82" s="1224"/>
      <c r="I82" s="2267"/>
      <c r="J82" s="2116"/>
      <c r="K82" s="2116"/>
      <c r="L82" s="2116"/>
      <c r="M82" s="2116"/>
      <c r="N82" s="2116"/>
      <c r="O82" s="2116"/>
      <c r="P82" s="2116"/>
      <c r="Q82" s="2116"/>
      <c r="R82" s="2116"/>
      <c r="S82" s="2116"/>
      <c r="T82" s="2116"/>
      <c r="U82" s="2116"/>
      <c r="V82" s="2116"/>
      <c r="W82" s="2116"/>
      <c r="X82" s="2116"/>
      <c r="Y82" s="2116"/>
      <c r="Z82" s="2116"/>
      <c r="AA82" s="1424"/>
      <c r="AB82" s="1424"/>
      <c r="AC82" s="1424"/>
      <c r="AD82" s="1424"/>
      <c r="AE82" s="1424"/>
      <c r="AF82" s="1424"/>
      <c r="AG82" s="1424"/>
      <c r="AH82" s="1424"/>
      <c r="AI82" s="1424"/>
    </row>
    <row r="83" spans="1:35" s="1255" customFormat="1" ht="14.25" thickBot="1">
      <c r="A83" s="3530" t="s">
        <v>331</v>
      </c>
      <c r="B83" s="3531"/>
      <c r="C83" s="3531"/>
      <c r="D83" s="3531"/>
      <c r="E83" s="3531"/>
      <c r="F83" s="3531"/>
      <c r="G83" s="3531"/>
      <c r="H83" s="3531"/>
      <c r="I83" s="2266"/>
      <c r="J83" s="2116"/>
      <c r="K83" s="2116"/>
      <c r="L83" s="2116"/>
      <c r="M83" s="2116"/>
      <c r="N83" s="2116"/>
      <c r="O83" s="2116"/>
      <c r="P83" s="2116"/>
      <c r="Q83" s="2116"/>
      <c r="R83" s="2116"/>
      <c r="S83" s="2116"/>
      <c r="T83" s="2116"/>
      <c r="U83" s="2116"/>
      <c r="V83" s="2116"/>
      <c r="W83" s="2116"/>
      <c r="X83" s="2116"/>
      <c r="Y83" s="2116"/>
      <c r="Z83" s="2116"/>
      <c r="AA83" s="1424"/>
      <c r="AB83" s="1424"/>
      <c r="AC83" s="1424"/>
      <c r="AD83" s="1424"/>
      <c r="AE83" s="1424"/>
      <c r="AF83" s="1424"/>
      <c r="AG83" s="1424"/>
      <c r="AH83" s="1424"/>
      <c r="AI83" s="1424"/>
    </row>
    <row r="84" spans="1:35" s="1255" customFormat="1" ht="13.5">
      <c r="A84" s="3507" t="s">
        <v>309</v>
      </c>
      <c r="B84" s="3508"/>
      <c r="C84" s="1900"/>
      <c r="D84" s="1900" t="s">
        <v>317</v>
      </c>
      <c r="E84" s="541" t="s">
        <v>318</v>
      </c>
      <c r="F84" s="542"/>
      <c r="G84" s="542"/>
      <c r="H84" s="561"/>
      <c r="I84" s="2266"/>
      <c r="J84" s="2116"/>
      <c r="K84" s="2116"/>
      <c r="L84" s="2116"/>
      <c r="M84" s="2116"/>
      <c r="N84" s="2116"/>
      <c r="O84" s="2116"/>
      <c r="P84" s="2116"/>
      <c r="Q84" s="2116"/>
      <c r="R84" s="2116"/>
      <c r="S84" s="2116"/>
      <c r="T84" s="2116"/>
      <c r="U84" s="2116"/>
      <c r="V84" s="2116"/>
      <c r="W84" s="2116"/>
      <c r="X84" s="2116"/>
      <c r="Y84" s="2116"/>
      <c r="Z84" s="2116"/>
      <c r="AA84" s="1424"/>
      <c r="AB84" s="1424"/>
      <c r="AC84" s="1424"/>
      <c r="AD84" s="1424"/>
      <c r="AE84" s="1424"/>
      <c r="AF84" s="1424"/>
      <c r="AG84" s="1424"/>
      <c r="AH84" s="1424"/>
      <c r="AI84" s="1424"/>
    </row>
    <row r="85" spans="1:35" s="1255" customFormat="1" ht="13.5">
      <c r="A85" s="531" t="s">
        <v>1888</v>
      </c>
      <c r="B85" s="532" t="s">
        <v>319</v>
      </c>
      <c r="C85" s="535">
        <f ca="1">ROUND(D45/(1+'数据-取费表'!C42),0)</f>
        <v>138411</v>
      </c>
      <c r="D85" s="528" t="s">
        <v>166</v>
      </c>
      <c r="E85" s="1903"/>
      <c r="F85" s="1904"/>
      <c r="G85" s="1904"/>
      <c r="H85" s="562"/>
      <c r="I85" s="2266"/>
      <c r="J85" s="2116"/>
      <c r="K85" s="2116"/>
      <c r="L85" s="2116"/>
      <c r="M85" s="2116"/>
      <c r="N85" s="2116"/>
      <c r="O85" s="2116"/>
      <c r="P85" s="2116"/>
      <c r="Q85" s="2116"/>
      <c r="R85" s="2116"/>
      <c r="S85" s="2116"/>
      <c r="T85" s="2116"/>
      <c r="U85" s="2116"/>
      <c r="V85" s="2116"/>
      <c r="W85" s="2116"/>
      <c r="X85" s="2116"/>
      <c r="Y85" s="2116"/>
      <c r="Z85" s="2116"/>
      <c r="AA85" s="1424"/>
      <c r="AB85" s="1424"/>
      <c r="AC85" s="1424"/>
      <c r="AD85" s="1424"/>
      <c r="AE85" s="1424"/>
      <c r="AF85" s="1424"/>
      <c r="AG85" s="1424"/>
      <c r="AH85" s="1424"/>
      <c r="AI85" s="1424"/>
    </row>
    <row r="86" spans="1:35" s="1255" customFormat="1" ht="13.5">
      <c r="A86" s="531" t="s">
        <v>1885</v>
      </c>
      <c r="B86" s="501" t="s">
        <v>320</v>
      </c>
      <c r="C86" s="535">
        <f ca="1">IF(H88="仅含出让金",C87+C90+C91+C92+C93+C94,C87+C91+C92+C93+C94)</f>
        <v>692</v>
      </c>
      <c r="D86" s="563"/>
      <c r="E86" s="1903"/>
      <c r="F86" s="1904"/>
      <c r="G86" s="1904"/>
      <c r="H86" s="562"/>
      <c r="I86" s="2266"/>
      <c r="J86" s="2116"/>
      <c r="K86" s="2116"/>
      <c r="L86" s="2116"/>
      <c r="M86" s="2116"/>
      <c r="N86" s="2116"/>
      <c r="O86" s="2116"/>
      <c r="P86" s="2116"/>
      <c r="Q86" s="2116"/>
      <c r="R86" s="2116"/>
      <c r="S86" s="2116"/>
      <c r="T86" s="2116"/>
      <c r="U86" s="2116"/>
      <c r="V86" s="2116"/>
      <c r="W86" s="2116"/>
      <c r="X86" s="2116"/>
      <c r="Y86" s="2116"/>
      <c r="Z86" s="2116"/>
      <c r="AA86" s="1424"/>
      <c r="AB86" s="1424"/>
      <c r="AC86" s="1424"/>
      <c r="AD86" s="1424"/>
      <c r="AE86" s="1424"/>
      <c r="AF86" s="1424"/>
      <c r="AG86" s="1424"/>
      <c r="AH86" s="1424"/>
      <c r="AI86" s="1424"/>
    </row>
    <row r="87" spans="1:35" s="1255" customFormat="1" ht="13.5">
      <c r="A87" s="545" t="s">
        <v>1889</v>
      </c>
      <c r="B87" s="526" t="s">
        <v>332</v>
      </c>
      <c r="C87" s="553">
        <f>C88+C89</f>
        <v>0</v>
      </c>
      <c r="D87" s="554"/>
      <c r="E87" s="1898"/>
      <c r="F87" s="1899"/>
      <c r="G87" s="1899"/>
      <c r="H87" s="1901"/>
      <c r="I87" s="2266"/>
      <c r="J87" s="2116"/>
      <c r="K87" s="2116"/>
      <c r="L87" s="2116"/>
      <c r="M87" s="2116"/>
      <c r="N87" s="2116"/>
      <c r="O87" s="2116"/>
      <c r="P87" s="2116"/>
      <c r="Q87" s="2116"/>
      <c r="R87" s="2116"/>
      <c r="S87" s="2116"/>
      <c r="T87" s="2116"/>
      <c r="U87" s="2116"/>
      <c r="V87" s="2116"/>
      <c r="W87" s="2116"/>
      <c r="X87" s="2116"/>
      <c r="Y87" s="2116"/>
      <c r="Z87" s="2116"/>
      <c r="AA87" s="1424"/>
      <c r="AB87" s="1424"/>
      <c r="AC87" s="1424"/>
      <c r="AD87" s="1424"/>
      <c r="AE87" s="1424"/>
      <c r="AF87" s="1424"/>
      <c r="AG87" s="1424"/>
      <c r="AH87" s="1424"/>
      <c r="AI87" s="1424"/>
    </row>
    <row r="88" spans="1:35" s="1255" customFormat="1" ht="13.5">
      <c r="A88" s="545" t="s">
        <v>1890</v>
      </c>
      <c r="B88" s="526" t="s">
        <v>333</v>
      </c>
      <c r="C88" s="564"/>
      <c r="D88" s="554"/>
      <c r="E88" s="565" t="s">
        <v>334</v>
      </c>
      <c r="F88" s="1899"/>
      <c r="G88" s="566" t="s">
        <v>335</v>
      </c>
      <c r="H88" s="1418"/>
      <c r="I88" s="2266"/>
      <c r="J88" s="2116"/>
      <c r="K88" s="2116"/>
      <c r="L88" s="2116"/>
      <c r="M88" s="2116"/>
      <c r="N88" s="2116"/>
      <c r="O88" s="2116"/>
      <c r="P88" s="2116"/>
      <c r="Q88" s="2116"/>
      <c r="R88" s="2116"/>
      <c r="S88" s="2116"/>
      <c r="T88" s="2116"/>
      <c r="U88" s="2116"/>
      <c r="V88" s="2116"/>
      <c r="W88" s="2116"/>
      <c r="X88" s="2116"/>
      <c r="Y88" s="2116"/>
      <c r="Z88" s="2116"/>
      <c r="AA88" s="1424"/>
      <c r="AB88" s="1424"/>
      <c r="AC88" s="1424"/>
      <c r="AD88" s="1424"/>
      <c r="AE88" s="1424"/>
      <c r="AF88" s="1424"/>
      <c r="AG88" s="1424"/>
      <c r="AH88" s="1424"/>
      <c r="AI88" s="1424"/>
    </row>
    <row r="89" spans="1:35" s="1255" customFormat="1" ht="13.5">
      <c r="A89" s="545" t="s">
        <v>1892</v>
      </c>
      <c r="B89" s="526" t="s">
        <v>326</v>
      </c>
      <c r="C89" s="553">
        <f>ROUND(C88*D89,0)</f>
        <v>0</v>
      </c>
      <c r="D89" s="554">
        <f>'数据-取费表'!B48+'数据-取费表'!B49</f>
        <v>3.0499999999999999E-2</v>
      </c>
      <c r="E89" s="565" t="s">
        <v>336</v>
      </c>
      <c r="F89" s="1899"/>
      <c r="G89" s="1899"/>
      <c r="H89" s="1901"/>
      <c r="I89" s="2266"/>
      <c r="J89" s="2116"/>
      <c r="K89" s="2116"/>
      <c r="L89" s="2116"/>
      <c r="M89" s="2116"/>
      <c r="N89" s="2116"/>
      <c r="O89" s="2116"/>
      <c r="P89" s="2116"/>
      <c r="Q89" s="2116"/>
      <c r="R89" s="2116"/>
      <c r="S89" s="2116"/>
      <c r="T89" s="2116"/>
      <c r="U89" s="2116"/>
      <c r="V89" s="2116"/>
      <c r="W89" s="2116"/>
      <c r="X89" s="2116"/>
      <c r="Y89" s="2116"/>
      <c r="Z89" s="2116"/>
      <c r="AA89" s="1424"/>
      <c r="AB89" s="1424"/>
      <c r="AC89" s="1424"/>
      <c r="AD89" s="1424"/>
      <c r="AE89" s="1424"/>
      <c r="AF89" s="1424"/>
      <c r="AG89" s="1424"/>
      <c r="AH89" s="1424"/>
      <c r="AI89" s="1424"/>
    </row>
    <row r="90" spans="1:35" s="1255" customFormat="1" ht="13.5">
      <c r="A90" s="545" t="s">
        <v>1891</v>
      </c>
      <c r="B90" s="526" t="s">
        <v>337</v>
      </c>
      <c r="C90" s="564"/>
      <c r="D90" s="554"/>
      <c r="E90" s="565" t="str">
        <f>IF(H88="-","土地取得成本中已包含该笔费用"," ")</f>
        <v xml:space="preserve"> </v>
      </c>
      <c r="F90" s="1899"/>
      <c r="G90" s="1899"/>
      <c r="H90" s="1901"/>
      <c r="I90" s="2266"/>
      <c r="J90" s="2116"/>
      <c r="K90" s="2116"/>
      <c r="L90" s="2116"/>
      <c r="M90" s="2116"/>
      <c r="N90" s="2116"/>
      <c r="O90" s="2116"/>
      <c r="P90" s="2116"/>
      <c r="Q90" s="2116"/>
      <c r="R90" s="2116"/>
      <c r="S90" s="2116"/>
      <c r="T90" s="2116"/>
      <c r="U90" s="2116"/>
      <c r="V90" s="2116"/>
      <c r="W90" s="2116"/>
      <c r="X90" s="2116"/>
      <c r="Y90" s="2116"/>
      <c r="Z90" s="2116"/>
      <c r="AA90" s="1424"/>
      <c r="AB90" s="1424"/>
      <c r="AC90" s="1424"/>
      <c r="AD90" s="1424"/>
      <c r="AE90" s="1424"/>
      <c r="AF90" s="1424"/>
      <c r="AG90" s="1424"/>
      <c r="AH90" s="1424"/>
      <c r="AI90" s="1424"/>
    </row>
    <row r="91" spans="1:35" s="1255" customFormat="1" ht="27.75" customHeight="1">
      <c r="A91" s="1784" t="s">
        <v>1897</v>
      </c>
      <c r="B91" s="526" t="s">
        <v>338</v>
      </c>
      <c r="C91" s="553">
        <f>IF(H91="——",成本法!C33,I91)</f>
        <v>0</v>
      </c>
      <c r="D91" s="554"/>
      <c r="E91" s="3487" t="s">
        <v>792</v>
      </c>
      <c r="F91" s="3488"/>
      <c r="G91" s="3488"/>
      <c r="H91" s="1419" t="s">
        <v>2306</v>
      </c>
      <c r="I91" s="2163"/>
      <c r="J91" s="2116"/>
      <c r="K91" s="2116"/>
      <c r="L91" s="2116"/>
      <c r="M91" s="2116"/>
      <c r="N91" s="2116"/>
      <c r="O91" s="2116"/>
      <c r="P91" s="2116"/>
      <c r="Q91" s="2116"/>
      <c r="R91" s="2116"/>
      <c r="S91" s="2116"/>
      <c r="T91" s="2116"/>
      <c r="U91" s="2116"/>
      <c r="V91" s="2116"/>
      <c r="W91" s="2116"/>
      <c r="X91" s="2116"/>
      <c r="Y91" s="2116"/>
      <c r="Z91" s="2116"/>
      <c r="AA91" s="1424"/>
      <c r="AB91" s="1424"/>
      <c r="AC91" s="1424"/>
      <c r="AD91" s="1424"/>
      <c r="AE91" s="1424"/>
      <c r="AF91" s="1424"/>
      <c r="AG91" s="1424"/>
      <c r="AH91" s="1424"/>
      <c r="AI91" s="1424"/>
    </row>
    <row r="92" spans="1:35" s="1255" customFormat="1" ht="25.5" customHeight="1">
      <c r="A92" s="1784" t="s">
        <v>1898</v>
      </c>
      <c r="B92" s="526" t="s">
        <v>339</v>
      </c>
      <c r="C92" s="553">
        <f>ROUND((C87+C90+C91)*D92,0)</f>
        <v>0</v>
      </c>
      <c r="D92" s="554">
        <v>0.1</v>
      </c>
      <c r="E92" s="3487" t="s">
        <v>340</v>
      </c>
      <c r="F92" s="3488"/>
      <c r="G92" s="3488"/>
      <c r="H92" s="3498"/>
      <c r="I92" s="2266"/>
      <c r="J92" s="2116"/>
      <c r="K92" s="2116"/>
      <c r="L92" s="2116"/>
      <c r="M92" s="2116"/>
      <c r="N92" s="2116"/>
      <c r="O92" s="2116"/>
      <c r="P92" s="2116"/>
      <c r="Q92" s="2116"/>
      <c r="R92" s="2116"/>
      <c r="S92" s="2116"/>
      <c r="T92" s="2116"/>
      <c r="U92" s="2116"/>
      <c r="V92" s="2116"/>
      <c r="W92" s="2116"/>
      <c r="X92" s="2116"/>
      <c r="Y92" s="2116"/>
      <c r="Z92" s="2116"/>
      <c r="AA92" s="1424"/>
      <c r="AB92" s="1424"/>
      <c r="AC92" s="1424"/>
      <c r="AD92" s="1424"/>
      <c r="AE92" s="1424"/>
      <c r="AF92" s="1424"/>
      <c r="AG92" s="1424"/>
      <c r="AH92" s="1424"/>
      <c r="AI92" s="1424"/>
    </row>
    <row r="93" spans="1:35" s="1255" customFormat="1" ht="25.5" customHeight="1">
      <c r="A93" s="1784" t="s">
        <v>1899</v>
      </c>
      <c r="B93" s="526" t="s">
        <v>327</v>
      </c>
      <c r="C93" s="553">
        <f ca="1">ROUND(D45*D93/(1+'数据-取费表'!C42),0)</f>
        <v>692</v>
      </c>
      <c r="D93" s="554">
        <f>'数据-取费表'!B43</f>
        <v>5.000000000000001E-3</v>
      </c>
      <c r="E93" s="3497" t="s">
        <v>2497</v>
      </c>
      <c r="F93" s="3488"/>
      <c r="G93" s="3488"/>
      <c r="H93" s="3498"/>
      <c r="I93" s="2266"/>
      <c r="J93" s="2116"/>
      <c r="K93" s="2116"/>
      <c r="L93" s="2116"/>
      <c r="M93" s="2116"/>
      <c r="N93" s="2116"/>
      <c r="O93" s="2116"/>
      <c r="P93" s="2116"/>
      <c r="Q93" s="2116"/>
      <c r="R93" s="2116"/>
      <c r="S93" s="2116"/>
      <c r="T93" s="2116"/>
      <c r="U93" s="2116"/>
      <c r="V93" s="2116"/>
      <c r="W93" s="2116"/>
      <c r="X93" s="2116"/>
      <c r="Y93" s="2116"/>
      <c r="Z93" s="2116"/>
      <c r="AA93" s="1424"/>
      <c r="AB93" s="1424"/>
      <c r="AC93" s="1424"/>
      <c r="AD93" s="1424"/>
      <c r="AE93" s="1424"/>
      <c r="AF93" s="1424"/>
      <c r="AG93" s="1424"/>
      <c r="AH93" s="1424"/>
      <c r="AI93" s="1424"/>
    </row>
    <row r="94" spans="1:35" s="1255" customFormat="1" ht="36.75" customHeight="1">
      <c r="A94" s="1784" t="s">
        <v>1900</v>
      </c>
      <c r="B94" s="526" t="s">
        <v>341</v>
      </c>
      <c r="C94" s="564">
        <f>ROUND((C87+C90+C91)*D94,0)</f>
        <v>0</v>
      </c>
      <c r="D94" s="554">
        <v>0.2</v>
      </c>
      <c r="E94" s="3499" t="s">
        <v>3040</v>
      </c>
      <c r="F94" s="3500"/>
      <c r="G94" s="3500"/>
      <c r="H94" s="3501"/>
      <c r="I94" s="2266"/>
      <c r="J94" s="2116"/>
      <c r="K94" s="2116"/>
      <c r="L94" s="2116"/>
      <c r="M94" s="2116"/>
      <c r="N94" s="2116"/>
      <c r="O94" s="2116"/>
      <c r="P94" s="2116"/>
      <c r="Q94" s="2116"/>
      <c r="R94" s="2116"/>
      <c r="S94" s="2116"/>
      <c r="T94" s="2116"/>
      <c r="U94" s="2116"/>
      <c r="V94" s="2116"/>
      <c r="W94" s="2116"/>
      <c r="X94" s="2116"/>
      <c r="Y94" s="2116"/>
      <c r="Z94" s="2116"/>
      <c r="AA94" s="1424"/>
      <c r="AB94" s="1424"/>
      <c r="AC94" s="1424"/>
      <c r="AD94" s="1424"/>
      <c r="AE94" s="1424"/>
      <c r="AF94" s="1424"/>
      <c r="AG94" s="1424"/>
      <c r="AH94" s="1424"/>
      <c r="AI94" s="1424"/>
    </row>
    <row r="95" spans="1:35" s="1255" customFormat="1" ht="13.5">
      <c r="A95" s="1782" t="s">
        <v>1894</v>
      </c>
      <c r="B95" s="532" t="s">
        <v>328</v>
      </c>
      <c r="C95" s="535">
        <f ca="1">ROUND(C85-C86,0)</f>
        <v>137719</v>
      </c>
      <c r="D95" s="528" t="s">
        <v>166</v>
      </c>
      <c r="E95" s="1903"/>
      <c r="F95" s="1904"/>
      <c r="G95" s="1904"/>
      <c r="H95" s="562"/>
      <c r="I95" s="2266"/>
      <c r="J95" s="2116"/>
      <c r="K95" s="2116"/>
      <c r="L95" s="2116"/>
      <c r="M95" s="2116"/>
      <c r="N95" s="2116"/>
      <c r="O95" s="2116"/>
      <c r="P95" s="2116"/>
      <c r="Q95" s="2116"/>
      <c r="R95" s="2116"/>
      <c r="S95" s="2116"/>
      <c r="T95" s="2116"/>
      <c r="U95" s="2116"/>
      <c r="V95" s="2116"/>
      <c r="W95" s="2116"/>
      <c r="X95" s="2116"/>
      <c r="Y95" s="2116"/>
      <c r="Z95" s="2116"/>
      <c r="AA95" s="1424"/>
      <c r="AB95" s="1424"/>
      <c r="AC95" s="1424"/>
      <c r="AD95" s="1424"/>
      <c r="AE95" s="1424"/>
      <c r="AF95" s="1424"/>
      <c r="AG95" s="1424"/>
      <c r="AH95" s="1424"/>
      <c r="AI95" s="1424"/>
    </row>
    <row r="96" spans="1:35" s="1255" customFormat="1" ht="24">
      <c r="A96" s="1782" t="s">
        <v>1895</v>
      </c>
      <c r="B96" s="532" t="s">
        <v>329</v>
      </c>
      <c r="C96" s="555">
        <f ca="1">IF(C95&lt;=0,0,C95/C86)</f>
        <v>199.01589595375722</v>
      </c>
      <c r="D96" s="528" t="s">
        <v>166</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04"/>
      <c r="G96" s="1904"/>
      <c r="H96" s="562"/>
      <c r="I96" s="2266"/>
      <c r="J96" s="2116"/>
      <c r="K96" s="2116"/>
      <c r="L96" s="2116"/>
      <c r="M96" s="2116"/>
      <c r="N96" s="2116"/>
      <c r="O96" s="2116"/>
      <c r="P96" s="2116"/>
      <c r="Q96" s="2116"/>
      <c r="R96" s="2116"/>
      <c r="S96" s="2116"/>
      <c r="T96" s="2116"/>
      <c r="U96" s="2116"/>
      <c r="V96" s="2116"/>
      <c r="W96" s="2116"/>
      <c r="X96" s="2116"/>
      <c r="Y96" s="2116"/>
      <c r="Z96" s="2116"/>
      <c r="AA96" s="1424"/>
      <c r="AB96" s="1424"/>
      <c r="AC96" s="1424"/>
      <c r="AD96" s="1424"/>
      <c r="AE96" s="1424"/>
      <c r="AF96" s="1424"/>
      <c r="AG96" s="1424"/>
      <c r="AH96" s="1424"/>
      <c r="AI96" s="1424"/>
    </row>
    <row r="97" spans="1:35" s="1255" customFormat="1" ht="24.75" thickBot="1">
      <c r="A97" s="1783" t="s">
        <v>1896</v>
      </c>
      <c r="B97" s="537" t="s">
        <v>330</v>
      </c>
      <c r="C97" s="556">
        <f ca="1">ROUND(IF(C95&lt;=0,0,IF(C96&gt;=200%,C95*60%-C86*35%,IF(C96&gt;=100%,C95*50%-C86*15%,IF(C96&gt;=50%,C95*40%-C86*5%,IF(C96&lt;50%,C95*30%,0))))),0)</f>
        <v>82389</v>
      </c>
      <c r="D97" s="557" t="s">
        <v>166</v>
      </c>
      <c r="E97" s="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9"/>
      <c r="G97" s="559"/>
      <c r="H97" s="567"/>
      <c r="I97" s="2266"/>
      <c r="J97" s="2116"/>
      <c r="K97" s="2116"/>
      <c r="L97" s="2116"/>
      <c r="M97" s="2116"/>
      <c r="N97" s="2116"/>
      <c r="O97" s="2116"/>
      <c r="P97" s="2116"/>
      <c r="Q97" s="2116"/>
      <c r="R97" s="2116"/>
      <c r="S97" s="2116"/>
      <c r="T97" s="2116"/>
      <c r="U97" s="2116"/>
      <c r="V97" s="2116"/>
      <c r="W97" s="2116"/>
      <c r="X97" s="2116"/>
      <c r="Y97" s="2116"/>
      <c r="Z97" s="2116"/>
      <c r="AA97" s="1424"/>
      <c r="AB97" s="1424"/>
      <c r="AC97" s="1424"/>
      <c r="AD97" s="1424"/>
      <c r="AE97" s="1424"/>
      <c r="AF97" s="1424"/>
      <c r="AG97" s="1424"/>
      <c r="AH97" s="1424"/>
      <c r="AI97" s="1424"/>
    </row>
    <row r="98" spans="1:35" ht="21.75" customHeight="1">
      <c r="A98" s="1248"/>
      <c r="B98" s="1233"/>
      <c r="C98" s="1233"/>
      <c r="D98" s="1233"/>
      <c r="E98" s="227"/>
      <c r="F98" s="227"/>
      <c r="G98" s="227"/>
      <c r="H98" s="239"/>
      <c r="I98" s="2258"/>
    </row>
    <row r="99" spans="1:35" ht="21.75" customHeight="1" thickBot="1">
      <c r="A99" s="1242" t="s">
        <v>226</v>
      </c>
      <c r="B99" s="1233"/>
      <c r="C99" s="1233"/>
      <c r="D99" s="1233"/>
      <c r="E99" s="227"/>
      <c r="F99" s="227"/>
      <c r="G99" s="227"/>
      <c r="H99" s="239"/>
      <c r="I99" s="2258"/>
    </row>
    <row r="100" spans="1:35" ht="18.75" customHeight="1">
      <c r="A100" s="3471" t="s">
        <v>227</v>
      </c>
      <c r="B100" s="3472"/>
      <c r="C100" s="3472"/>
      <c r="D100" s="3489"/>
      <c r="E100" s="3472" t="s">
        <v>2895</v>
      </c>
      <c r="F100" s="3472"/>
      <c r="G100" s="3472"/>
      <c r="H100" s="3489"/>
      <c r="I100" s="2258"/>
    </row>
    <row r="101" spans="1:35" ht="18.75" customHeight="1">
      <c r="A101" s="3555" t="s">
        <v>205</v>
      </c>
      <c r="B101" s="3556"/>
      <c r="C101" s="1256" t="str">
        <f>C4</f>
        <v>成本法</v>
      </c>
      <c r="D101" s="1257" t="str">
        <f>D4</f>
        <v>假设开发法</v>
      </c>
      <c r="E101" s="3573" t="s">
        <v>1902</v>
      </c>
      <c r="F101" s="3522"/>
      <c r="G101" s="1258" t="s">
        <v>207</v>
      </c>
      <c r="H101" s="1968">
        <f ca="1">H118</f>
        <v>145332</v>
      </c>
      <c r="I101" s="2258"/>
    </row>
    <row r="102" spans="1:35" ht="18.75" customHeight="1">
      <c r="A102" s="3524" t="s">
        <v>206</v>
      </c>
      <c r="B102" s="1258" t="s">
        <v>207</v>
      </c>
      <c r="C102" s="1225">
        <f ca="1">C19</f>
        <v>176588</v>
      </c>
      <c r="D102" s="1226">
        <f ca="1">D19</f>
        <v>124495</v>
      </c>
      <c r="E102" s="3573"/>
      <c r="F102" s="3522"/>
      <c r="G102" s="1258" t="s">
        <v>208</v>
      </c>
      <c r="H102" s="707">
        <f ca="1">I118</f>
        <v>33212</v>
      </c>
      <c r="I102" s="2258"/>
    </row>
    <row r="103" spans="1:35" ht="42.75" customHeight="1">
      <c r="A103" s="3524"/>
      <c r="B103" s="1258" t="s">
        <v>208</v>
      </c>
      <c r="C103" s="1227">
        <f ca="1">C20</f>
        <v>40355</v>
      </c>
      <c r="D103" s="1228">
        <f ca="1">D20</f>
        <v>28450</v>
      </c>
      <c r="E103" s="3568" t="s">
        <v>3005</v>
      </c>
      <c r="F103" s="3569"/>
      <c r="G103" s="1259" t="s">
        <v>210</v>
      </c>
      <c r="H103" s="1968">
        <f>IF(D36="正常操作",H104+H105+H106,H105+H106)</f>
        <v>0</v>
      </c>
      <c r="I103" s="2258"/>
    </row>
    <row r="104" spans="1:35" ht="18.75" customHeight="1">
      <c r="A104" s="3524" t="s">
        <v>209</v>
      </c>
      <c r="B104" s="1260" t="s">
        <v>207</v>
      </c>
      <c r="C104" s="1229">
        <f ca="1">H118</f>
        <v>145332</v>
      </c>
      <c r="D104" s="1230"/>
      <c r="E104" s="13" t="s">
        <v>1901</v>
      </c>
      <c r="F104" s="6"/>
      <c r="G104" s="1259" t="s">
        <v>210</v>
      </c>
      <c r="H104" s="1969">
        <f>IF(D36="同一抵押权人同一抵押物续贷",C36&amp;"（未扣减，详见特别提示）",C36)</f>
        <v>0</v>
      </c>
      <c r="I104" s="2258"/>
    </row>
    <row r="105" spans="1:35" ht="18.75" customHeight="1" thickBot="1">
      <c r="A105" s="3525"/>
      <c r="B105" s="1261" t="s">
        <v>208</v>
      </c>
      <c r="C105" s="1231">
        <f ca="1">I118</f>
        <v>33212</v>
      </c>
      <c r="D105" s="1232"/>
      <c r="E105" s="13" t="s">
        <v>1903</v>
      </c>
      <c r="F105" s="6"/>
      <c r="G105" s="1259" t="s">
        <v>210</v>
      </c>
      <c r="H105" s="1969">
        <f>C37</f>
        <v>0</v>
      </c>
      <c r="I105" s="2258"/>
    </row>
    <row r="106" spans="1:35" ht="18.75" customHeight="1">
      <c r="A106" s="1233" t="s">
        <v>1995</v>
      </c>
      <c r="B106" s="1233"/>
      <c r="C106" s="1233"/>
      <c r="D106" s="1233"/>
      <c r="E106" s="463" t="s">
        <v>1904</v>
      </c>
      <c r="F106" s="6"/>
      <c r="G106" s="1259" t="s">
        <v>210</v>
      </c>
      <c r="H106" s="1969">
        <f>C38</f>
        <v>0</v>
      </c>
      <c r="I106" s="2258"/>
    </row>
    <row r="107" spans="1:35" ht="18.75" customHeight="1">
      <c r="A107" s="2258"/>
      <c r="B107" s="2258"/>
      <c r="C107" s="2258"/>
      <c r="D107" s="2258"/>
      <c r="E107" s="3521" t="str">
        <f>IF(项目基本情况!E8="已注销","——","3.房地产抵押价值")</f>
        <v>3.房地产抵押价值</v>
      </c>
      <c r="F107" s="3522"/>
      <c r="G107" s="1258" t="s">
        <v>207</v>
      </c>
      <c r="H107" s="1968">
        <f ca="1">IF(E107="——","——",H101-H103)</f>
        <v>145332</v>
      </c>
      <c r="I107" s="2258"/>
    </row>
    <row r="108" spans="1:35" ht="18.75" customHeight="1">
      <c r="A108" s="2258"/>
      <c r="B108" s="2258"/>
      <c r="C108" s="2258"/>
      <c r="D108" s="2258"/>
      <c r="E108" s="3521"/>
      <c r="F108" s="3522"/>
      <c r="G108" s="1258" t="s">
        <v>208</v>
      </c>
      <c r="H108" s="707">
        <f ca="1">ROUND(H107*10000/'数据-汇总表'!E3,0)</f>
        <v>33212</v>
      </c>
      <c r="I108" s="2258"/>
    </row>
    <row r="109" spans="1:35" ht="18.75" customHeight="1">
      <c r="A109" s="2258"/>
      <c r="B109" s="2258"/>
      <c r="C109" s="2258"/>
      <c r="D109" s="2258"/>
      <c r="E109" s="3521" t="str">
        <f>IF(项目基本情况!E8="已注销及未注销","4.抵押担保权已注销时的房地产抵押价值",IF(项目基本情况!E8="已注销","3.抵押担保权已注销时的房地产抵押价值","——"))</f>
        <v>——</v>
      </c>
      <c r="F109" s="3522"/>
      <c r="G109" s="1258" t="s">
        <v>207</v>
      </c>
      <c r="H109" s="681" t="str">
        <f>IF(E109="——","——",H101-H105-H106)</f>
        <v>——</v>
      </c>
      <c r="I109" s="2258"/>
    </row>
    <row r="110" spans="1:35" ht="18.75" customHeight="1">
      <c r="A110" s="2258"/>
      <c r="B110" s="2258"/>
      <c r="C110" s="2258"/>
      <c r="D110" s="2258"/>
      <c r="E110" s="3521"/>
      <c r="F110" s="3522"/>
      <c r="G110" s="1258" t="s">
        <v>208</v>
      </c>
      <c r="H110" s="707" t="str">
        <f>IF(H109="——","——",ROUND(H109*10000/'数据-汇总表'!E3,0))</f>
        <v>——</v>
      </c>
      <c r="I110" s="2258"/>
    </row>
    <row r="111" spans="1:35" ht="18.75" customHeight="1">
      <c r="A111" s="2258"/>
      <c r="B111" s="2258"/>
      <c r="C111" s="2258"/>
      <c r="D111" s="2258"/>
      <c r="E111" s="3558" t="str">
        <f>IF(项目基本情况!E9="抵押净值",IF(OR(项目基本情况!E8="已注销",项目基本情况!E8="房地产抵押价值"),"4.抵押净值","5.抵押净值"),"——")</f>
        <v>——</v>
      </c>
      <c r="F111" s="3559"/>
      <c r="G111" s="1258" t="s">
        <v>207</v>
      </c>
      <c r="H111" s="1968" t="str">
        <f>IF(E111="——","——",N59)</f>
        <v>——</v>
      </c>
      <c r="I111" s="2258"/>
    </row>
    <row r="112" spans="1:35" ht="18.75" customHeight="1" thickBot="1">
      <c r="A112" s="2258"/>
      <c r="B112" s="2258"/>
      <c r="C112" s="2258"/>
      <c r="D112" s="2258"/>
      <c r="E112" s="3560"/>
      <c r="F112" s="3561"/>
      <c r="G112" s="1262" t="s">
        <v>208</v>
      </c>
      <c r="H112" s="1412" t="str">
        <f>IF(E111="——","——",N61)</f>
        <v>——</v>
      </c>
      <c r="I112" s="2258"/>
    </row>
    <row r="113" spans="1:11" ht="18.75" customHeight="1">
      <c r="A113" s="2258"/>
      <c r="B113" s="2258"/>
      <c r="C113" s="2258"/>
      <c r="D113" s="2258"/>
      <c r="E113" s="3526" t="s">
        <v>1995</v>
      </c>
      <c r="F113" s="3526"/>
      <c r="G113" s="3526"/>
      <c r="H113" s="3526"/>
      <c r="I113" s="2258"/>
    </row>
    <row r="114" spans="1:11" ht="3.75" customHeight="1">
      <c r="A114" s="1233"/>
      <c r="B114" s="1233"/>
      <c r="C114" s="1233"/>
      <c r="D114" s="1233"/>
      <c r="E114" s="1248"/>
      <c r="F114" s="1248"/>
      <c r="G114" s="1248"/>
      <c r="H114" s="1248"/>
      <c r="I114" s="1233"/>
    </row>
    <row r="115" spans="1:11" ht="18.75" customHeight="1">
      <c r="A115" s="3540" t="s">
        <v>223</v>
      </c>
      <c r="B115" s="3541"/>
      <c r="C115" s="3541"/>
      <c r="D115" s="3541"/>
      <c r="E115" s="3541"/>
      <c r="F115" s="3541"/>
      <c r="G115" s="3541"/>
      <c r="H115" s="3541"/>
      <c r="I115" s="3542"/>
    </row>
    <row r="116" spans="1:11" ht="27" customHeight="1">
      <c r="A116" s="3429" t="s">
        <v>5</v>
      </c>
      <c r="B116" s="3527" t="s">
        <v>781</v>
      </c>
      <c r="C116" s="3527" t="s">
        <v>782</v>
      </c>
      <c r="D116" s="3544" t="s">
        <v>203</v>
      </c>
      <c r="E116" s="3545"/>
      <c r="F116" s="3536" t="s">
        <v>2374</v>
      </c>
      <c r="G116" s="3536"/>
      <c r="H116" s="3429" t="s">
        <v>6</v>
      </c>
      <c r="I116" s="3429"/>
    </row>
    <row r="117" spans="1:11" ht="18.75" customHeight="1">
      <c r="A117" s="3429"/>
      <c r="B117" s="3528"/>
      <c r="C117" s="3528"/>
      <c r="D117" s="1897" t="s">
        <v>7</v>
      </c>
      <c r="E117" s="1897" t="s">
        <v>783</v>
      </c>
      <c r="F117" s="1897" t="s">
        <v>7</v>
      </c>
      <c r="G117" s="1897" t="s">
        <v>8</v>
      </c>
      <c r="H117" s="1897" t="s">
        <v>7</v>
      </c>
      <c r="I117" s="1897" t="s">
        <v>8</v>
      </c>
    </row>
    <row r="118" spans="1:11" ht="24.75" customHeight="1">
      <c r="A118" s="2014" t="str">
        <f>项目基本情况!S2</f>
        <v>北京市出让国有建设用地使用权</v>
      </c>
      <c r="B118" s="1902">
        <f>M18</f>
        <v>43758.520000000004</v>
      </c>
      <c r="C118" s="1902">
        <f>M19</f>
        <v>10808.06</v>
      </c>
      <c r="D118" s="1902">
        <f ca="1">ROUND(IF(D32="总价",C34,E118*B118/10000),0)</f>
        <v>136612</v>
      </c>
      <c r="E118" s="1902">
        <f ca="1">ROUND(IF(C33="自定义",IF(D32="楼面单价",C34,D118*10000/B118),I118-G118),0)</f>
        <v>31219</v>
      </c>
      <c r="F118" s="1902">
        <f ca="1">ROUND(IF(D32="总价",C35,G118*B118/10000),0)</f>
        <v>8720</v>
      </c>
      <c r="G118" s="1902">
        <f ca="1">ROUND(IF(D32="楼面单价",C35,F118*10000/B118),0)</f>
        <v>1993</v>
      </c>
      <c r="H118" s="1902">
        <f ca="1">ROUND(IF(D32="总价",C32,I118*B118/10000),0)</f>
        <v>145332</v>
      </c>
      <c r="I118" s="1902">
        <f ca="1">ROUND(IF(D32="楼面单价",C32,H118*10000/B118),0)</f>
        <v>33212</v>
      </c>
    </row>
    <row r="119" spans="1:11" ht="18.75" customHeight="1">
      <c r="A119" s="3429" t="s">
        <v>9</v>
      </c>
      <c r="B119" s="3429"/>
      <c r="C119" s="3429"/>
      <c r="D119" s="3533" t="str">
        <f ca="1">NUMBERSTRING(INT(D118*10000),2)&amp;"元整"</f>
        <v>壹拾叁亿陆仟陆佰壹拾贰万元整</v>
      </c>
      <c r="E119" s="3535"/>
      <c r="F119" s="3533" t="str">
        <f ca="1">NUMBERSTRING(INT(F118*10000),2)&amp;"元整"</f>
        <v>捌仟柒佰贰拾万元整</v>
      </c>
      <c r="G119" s="3535"/>
      <c r="H119" s="3533" t="str">
        <f ca="1">NUMBERSTRING(INT(H118*10000),2)&amp;"元整"</f>
        <v>壹拾肆亿伍仟叁佰叁拾贰万元整</v>
      </c>
      <c r="I119" s="3535"/>
    </row>
    <row r="120" spans="1:11" ht="18.75" customHeight="1">
      <c r="A120" s="3565" t="str">
        <f>IF(项目基本情况!B9="房地产市场价值","",MID(E103,3,LEN(E103)-2))</f>
        <v>估价师知悉的法定优先受偿款</v>
      </c>
      <c r="B120" s="3566"/>
      <c r="C120" s="3567"/>
      <c r="D120" s="3562">
        <f>H103</f>
        <v>0</v>
      </c>
      <c r="E120" s="3563"/>
      <c r="F120" s="3563"/>
      <c r="G120" s="3563"/>
      <c r="H120" s="3563"/>
      <c r="I120" s="3564"/>
      <c r="K120" s="1423" t="str">
        <f>IF(D120=0,"故，本次评估不存在"&amp;A120,"故，本次评估"&amp;A120&amp;"为人民币"&amp;D120&amp;"万元整。")</f>
        <v>故，本次评估不存在估价师知悉的法定优先受偿款</v>
      </c>
    </row>
    <row r="121" spans="1:11" ht="18.75" customHeight="1">
      <c r="A121" s="3537" t="s">
        <v>9</v>
      </c>
      <c r="B121" s="3538"/>
      <c r="C121" s="3539"/>
      <c r="D121" s="3533" t="str">
        <f>IF(D120=0,"零元整",NUMBERSTRING(INT(D120*10000),2)&amp;"元整")</f>
        <v>零元整</v>
      </c>
      <c r="E121" s="3534"/>
      <c r="F121" s="3534"/>
      <c r="G121" s="3534"/>
      <c r="H121" s="3534"/>
      <c r="I121" s="3535"/>
    </row>
    <row r="122" spans="1:11" ht="18.75" customHeight="1">
      <c r="A122" s="3523" t="str">
        <f>IF(项目基本情况!B9="房地产市场价值","",MID(E107,3,LEN(E107)-2))</f>
        <v>房地产抵押价值</v>
      </c>
      <c r="B122" s="3523"/>
      <c r="C122" s="3523"/>
      <c r="D122" s="3562">
        <f ca="1">H107</f>
        <v>145332</v>
      </c>
      <c r="E122" s="3563"/>
      <c r="F122" s="3563"/>
      <c r="G122" s="3563"/>
      <c r="H122" s="3563"/>
      <c r="I122" s="3564"/>
    </row>
    <row r="123" spans="1:11" ht="18.75" customHeight="1">
      <c r="A123" s="3429" t="s">
        <v>9</v>
      </c>
      <c r="B123" s="3429"/>
      <c r="C123" s="3429"/>
      <c r="D123" s="3533" t="str">
        <f ca="1">NUMBERSTRING(INT(D122*10000),2)&amp;"元整"</f>
        <v>壹拾肆亿伍仟叁佰叁拾贰万元整</v>
      </c>
      <c r="E123" s="3534"/>
      <c r="F123" s="3534"/>
      <c r="G123" s="3534"/>
      <c r="H123" s="3534"/>
      <c r="I123" s="3535"/>
    </row>
    <row r="124" spans="1:11" ht="18.75" customHeight="1">
      <c r="A124" s="3523" t="str">
        <f>IF(项目基本情况!B9="房地产市场价值","",MID(E109,3,LEN(E109)-2))</f>
        <v/>
      </c>
      <c r="B124" s="3523"/>
      <c r="C124" s="3523"/>
      <c r="D124" s="3562" t="str">
        <f>H109</f>
        <v>——</v>
      </c>
      <c r="E124" s="3563"/>
      <c r="F124" s="3563"/>
      <c r="G124" s="3563"/>
      <c r="H124" s="3563"/>
      <c r="I124" s="3564"/>
    </row>
    <row r="125" spans="1:11" ht="18.75" customHeight="1">
      <c r="A125" s="3429" t="s">
        <v>9</v>
      </c>
      <c r="B125" s="3429"/>
      <c r="C125" s="3429"/>
      <c r="D125" s="3533" t="e">
        <f>NUMBERSTRING(INT(D124*10000),2)&amp;"元整"</f>
        <v>#VALUE!</v>
      </c>
      <c r="E125" s="3534"/>
      <c r="F125" s="3534"/>
      <c r="G125" s="3534"/>
      <c r="H125" s="3534"/>
      <c r="I125" s="3535"/>
    </row>
    <row r="126" spans="1:11" ht="18.75" customHeight="1">
      <c r="A126" s="3523" t="str">
        <f>IF(项目基本情况!B9="房地产市场价值","",MID(E111,3,LEN(E111)-2))</f>
        <v/>
      </c>
      <c r="B126" s="3523"/>
      <c r="C126" s="3523"/>
      <c r="D126" s="3562" t="str">
        <f>H111</f>
        <v>——</v>
      </c>
      <c r="E126" s="3563"/>
      <c r="F126" s="3563"/>
      <c r="G126" s="3563"/>
      <c r="H126" s="3563"/>
      <c r="I126" s="3564"/>
    </row>
    <row r="127" spans="1:11" ht="18.75" customHeight="1">
      <c r="A127" s="3429" t="s">
        <v>9</v>
      </c>
      <c r="B127" s="3429"/>
      <c r="C127" s="3429"/>
      <c r="D127" s="3533" t="e">
        <f>NUMBERSTRING(INT(D126*10000),2)&amp;"元整"</f>
        <v>#VALUE!</v>
      </c>
      <c r="E127" s="3534"/>
      <c r="F127" s="3534"/>
      <c r="G127" s="3534"/>
      <c r="H127" s="3534"/>
      <c r="I127" s="3535"/>
    </row>
    <row r="128" spans="1:11" ht="21.75" customHeight="1">
      <c r="A128" s="3543" t="s">
        <v>1994</v>
      </c>
      <c r="B128" s="3543"/>
      <c r="C128" s="3543"/>
      <c r="D128" s="3543"/>
      <c r="E128" s="3543"/>
      <c r="F128" s="3543"/>
      <c r="G128" s="3543"/>
      <c r="H128" s="3543"/>
      <c r="I128" s="3543"/>
    </row>
    <row r="129" spans="1:35" ht="21.75" customHeight="1">
      <c r="A129" s="2009" t="s">
        <v>784</v>
      </c>
      <c r="B129" s="2010"/>
      <c r="C129" s="464" t="s">
        <v>150</v>
      </c>
      <c r="D129" s="2011"/>
      <c r="E129" s="2011"/>
      <c r="F129" s="2011"/>
      <c r="G129" s="2011"/>
      <c r="H129" s="2012"/>
      <c r="I129" s="2013"/>
    </row>
    <row r="130" spans="1:35" ht="21.75" customHeight="1">
      <c r="A130" s="1425">
        <v>1</v>
      </c>
      <c r="B130" s="1426"/>
      <c r="C130" s="1426"/>
      <c r="D130" s="1427"/>
      <c r="E130" s="1427"/>
      <c r="F130" s="1427"/>
      <c r="G130" s="1427"/>
      <c r="H130" s="1428"/>
      <c r="I130" s="1429"/>
    </row>
    <row r="131" spans="1:35" ht="21.75" customHeight="1">
      <c r="A131" s="1425">
        <v>2</v>
      </c>
      <c r="B131" s="1426"/>
      <c r="C131" s="1426"/>
      <c r="D131" s="1427"/>
      <c r="E131" s="1427"/>
      <c r="F131" s="1427"/>
      <c r="G131" s="1427"/>
      <c r="H131" s="1428"/>
      <c r="I131" s="1429"/>
    </row>
    <row r="132" spans="1:35" ht="21.75" customHeight="1">
      <c r="A132" s="1425">
        <v>3</v>
      </c>
      <c r="B132" s="1426"/>
      <c r="C132" s="1426"/>
      <c r="D132" s="1427"/>
      <c r="E132" s="1427"/>
      <c r="F132" s="1427"/>
      <c r="G132" s="1427"/>
      <c r="H132" s="1428"/>
      <c r="I132" s="1429"/>
    </row>
    <row r="133" spans="1:35" ht="21.75" customHeight="1">
      <c r="A133" s="1430"/>
      <c r="B133" s="1431"/>
      <c r="C133" s="1431"/>
      <c r="D133" s="1432"/>
      <c r="E133" s="1432"/>
      <c r="F133" s="1432"/>
      <c r="G133" s="1432"/>
      <c r="H133" s="1433"/>
      <c r="I133" s="1434"/>
    </row>
    <row r="134" spans="1:35" ht="21.75" customHeight="1">
      <c r="A134" s="1426"/>
      <c r="B134" s="1426"/>
      <c r="C134" s="1426"/>
      <c r="D134" s="1427"/>
      <c r="E134" s="1427"/>
      <c r="F134" s="1427"/>
      <c r="G134" s="1427"/>
      <c r="H134" s="1428"/>
      <c r="I134" s="1435"/>
    </row>
    <row r="135" spans="1:35" ht="21.75" customHeight="1">
      <c r="A135" s="1435"/>
      <c r="B135" s="1435"/>
      <c r="C135" s="1435"/>
      <c r="D135" s="1435"/>
      <c r="E135" s="1435"/>
      <c r="F135" s="1436" t="s">
        <v>785</v>
      </c>
      <c r="G135" s="1437"/>
      <c r="H135" s="1437"/>
      <c r="I135" s="1438" t="s">
        <v>786</v>
      </c>
    </row>
    <row r="136" spans="1:35" ht="21.75" customHeight="1">
      <c r="A136" s="1435"/>
      <c r="B136" s="1439" t="s">
        <v>787</v>
      </c>
      <c r="C136" s="1435"/>
      <c r="D136" s="1435"/>
      <c r="E136" s="1435"/>
      <c r="F136" s="1435"/>
      <c r="G136" s="1435"/>
      <c r="H136" s="1435"/>
      <c r="I136" s="1435"/>
    </row>
    <row r="137" spans="1:35" ht="21.75" customHeight="1">
      <c r="A137" s="1435"/>
      <c r="B137" s="1435"/>
      <c r="C137" s="1435"/>
      <c r="D137" s="1435"/>
      <c r="E137" s="1435"/>
      <c r="F137" s="1435"/>
      <c r="G137" s="1435"/>
      <c r="H137" s="1435"/>
      <c r="I137" s="1435"/>
    </row>
    <row r="138" spans="1:35" ht="21.75" customHeight="1">
      <c r="A138" s="1435"/>
      <c r="B138" s="1437"/>
      <c r="C138" s="1437"/>
      <c r="D138" s="1437"/>
      <c r="E138" s="1437"/>
      <c r="F138" s="1437"/>
      <c r="G138" s="1437"/>
      <c r="H138" s="1437"/>
      <c r="I138" s="1438" t="s">
        <v>788</v>
      </c>
    </row>
    <row r="139" spans="1:35" ht="21.75" customHeight="1">
      <c r="A139" s="1435"/>
      <c r="B139" s="1439" t="s">
        <v>789</v>
      </c>
      <c r="C139" s="1435"/>
      <c r="D139" s="1435"/>
      <c r="E139" s="1435"/>
      <c r="F139" s="1435"/>
      <c r="G139" s="1435"/>
      <c r="H139" s="1435"/>
      <c r="I139" s="1435"/>
    </row>
    <row r="140" spans="1:35" ht="21.75" customHeight="1">
      <c r="A140" s="1435"/>
      <c r="B140" s="1439"/>
      <c r="C140" s="1435"/>
      <c r="D140" s="1435"/>
      <c r="E140" s="1435"/>
      <c r="F140" s="1435"/>
      <c r="G140" s="1435"/>
      <c r="H140" s="1435"/>
      <c r="I140" s="1435"/>
    </row>
    <row r="141" spans="1:35" ht="21.75" customHeight="1">
      <c r="A141" s="1435"/>
      <c r="B141" s="1437"/>
      <c r="C141" s="1437"/>
      <c r="D141" s="1437"/>
      <c r="E141" s="1437"/>
      <c r="F141" s="1437"/>
      <c r="G141" s="1437"/>
      <c r="H141" s="1437"/>
      <c r="I141" s="1438" t="s">
        <v>788</v>
      </c>
    </row>
    <row r="142" spans="1:35" ht="21.75" customHeight="1">
      <c r="A142" s="1435"/>
      <c r="B142" s="1439"/>
      <c r="C142" s="1440"/>
      <c r="D142" s="1441"/>
      <c r="E142" s="1441"/>
      <c r="F142" s="1442"/>
      <c r="G142" s="1435"/>
      <c r="H142" s="1435"/>
      <c r="I142" s="1435"/>
    </row>
    <row r="143" spans="1:35" s="424" customFormat="1" ht="21.75" customHeight="1">
      <c r="A143" s="1435"/>
      <c r="B143" s="1439"/>
      <c r="C143" s="1440"/>
      <c r="D143" s="1441"/>
      <c r="E143" s="1441"/>
      <c r="F143" s="1442"/>
      <c r="G143" s="1435"/>
      <c r="H143" s="1435"/>
      <c r="I143" s="1435"/>
      <c r="J143" s="1435"/>
      <c r="K143" s="1435"/>
      <c r="L143" s="1435"/>
      <c r="M143" s="1435"/>
      <c r="N143" s="1435"/>
      <c r="O143" s="1435"/>
      <c r="P143" s="1435"/>
      <c r="Q143" s="1435"/>
      <c r="R143" s="1435"/>
      <c r="S143" s="1435"/>
      <c r="T143" s="1435"/>
      <c r="U143" s="1435"/>
      <c r="V143" s="1435"/>
      <c r="W143" s="1435"/>
      <c r="X143" s="1435"/>
      <c r="Y143" s="1435"/>
      <c r="Z143" s="1435"/>
      <c r="AA143" s="1435"/>
      <c r="AB143" s="1435"/>
      <c r="AC143" s="1435"/>
      <c r="AD143" s="1435"/>
      <c r="AE143" s="1435"/>
      <c r="AF143" s="1435"/>
      <c r="AG143" s="1435"/>
      <c r="AH143" s="1435"/>
      <c r="AI143" s="1435"/>
    </row>
    <row r="144" spans="1:35" s="424" customFormat="1" ht="21.75" customHeight="1">
      <c r="A144" s="1435"/>
      <c r="B144" s="1435"/>
      <c r="C144" s="1435"/>
      <c r="D144" s="1435"/>
      <c r="E144" s="1435"/>
      <c r="F144" s="1435"/>
      <c r="G144" s="1435"/>
      <c r="H144" s="1435"/>
      <c r="I144" s="1435"/>
      <c r="J144" s="1435"/>
      <c r="K144" s="1435"/>
      <c r="L144" s="1435"/>
      <c r="M144" s="1435"/>
      <c r="N144" s="1435"/>
      <c r="O144" s="1435"/>
      <c r="P144" s="1435"/>
      <c r="Q144" s="1435"/>
      <c r="R144" s="1435"/>
      <c r="S144" s="1435"/>
      <c r="T144" s="1435"/>
      <c r="U144" s="1435"/>
      <c r="V144" s="1435"/>
      <c r="W144" s="1435"/>
      <c r="X144" s="1435"/>
      <c r="Y144" s="1435"/>
      <c r="Z144" s="1435"/>
      <c r="AA144" s="1435"/>
      <c r="AB144" s="1435"/>
      <c r="AC144" s="1435"/>
      <c r="AD144" s="1435"/>
      <c r="AE144" s="1435"/>
      <c r="AF144" s="1435"/>
      <c r="AG144" s="1435"/>
      <c r="AH144" s="1435"/>
      <c r="AI144" s="1435"/>
    </row>
    <row r="145" spans="1:35" s="424" customFormat="1" ht="21.75" customHeight="1">
      <c r="A145" s="1435"/>
      <c r="B145" s="1435"/>
      <c r="C145" s="1435"/>
      <c r="D145" s="1435"/>
      <c r="E145" s="1435"/>
      <c r="F145" s="1435"/>
      <c r="G145" s="1435"/>
      <c r="H145" s="1435"/>
      <c r="I145" s="1435"/>
      <c r="J145" s="1435"/>
      <c r="K145" s="1435"/>
      <c r="L145" s="1435"/>
      <c r="M145" s="1435"/>
      <c r="N145" s="1435"/>
      <c r="O145" s="1435"/>
      <c r="P145" s="1435"/>
      <c r="Q145" s="1435"/>
      <c r="R145" s="1435"/>
      <c r="S145" s="1435"/>
      <c r="T145" s="1435"/>
      <c r="U145" s="1435"/>
      <c r="V145" s="1435"/>
      <c r="W145" s="1435"/>
      <c r="X145" s="1435"/>
      <c r="Y145" s="1435"/>
      <c r="Z145" s="1435"/>
      <c r="AA145" s="1435"/>
      <c r="AB145" s="1435"/>
      <c r="AC145" s="1435"/>
      <c r="AD145" s="1435"/>
      <c r="AE145" s="1435"/>
      <c r="AF145" s="1435"/>
      <c r="AG145" s="1435"/>
      <c r="AH145" s="1435"/>
      <c r="AI145" s="1435"/>
    </row>
    <row r="146" spans="1:35" s="1435" customFormat="1" ht="21.75" customHeight="1"/>
    <row r="147" spans="1:35" s="1435" customFormat="1" ht="21.75" customHeight="1"/>
    <row r="148" spans="1:35" s="1435" customFormat="1" ht="21.75" customHeight="1"/>
    <row r="149" spans="1:35" s="1435" customFormat="1" ht="21.75" customHeight="1"/>
    <row r="150" spans="1:35" s="1435" customFormat="1" ht="21.75" customHeight="1"/>
    <row r="151" spans="1:35" s="1435" customFormat="1" ht="21.75" customHeight="1"/>
    <row r="152" spans="1:35" s="1435" customFormat="1" ht="21.75" customHeight="1"/>
    <row r="153" spans="1:35" s="1435" customFormat="1" ht="21.75" customHeight="1"/>
    <row r="154" spans="1:35" s="1435" customFormat="1" ht="21.75" customHeight="1"/>
    <row r="155" spans="1:35" s="1435" customFormat="1" ht="21.75" customHeight="1"/>
    <row r="156" spans="1:35" s="1435" customFormat="1" ht="21.75" customHeight="1"/>
    <row r="157" spans="1:35" s="1435" customFormat="1" ht="21.75" customHeight="1"/>
    <row r="158" spans="1:35" s="1435" customFormat="1" ht="21.75" customHeight="1"/>
    <row r="159" spans="1:35" s="1435" customFormat="1" ht="21.75" customHeight="1"/>
    <row r="160" spans="1:35" s="1435" customFormat="1" ht="21.75" customHeight="1"/>
    <row r="161" s="1435" customFormat="1" ht="21.75" customHeight="1"/>
    <row r="162" s="1435" customFormat="1" ht="21.75" customHeight="1"/>
    <row r="163" s="1435" customFormat="1" ht="21.75" customHeight="1"/>
    <row r="164" s="1435" customFormat="1" ht="21.75" customHeight="1"/>
    <row r="165" s="1435" customFormat="1" ht="21.75" customHeight="1"/>
    <row r="166" s="1435" customFormat="1" ht="21.75" customHeight="1"/>
    <row r="167" s="1435" customFormat="1" ht="21.75" customHeight="1"/>
    <row r="168" s="1435" customFormat="1" ht="21.75" customHeight="1"/>
    <row r="169" s="1435" customFormat="1" ht="21.75" customHeight="1"/>
    <row r="170" s="1435" customFormat="1" ht="21.75" customHeight="1"/>
    <row r="171" s="1435" customFormat="1" ht="21.75" customHeight="1"/>
    <row r="172" s="1435" customFormat="1" ht="21.75" customHeight="1"/>
    <row r="173" s="1435" customFormat="1" ht="21.75" customHeight="1"/>
    <row r="174" s="1435" customFormat="1" ht="21.75" customHeight="1"/>
    <row r="175" s="1435" customFormat="1" ht="21.75" customHeight="1"/>
    <row r="176" s="1435" customFormat="1" ht="21.75" customHeight="1"/>
    <row r="177" s="1435" customFormat="1" ht="21.75" customHeight="1"/>
    <row r="178" s="1435" customFormat="1" ht="21.75" customHeight="1"/>
    <row r="179" s="1435" customFormat="1" ht="21.75" customHeight="1"/>
    <row r="180" s="1435" customFormat="1" ht="21.75" customHeight="1"/>
    <row r="181" s="1435" customFormat="1" ht="21.75" customHeight="1"/>
    <row r="182" s="1435" customFormat="1" ht="21.75" customHeight="1"/>
    <row r="183" s="1435" customFormat="1" ht="21.75" customHeight="1"/>
    <row r="184" s="1435" customFormat="1" ht="21.75" customHeight="1"/>
    <row r="185" s="1435" customFormat="1" ht="21.75" customHeight="1"/>
    <row r="186" s="1435" customFormat="1" ht="21.75" customHeight="1"/>
    <row r="187" s="1435" customFormat="1" ht="21.75" customHeight="1"/>
    <row r="188" s="1435" customFormat="1" ht="21.75" customHeight="1"/>
    <row r="189" s="1435" customFormat="1" ht="21.75" customHeight="1"/>
    <row r="190" s="1435" customFormat="1" ht="21.75" customHeight="1"/>
    <row r="191" s="1435" customFormat="1" ht="21.75" customHeight="1"/>
    <row r="192" s="1435" customFormat="1" ht="21.75" customHeight="1"/>
    <row r="193" s="1435" customFormat="1" ht="21.75" customHeight="1"/>
    <row r="194" s="1435" customFormat="1" ht="21.75" customHeight="1"/>
    <row r="195" s="1435" customFormat="1" ht="21.75" customHeight="1"/>
    <row r="196" s="1435" customFormat="1" ht="21.75" customHeight="1"/>
    <row r="197" s="1435" customFormat="1" ht="21.75" customHeight="1"/>
    <row r="198" s="1435" customFormat="1" ht="21.75" customHeight="1"/>
    <row r="199" s="1435" customFormat="1" ht="21.75" customHeight="1"/>
    <row r="200" s="1435" customFormat="1" ht="21.75" customHeight="1"/>
    <row r="201" s="1435" customFormat="1" ht="21.75" customHeight="1"/>
    <row r="202" s="1435" customFormat="1" ht="21.75" customHeight="1"/>
    <row r="203" s="1435" customFormat="1" ht="21.75" customHeight="1"/>
    <row r="204" s="1435" customFormat="1" ht="21.75" customHeight="1"/>
    <row r="205" s="1435" customFormat="1" ht="21.75" customHeight="1"/>
    <row r="206" s="1435" customFormat="1" ht="21.75" customHeight="1"/>
    <row r="207" s="1435" customFormat="1" ht="21.75" customHeight="1"/>
    <row r="208" s="1435" customFormat="1" ht="21.75" customHeight="1"/>
    <row r="209" s="1435" customFormat="1" ht="21.75" customHeight="1"/>
    <row r="210" s="1435" customFormat="1" ht="21.75" customHeight="1"/>
    <row r="211" s="1435" customFormat="1" ht="21.75" customHeight="1"/>
    <row r="212" s="1435" customFormat="1" ht="21.75" customHeight="1"/>
    <row r="213" s="1435" customFormat="1" ht="21.75" customHeight="1"/>
    <row r="214" s="1435" customFormat="1" ht="21.75" customHeight="1"/>
    <row r="215" s="1435" customFormat="1" ht="21.75" customHeight="1"/>
    <row r="216" s="1435" customFormat="1" ht="21.75" customHeight="1"/>
    <row r="217" s="1435" customFormat="1" ht="21.75" customHeight="1"/>
    <row r="218" s="1435" customFormat="1" ht="21.75" customHeight="1"/>
    <row r="219" s="1435" customFormat="1" ht="21.75" customHeight="1"/>
    <row r="220" s="1435" customFormat="1" ht="21.75" customHeight="1"/>
    <row r="221" s="1435" customFormat="1" ht="21.75" customHeight="1"/>
    <row r="222" s="1435" customFormat="1" ht="21.75" customHeight="1"/>
    <row r="223" s="1435" customFormat="1" ht="21.75" customHeight="1"/>
    <row r="224" s="1435" customFormat="1" ht="21.75" customHeight="1"/>
    <row r="225" s="1435" customFormat="1" ht="21.75" customHeight="1"/>
    <row r="226" s="1435" customFormat="1" ht="21.75" customHeight="1"/>
    <row r="227" s="1435" customFormat="1" ht="21.75" customHeight="1"/>
    <row r="228" s="1435" customFormat="1" ht="21.75" customHeight="1"/>
    <row r="229" s="1435" customFormat="1" ht="21.75" customHeight="1"/>
    <row r="230" s="1435" customFormat="1" ht="21.75" customHeight="1"/>
    <row r="231" s="1435" customFormat="1" ht="21.75" customHeight="1"/>
    <row r="232" s="1435" customFormat="1" ht="21.75" customHeight="1"/>
    <row r="233" s="1435" customFormat="1" ht="21.75" customHeight="1"/>
    <row r="234" s="1435" customFormat="1" ht="21.75" customHeight="1"/>
    <row r="235" s="1435" customFormat="1" ht="21.75" customHeight="1"/>
    <row r="236" s="1435" customFormat="1" ht="21.75" customHeight="1"/>
    <row r="237" s="1435" customFormat="1" ht="21.75" customHeight="1"/>
    <row r="238" s="1435" customFormat="1" ht="21.75" customHeight="1"/>
    <row r="239" s="1435" customFormat="1" ht="21.75" customHeight="1"/>
    <row r="240" s="1435" customFormat="1" ht="21.75" customHeight="1"/>
    <row r="241" s="1435" customFormat="1" ht="21.75" customHeight="1"/>
    <row r="242" s="1435" customFormat="1" ht="21.75" customHeight="1"/>
    <row r="243" s="1435" customFormat="1" ht="21.75" customHeight="1"/>
    <row r="244" s="1435" customFormat="1" ht="21.75" customHeight="1"/>
    <row r="245" s="1435" customFormat="1" ht="21.75" customHeight="1"/>
    <row r="246" s="1435" customFormat="1" ht="21.75" customHeight="1"/>
    <row r="247" s="1435" customFormat="1" ht="21.75" customHeight="1"/>
    <row r="248" s="1435" customFormat="1" ht="21.75" customHeight="1"/>
    <row r="249" s="1435" customFormat="1" ht="21.75" customHeight="1"/>
    <row r="250" s="1435" customFormat="1" ht="21.75" customHeight="1"/>
    <row r="251" s="1435" customFormat="1" ht="21.75" customHeight="1"/>
    <row r="252" s="1435" customFormat="1" ht="21.75" customHeight="1"/>
    <row r="253" s="1435" customFormat="1" ht="21.75" customHeight="1"/>
    <row r="254" s="1435" customFormat="1" ht="21.75" customHeight="1"/>
    <row r="255" s="1435" customFormat="1" ht="21.75" customHeight="1"/>
    <row r="256" s="1435" customFormat="1" ht="21.75" customHeight="1"/>
    <row r="257" s="1435" customFormat="1" ht="21.75" customHeight="1"/>
    <row r="258" s="1435" customFormat="1" ht="21.75" customHeight="1"/>
    <row r="259" s="1435" customFormat="1" ht="21.75" customHeight="1"/>
    <row r="260" s="1435" customFormat="1" ht="21.75" customHeight="1"/>
    <row r="261" s="1435" customFormat="1" ht="21.75" customHeight="1"/>
    <row r="262" s="1435" customFormat="1" ht="21.75" customHeight="1"/>
    <row r="263" s="1435" customFormat="1" ht="21.75" customHeight="1"/>
    <row r="264" s="1435" customFormat="1" ht="21.75" customHeight="1"/>
    <row r="265" s="1435" customFormat="1" ht="21.75" customHeight="1"/>
    <row r="266" s="1435" customFormat="1" ht="21.75" customHeight="1"/>
    <row r="267" s="1435" customFormat="1" ht="21.75" customHeight="1"/>
    <row r="268" s="1435" customFormat="1" ht="21.75" customHeight="1"/>
    <row r="269" s="1435" customFormat="1" ht="21.75" customHeight="1"/>
    <row r="270" s="1435" customFormat="1" ht="21.75" customHeight="1"/>
    <row r="271" s="1435" customFormat="1" ht="21.75" customHeight="1"/>
    <row r="272" s="1435" customFormat="1" ht="21.75" customHeight="1"/>
    <row r="273" s="1435" customFormat="1" ht="21.75" customHeight="1"/>
    <row r="274" s="1435" customFormat="1" ht="21.75" customHeight="1"/>
    <row r="275" s="1435" customFormat="1" ht="21.75" customHeight="1"/>
    <row r="276" s="1435" customFormat="1" ht="21.75" customHeight="1"/>
    <row r="277" s="1435" customFormat="1" ht="21.75" customHeight="1"/>
    <row r="278" s="1435" customFormat="1" ht="21.75" customHeight="1"/>
    <row r="279" s="1435" customFormat="1" ht="21.75" customHeight="1"/>
    <row r="280" s="1435" customFormat="1" ht="21.75" customHeight="1"/>
    <row r="281" s="1435" customFormat="1" ht="21.75" customHeight="1"/>
    <row r="282" s="1435" customFormat="1" ht="21.75" customHeight="1"/>
    <row r="283" s="1435" customFormat="1" ht="21.75" customHeight="1"/>
    <row r="284" s="1435" customFormat="1" ht="21.75" customHeight="1"/>
    <row r="285" s="1435" customFormat="1" ht="21.75" customHeight="1"/>
    <row r="286" s="1435" customFormat="1" ht="21.75" customHeight="1"/>
    <row r="287" s="1435" customFormat="1" ht="21.75" customHeight="1"/>
    <row r="288" s="1435" customFormat="1" ht="21.75" customHeight="1"/>
    <row r="289" s="1435" customFormat="1" ht="21.75" customHeight="1"/>
    <row r="290" s="1435" customFormat="1" ht="21.75" customHeight="1"/>
    <row r="291" s="1435" customFormat="1" ht="21.75" customHeight="1"/>
    <row r="292" s="1435" customFormat="1" ht="21.75" customHeight="1"/>
    <row r="293" s="1435" customFormat="1" ht="21.75" customHeight="1"/>
    <row r="294" s="1435" customFormat="1" ht="21.75" customHeight="1"/>
    <row r="295" s="1435" customFormat="1" ht="21.75" customHeight="1"/>
    <row r="296" s="1435" customFormat="1" ht="21.75" customHeight="1"/>
    <row r="297" s="1435" customFormat="1" ht="21.75" customHeight="1"/>
    <row r="298" s="1435" customFormat="1" ht="21.75" customHeight="1"/>
    <row r="299" s="1435" customFormat="1" ht="21.75" customHeight="1"/>
    <row r="300" s="1435" customFormat="1" ht="21.75" customHeight="1"/>
    <row r="301" s="1435" customFormat="1" ht="21.75" customHeight="1"/>
    <row r="302" s="1435" customFormat="1" ht="21.75" customHeight="1"/>
    <row r="303" s="1435" customFormat="1" ht="21.75" customHeight="1"/>
    <row r="304" s="1435" customFormat="1" ht="21.75" customHeight="1"/>
    <row r="305" s="1435" customFormat="1" ht="21.75" customHeight="1"/>
    <row r="306" s="1435" customFormat="1" ht="21.75" customHeight="1"/>
    <row r="307" s="1435" customFormat="1" ht="21.75" customHeight="1"/>
    <row r="308" s="1435" customFormat="1" ht="21.75" customHeight="1"/>
    <row r="309" s="1435" customFormat="1" ht="21.75" customHeight="1"/>
    <row r="310" s="1435" customFormat="1" ht="21.75" customHeight="1"/>
    <row r="311" s="1435" customFormat="1" ht="21.75" customHeight="1"/>
    <row r="312" s="1435" customFormat="1" ht="21.75" customHeight="1"/>
    <row r="313" s="1435" customFormat="1" ht="21.75" customHeight="1"/>
    <row r="314" s="1435" customFormat="1" ht="21.75" customHeight="1"/>
    <row r="315" s="1435" customFormat="1" ht="21.75" customHeight="1"/>
    <row r="316" s="1435" customFormat="1" ht="21.75" customHeight="1"/>
    <row r="317" s="1435" customFormat="1" ht="21.75" customHeight="1"/>
    <row r="318" s="1435" customFormat="1" ht="21.75" customHeight="1"/>
    <row r="319" s="1435" customFormat="1" ht="21.75" customHeight="1"/>
    <row r="320" s="1435" customFormat="1" ht="21.75" customHeight="1"/>
    <row r="321" s="1435" customFormat="1" ht="21.75" customHeight="1"/>
    <row r="322" s="1435" customFormat="1" ht="21.75" customHeight="1"/>
    <row r="323" s="1435" customFormat="1" ht="21.75" customHeight="1"/>
    <row r="324" s="1435" customFormat="1" ht="21.75" customHeight="1"/>
    <row r="325" s="1435" customFormat="1" ht="21.75" customHeight="1"/>
    <row r="326" s="1435" customFormat="1" ht="21.75" customHeight="1"/>
    <row r="327" s="1435" customFormat="1" ht="21.75" customHeight="1"/>
    <row r="328" s="1435" customFormat="1" ht="21.75" customHeight="1"/>
    <row r="329" s="1435" customFormat="1" ht="21.75" customHeight="1"/>
    <row r="330" s="1435" customFormat="1" ht="21.75" customHeight="1"/>
    <row r="331" s="1435" customFormat="1" ht="21.75" customHeight="1"/>
    <row r="332" s="1435" customFormat="1" ht="21.75" customHeight="1"/>
    <row r="333" s="1435" customFormat="1" ht="21.75" customHeight="1"/>
    <row r="334" s="1435" customFormat="1" ht="21.75" customHeight="1"/>
    <row r="335" s="1435" customFormat="1" ht="21.75" customHeight="1"/>
    <row r="336" s="1435" customFormat="1" ht="21.75" customHeight="1"/>
    <row r="337" s="1435" customFormat="1" ht="21.75" customHeight="1"/>
    <row r="338" s="1435" customFormat="1" ht="21.75" customHeight="1"/>
    <row r="339" s="1435" customFormat="1" ht="21.75" customHeight="1"/>
    <row r="340" s="1435" customFormat="1" ht="21.75" customHeight="1"/>
    <row r="341" s="1435" customFormat="1" ht="21.75" customHeight="1"/>
    <row r="342" s="1435" customFormat="1" ht="21.75" customHeight="1"/>
    <row r="343" s="1435" customFormat="1" ht="21.75" customHeight="1"/>
    <row r="344" s="1435" customFormat="1" ht="21.75" customHeight="1"/>
    <row r="345" s="1435" customFormat="1" ht="21.75" customHeight="1"/>
    <row r="346" s="1435" customFormat="1" ht="21.75" customHeight="1"/>
    <row r="347" s="1435" customFormat="1" ht="21.75" customHeight="1"/>
    <row r="348" s="1435" customFormat="1" ht="21.75" customHeight="1"/>
    <row r="349" s="1435" customFormat="1" ht="21.75" customHeight="1"/>
    <row r="350" s="1435" customFormat="1" ht="21.75" customHeight="1"/>
    <row r="351" s="1435" customFormat="1" ht="21.75" customHeight="1"/>
    <row r="352" s="1435" customFormat="1" ht="21.75" customHeight="1"/>
    <row r="353" s="1435" customFormat="1" ht="21.75" customHeight="1"/>
    <row r="354" s="1435" customFormat="1" ht="21.75" customHeight="1"/>
    <row r="355" s="1435" customFormat="1" ht="21.75" customHeight="1"/>
    <row r="356" s="1435" customFormat="1" ht="21.75" customHeight="1"/>
    <row r="357" s="1435" customFormat="1" ht="21.75" customHeight="1"/>
    <row r="358" s="1435" customFormat="1" ht="21.75" customHeight="1"/>
    <row r="359" s="1435" customFormat="1" ht="21.75" customHeight="1"/>
    <row r="360" s="1435" customFormat="1" ht="21.75" customHeight="1"/>
    <row r="361" s="1435" customFormat="1" ht="21.75" customHeight="1"/>
    <row r="362" s="1435" customFormat="1" ht="21.75" customHeight="1"/>
    <row r="363" s="1435" customFormat="1" ht="21.75" customHeight="1"/>
    <row r="364" s="1435" customFormat="1" ht="21.75" customHeight="1"/>
    <row r="365" s="1435" customFormat="1" ht="21.75" customHeight="1"/>
    <row r="366" s="1435" customFormat="1" ht="21.75" customHeight="1"/>
    <row r="367" s="1435" customFormat="1" ht="21.75" customHeight="1"/>
    <row r="368" s="1435" customFormat="1" ht="21.75" customHeight="1"/>
    <row r="369" s="1435" customFormat="1" ht="21.75" customHeight="1"/>
    <row r="370" s="1435" customFormat="1" ht="21.75" customHeight="1"/>
    <row r="371" s="1435" customFormat="1" ht="21.75" customHeight="1"/>
    <row r="372" s="1435" customFormat="1" ht="21.75" customHeight="1"/>
    <row r="373" s="1435" customFormat="1" ht="21.75" customHeight="1"/>
    <row r="374" s="1435" customFormat="1" ht="21.75" customHeight="1"/>
    <row r="375" s="1435" customFormat="1" ht="21.75" customHeight="1"/>
    <row r="376" s="1435" customFormat="1" ht="21.75" customHeight="1"/>
    <row r="377" s="1435" customFormat="1" ht="21.75" customHeight="1"/>
    <row r="378" s="1435" customFormat="1" ht="21.75" customHeight="1"/>
    <row r="379" s="1435" customFormat="1" ht="21.75" customHeight="1"/>
    <row r="380" s="1435" customFormat="1" ht="21.75" customHeight="1"/>
    <row r="381" s="1435" customFormat="1" ht="21.75" customHeight="1"/>
    <row r="382" s="1435" customFormat="1" ht="21.75" customHeight="1"/>
    <row r="383" s="1435" customFormat="1" ht="21.75" customHeight="1"/>
    <row r="384" s="1435" customFormat="1" ht="21.75" customHeight="1"/>
    <row r="385" s="1435" customFormat="1" ht="21.75" customHeight="1"/>
    <row r="386" s="1435" customFormat="1" ht="21.75" customHeight="1"/>
    <row r="387" s="1435" customFormat="1" ht="21.75" customHeight="1"/>
    <row r="388" s="1435" customFormat="1" ht="21.75" customHeight="1"/>
    <row r="389" s="1435" customFormat="1" ht="21.75" customHeight="1"/>
    <row r="390" s="1435" customFormat="1" ht="21.75" customHeight="1"/>
    <row r="391" s="1435" customFormat="1" ht="21.75" customHeight="1"/>
    <row r="392" s="1435" customFormat="1" ht="21.75" customHeight="1"/>
    <row r="393" s="1435" customFormat="1" ht="21.75" customHeight="1"/>
    <row r="394" s="1435" customFormat="1" ht="21.75" customHeight="1"/>
    <row r="395" s="1435" customFormat="1" ht="21.75" customHeight="1"/>
    <row r="396" s="1435" customFormat="1" ht="21.75" customHeight="1"/>
    <row r="397" s="1435" customFormat="1" ht="21.75" customHeight="1"/>
    <row r="398" s="1435" customFormat="1" ht="21.75" customHeight="1"/>
    <row r="399" s="1435" customFormat="1" ht="21.75" customHeight="1"/>
    <row r="400" s="1435" customFormat="1" ht="21.75" customHeight="1"/>
    <row r="401" spans="10:26" s="1435" customFormat="1" ht="21.75" customHeight="1"/>
    <row r="402" spans="10:26" s="1435" customFormat="1" ht="21.75" customHeight="1"/>
    <row r="403" spans="10:26" s="1435" customFormat="1" ht="21.75" customHeight="1"/>
    <row r="404" spans="10:26" s="1435" customFormat="1" ht="21.75" customHeight="1"/>
    <row r="405" spans="10:26" s="1435" customFormat="1" ht="21.75" customHeight="1"/>
    <row r="406" spans="10:26" s="1435" customFormat="1" ht="21.75" customHeight="1"/>
    <row r="407" spans="10:26" s="1435" customFormat="1" ht="21.75" customHeight="1"/>
    <row r="408" spans="10:26" s="1435" customFormat="1" ht="21.75" customHeight="1"/>
    <row r="409" spans="10:26" s="1423" customFormat="1" ht="21.75" customHeight="1">
      <c r="J409" s="1435"/>
      <c r="K409" s="1435"/>
      <c r="L409" s="1435"/>
      <c r="M409" s="1435"/>
      <c r="N409" s="1435"/>
      <c r="O409" s="1435"/>
      <c r="P409" s="1435"/>
      <c r="Q409" s="1435"/>
      <c r="R409" s="1435"/>
      <c r="S409" s="1435"/>
      <c r="T409" s="1435"/>
      <c r="U409" s="1435"/>
      <c r="V409" s="1435"/>
      <c r="W409" s="1435"/>
      <c r="X409" s="1435"/>
      <c r="Y409" s="1435"/>
      <c r="Z409" s="1435"/>
    </row>
    <row r="410" spans="10:26" s="1423" customFormat="1" ht="21.75" customHeight="1">
      <c r="J410" s="1435"/>
      <c r="K410" s="1435"/>
      <c r="L410" s="1435"/>
      <c r="M410" s="1435"/>
      <c r="N410" s="1435"/>
      <c r="O410" s="1435"/>
      <c r="P410" s="1435"/>
      <c r="Q410" s="1435"/>
      <c r="R410" s="1435"/>
      <c r="S410" s="1435"/>
      <c r="T410" s="1435"/>
      <c r="U410" s="1435"/>
      <c r="V410" s="1435"/>
      <c r="W410" s="1435"/>
      <c r="X410" s="1435"/>
      <c r="Y410" s="1435"/>
      <c r="Z410" s="1435"/>
    </row>
    <row r="411" spans="10:26" s="1423" customFormat="1" ht="21.75" customHeight="1">
      <c r="J411" s="1435"/>
      <c r="K411" s="1435"/>
      <c r="L411" s="1435"/>
      <c r="M411" s="1435"/>
      <c r="N411" s="1435"/>
      <c r="O411" s="1435"/>
      <c r="P411" s="1435"/>
      <c r="Q411" s="1435"/>
      <c r="R411" s="1435"/>
      <c r="S411" s="1435"/>
      <c r="T411" s="1435"/>
      <c r="U411" s="1435"/>
      <c r="V411" s="1435"/>
      <c r="W411" s="1435"/>
      <c r="X411" s="1435"/>
      <c r="Y411" s="1435"/>
      <c r="Z411" s="1435"/>
    </row>
    <row r="412" spans="10:26" s="1423" customFormat="1" ht="21.75" customHeight="1">
      <c r="J412" s="1435"/>
      <c r="K412" s="1435"/>
      <c r="L412" s="1435"/>
      <c r="M412" s="1435"/>
      <c r="N412" s="1435"/>
      <c r="O412" s="1435"/>
      <c r="P412" s="1435"/>
      <c r="Q412" s="1435"/>
      <c r="R412" s="1435"/>
      <c r="S412" s="1435"/>
      <c r="T412" s="1435"/>
      <c r="U412" s="1435"/>
      <c r="V412" s="1435"/>
      <c r="W412" s="1435"/>
      <c r="X412" s="1435"/>
      <c r="Y412" s="1435"/>
      <c r="Z412" s="1435"/>
    </row>
    <row r="413" spans="10:26" s="1423" customFormat="1" ht="21.75" customHeight="1">
      <c r="J413" s="1435"/>
      <c r="K413" s="1435"/>
      <c r="L413" s="1435"/>
      <c r="M413" s="1435"/>
      <c r="N413" s="1435"/>
      <c r="O413" s="1435"/>
      <c r="P413" s="1435"/>
      <c r="Q413" s="1435"/>
      <c r="R413" s="1435"/>
      <c r="S413" s="1435"/>
      <c r="T413" s="1435"/>
      <c r="U413" s="1435"/>
      <c r="V413" s="1435"/>
      <c r="W413" s="1435"/>
      <c r="X413" s="1435"/>
      <c r="Y413" s="1435"/>
      <c r="Z413" s="1435"/>
    </row>
    <row r="414" spans="10:26" s="1423" customFormat="1" ht="21.75" customHeight="1">
      <c r="J414" s="1435"/>
      <c r="K414" s="1435"/>
      <c r="L414" s="1435"/>
      <c r="M414" s="1435"/>
      <c r="N414" s="1435"/>
      <c r="O414" s="1435"/>
      <c r="P414" s="1435"/>
      <c r="Q414" s="1435"/>
      <c r="R414" s="1435"/>
      <c r="S414" s="1435"/>
      <c r="T414" s="1435"/>
      <c r="U414" s="1435"/>
      <c r="V414" s="1435"/>
      <c r="W414" s="1435"/>
      <c r="X414" s="1435"/>
      <c r="Y414" s="1435"/>
      <c r="Z414" s="1435"/>
    </row>
    <row r="415" spans="10:26" s="1423" customFormat="1" ht="21.75" customHeight="1">
      <c r="J415" s="1435"/>
      <c r="K415" s="1435"/>
      <c r="L415" s="1435"/>
      <c r="M415" s="1435"/>
      <c r="N415" s="1435"/>
      <c r="O415" s="1435"/>
      <c r="P415" s="1435"/>
      <c r="Q415" s="1435"/>
      <c r="R415" s="1435"/>
      <c r="S415" s="1435"/>
      <c r="T415" s="1435"/>
      <c r="U415" s="1435"/>
      <c r="V415" s="1435"/>
      <c r="W415" s="1435"/>
      <c r="X415" s="1435"/>
      <c r="Y415" s="1435"/>
      <c r="Z415" s="1435"/>
    </row>
    <row r="416" spans="10:26" s="1423" customFormat="1" ht="21.75" customHeight="1">
      <c r="J416" s="1435"/>
      <c r="K416" s="1435"/>
      <c r="L416" s="1435"/>
      <c r="M416" s="1435"/>
      <c r="N416" s="1435"/>
      <c r="O416" s="1435"/>
      <c r="P416" s="1435"/>
      <c r="Q416" s="1435"/>
      <c r="R416" s="1435"/>
      <c r="S416" s="1435"/>
      <c r="T416" s="1435"/>
      <c r="U416" s="1435"/>
      <c r="V416" s="1435"/>
      <c r="W416" s="1435"/>
      <c r="X416" s="1435"/>
      <c r="Y416" s="1435"/>
      <c r="Z416" s="1435"/>
    </row>
    <row r="417" spans="10:26" s="1423" customFormat="1" ht="21.75" customHeight="1">
      <c r="J417" s="1435"/>
      <c r="K417" s="1435"/>
      <c r="L417" s="1435"/>
      <c r="M417" s="1435"/>
      <c r="N417" s="1435"/>
      <c r="O417" s="1435"/>
      <c r="P417" s="1435"/>
      <c r="Q417" s="1435"/>
      <c r="R417" s="1435"/>
      <c r="S417" s="1435"/>
      <c r="T417" s="1435"/>
      <c r="U417" s="1435"/>
      <c r="V417" s="1435"/>
      <c r="W417" s="1435"/>
      <c r="X417" s="1435"/>
      <c r="Y417" s="1435"/>
      <c r="Z417" s="1435"/>
    </row>
    <row r="418" spans="10:26" s="1423" customFormat="1" ht="21.75" customHeight="1">
      <c r="J418" s="1435"/>
      <c r="K418" s="1435"/>
      <c r="L418" s="1435"/>
      <c r="M418" s="1435"/>
      <c r="N418" s="1435"/>
      <c r="O418" s="1435"/>
      <c r="P418" s="1435"/>
      <c r="Q418" s="1435"/>
      <c r="R418" s="1435"/>
      <c r="S418" s="1435"/>
      <c r="T418" s="1435"/>
      <c r="U418" s="1435"/>
      <c r="V418" s="1435"/>
      <c r="W418" s="1435"/>
      <c r="X418" s="1435"/>
      <c r="Y418" s="1435"/>
      <c r="Z418" s="1435"/>
    </row>
    <row r="419" spans="10:26" s="1423" customFormat="1" ht="21.75" customHeight="1">
      <c r="J419" s="1435"/>
      <c r="K419" s="1435"/>
      <c r="L419" s="1435"/>
      <c r="M419" s="1435"/>
      <c r="N419" s="1435"/>
      <c r="O419" s="1435"/>
      <c r="P419" s="1435"/>
      <c r="Q419" s="1435"/>
      <c r="R419" s="1435"/>
      <c r="S419" s="1435"/>
      <c r="T419" s="1435"/>
      <c r="U419" s="1435"/>
      <c r="V419" s="1435"/>
      <c r="W419" s="1435"/>
      <c r="X419" s="1435"/>
      <c r="Y419" s="1435"/>
      <c r="Z419" s="1435"/>
    </row>
    <row r="420" spans="10:26" s="1423" customFormat="1" ht="21.75" customHeight="1">
      <c r="J420" s="1435"/>
      <c r="K420" s="1435"/>
      <c r="L420" s="1435"/>
      <c r="M420" s="1435"/>
      <c r="N420" s="1435"/>
      <c r="O420" s="1435"/>
      <c r="P420" s="1435"/>
      <c r="Q420" s="1435"/>
      <c r="R420" s="1435"/>
      <c r="S420" s="1435"/>
      <c r="T420" s="1435"/>
      <c r="U420" s="1435"/>
      <c r="V420" s="1435"/>
      <c r="W420" s="1435"/>
      <c r="X420" s="1435"/>
      <c r="Y420" s="1435"/>
      <c r="Z420" s="1435"/>
    </row>
    <row r="421" spans="10:26" s="1423" customFormat="1" ht="21.75" customHeight="1">
      <c r="J421" s="1435"/>
      <c r="K421" s="1435"/>
      <c r="L421" s="1435"/>
      <c r="M421" s="1435"/>
      <c r="N421" s="1435"/>
      <c r="O421" s="1435"/>
      <c r="P421" s="1435"/>
      <c r="Q421" s="1435"/>
      <c r="R421" s="1435"/>
      <c r="S421" s="1435"/>
      <c r="T421" s="1435"/>
      <c r="U421" s="1435"/>
      <c r="V421" s="1435"/>
      <c r="W421" s="1435"/>
      <c r="X421" s="1435"/>
      <c r="Y421" s="1435"/>
      <c r="Z421" s="1435"/>
    </row>
    <row r="422" spans="10:26" s="1423" customFormat="1" ht="21.75" customHeight="1">
      <c r="J422" s="1435"/>
      <c r="K422" s="1435"/>
      <c r="L422" s="1435"/>
      <c r="M422" s="1435"/>
      <c r="N422" s="1435"/>
      <c r="O422" s="1435"/>
      <c r="P422" s="1435"/>
      <c r="Q422" s="1435"/>
      <c r="R422" s="1435"/>
      <c r="S422" s="1435"/>
      <c r="T422" s="1435"/>
      <c r="U422" s="1435"/>
      <c r="V422" s="1435"/>
      <c r="W422" s="1435"/>
      <c r="X422" s="1435"/>
      <c r="Y422" s="1435"/>
      <c r="Z422" s="1435"/>
    </row>
    <row r="423" spans="10:26" s="1423" customFormat="1" ht="21.75" customHeight="1">
      <c r="J423" s="1435"/>
      <c r="K423" s="1435"/>
      <c r="L423" s="1435"/>
      <c r="M423" s="1435"/>
      <c r="N423" s="1435"/>
      <c r="O423" s="1435"/>
      <c r="P423" s="1435"/>
      <c r="Q423" s="1435"/>
      <c r="R423" s="1435"/>
      <c r="S423" s="1435"/>
      <c r="T423" s="1435"/>
      <c r="U423" s="1435"/>
      <c r="V423" s="1435"/>
      <c r="W423" s="1435"/>
      <c r="X423" s="1435"/>
      <c r="Y423" s="1435"/>
      <c r="Z423" s="1435"/>
    </row>
    <row r="424" spans="10:26" s="1423" customFormat="1" ht="21.75" customHeight="1">
      <c r="J424" s="1435"/>
      <c r="K424" s="1435"/>
      <c r="L424" s="1435"/>
      <c r="M424" s="1435"/>
      <c r="N424" s="1435"/>
      <c r="O424" s="1435"/>
      <c r="P424" s="1435"/>
      <c r="Q424" s="1435"/>
      <c r="R424" s="1435"/>
      <c r="S424" s="1435"/>
      <c r="T424" s="1435"/>
      <c r="U424" s="1435"/>
      <c r="V424" s="1435"/>
      <c r="W424" s="1435"/>
      <c r="X424" s="1435"/>
      <c r="Y424" s="1435"/>
      <c r="Z424" s="1435"/>
    </row>
    <row r="425" spans="10:26" s="1423" customFormat="1" ht="21.75" customHeight="1">
      <c r="J425" s="1435"/>
      <c r="K425" s="1435"/>
      <c r="L425" s="1435"/>
      <c r="M425" s="1435"/>
      <c r="N425" s="1435"/>
      <c r="O425" s="1435"/>
      <c r="P425" s="1435"/>
      <c r="Q425" s="1435"/>
      <c r="R425" s="1435"/>
      <c r="S425" s="1435"/>
      <c r="T425" s="1435"/>
      <c r="U425" s="1435"/>
      <c r="V425" s="1435"/>
      <c r="W425" s="1435"/>
      <c r="X425" s="1435"/>
      <c r="Y425" s="1435"/>
      <c r="Z425" s="1435"/>
    </row>
    <row r="426" spans="10:26" s="1423" customFormat="1" ht="21.75" customHeight="1">
      <c r="J426" s="1435"/>
      <c r="K426" s="1435"/>
      <c r="L426" s="1435"/>
      <c r="M426" s="1435"/>
      <c r="N426" s="1435"/>
      <c r="O426" s="1435"/>
      <c r="P426" s="1435"/>
      <c r="Q426" s="1435"/>
      <c r="R426" s="1435"/>
      <c r="S426" s="1435"/>
      <c r="T426" s="1435"/>
      <c r="U426" s="1435"/>
      <c r="V426" s="1435"/>
      <c r="W426" s="1435"/>
      <c r="X426" s="1435"/>
      <c r="Y426" s="1435"/>
      <c r="Z426" s="1435"/>
    </row>
    <row r="427" spans="10:26" s="1423" customFormat="1" ht="21.75" customHeight="1">
      <c r="J427" s="1435"/>
      <c r="K427" s="1435"/>
      <c r="L427" s="1435"/>
      <c r="M427" s="1435"/>
      <c r="N427" s="1435"/>
      <c r="O427" s="1435"/>
      <c r="P427" s="1435"/>
      <c r="Q427" s="1435"/>
      <c r="R427" s="1435"/>
      <c r="S427" s="1435"/>
      <c r="T427" s="1435"/>
      <c r="U427" s="1435"/>
      <c r="V427" s="1435"/>
      <c r="W427" s="1435"/>
      <c r="X427" s="1435"/>
      <c r="Y427" s="1435"/>
      <c r="Z427" s="1435"/>
    </row>
    <row r="428" spans="10:26" s="1423" customFormat="1" ht="21.75" customHeight="1">
      <c r="J428" s="1435"/>
      <c r="K428" s="1435"/>
      <c r="L428" s="1435"/>
      <c r="M428" s="1435"/>
      <c r="N428" s="1435"/>
      <c r="O428" s="1435"/>
      <c r="P428" s="1435"/>
      <c r="Q428" s="1435"/>
      <c r="R428" s="1435"/>
      <c r="S428" s="1435"/>
      <c r="T428" s="1435"/>
      <c r="U428" s="1435"/>
      <c r="V428" s="1435"/>
      <c r="W428" s="1435"/>
      <c r="X428" s="1435"/>
      <c r="Y428" s="1435"/>
      <c r="Z428" s="1435"/>
    </row>
    <row r="429" spans="10:26" s="1423" customFormat="1" ht="21.75" customHeight="1">
      <c r="J429" s="1435"/>
      <c r="K429" s="1435"/>
      <c r="L429" s="1435"/>
      <c r="M429" s="1435"/>
      <c r="N429" s="1435"/>
      <c r="O429" s="1435"/>
      <c r="P429" s="1435"/>
      <c r="Q429" s="1435"/>
      <c r="R429" s="1435"/>
      <c r="S429" s="1435"/>
      <c r="T429" s="1435"/>
      <c r="U429" s="1435"/>
      <c r="V429" s="1435"/>
      <c r="W429" s="1435"/>
      <c r="X429" s="1435"/>
      <c r="Y429" s="1435"/>
      <c r="Z429" s="1435"/>
    </row>
    <row r="430" spans="10:26" s="1423" customFormat="1" ht="21.75" customHeight="1">
      <c r="J430" s="1435"/>
      <c r="K430" s="1435"/>
      <c r="L430" s="1435"/>
      <c r="M430" s="1435"/>
      <c r="N430" s="1435"/>
      <c r="O430" s="1435"/>
      <c r="P430" s="1435"/>
      <c r="Q430" s="1435"/>
      <c r="R430" s="1435"/>
      <c r="S430" s="1435"/>
      <c r="T430" s="1435"/>
      <c r="U430" s="1435"/>
      <c r="V430" s="1435"/>
      <c r="W430" s="1435"/>
      <c r="X430" s="1435"/>
      <c r="Y430" s="1435"/>
      <c r="Z430" s="1435"/>
    </row>
    <row r="431" spans="10:26" s="1423" customFormat="1" ht="21.75" customHeight="1">
      <c r="J431" s="1435"/>
      <c r="K431" s="1435"/>
      <c r="L431" s="1435"/>
      <c r="M431" s="1435"/>
      <c r="N431" s="1435"/>
      <c r="O431" s="1435"/>
      <c r="P431" s="1435"/>
      <c r="Q431" s="1435"/>
      <c r="R431" s="1435"/>
      <c r="S431" s="1435"/>
      <c r="T431" s="1435"/>
      <c r="U431" s="1435"/>
      <c r="V431" s="1435"/>
      <c r="W431" s="1435"/>
      <c r="X431" s="1435"/>
      <c r="Y431" s="1435"/>
      <c r="Z431" s="1435"/>
    </row>
    <row r="432" spans="10:26" s="1423" customFormat="1" ht="21.75" customHeight="1">
      <c r="J432" s="1435"/>
      <c r="K432" s="1435"/>
      <c r="L432" s="1435"/>
      <c r="M432" s="1435"/>
      <c r="N432" s="1435"/>
      <c r="O432" s="1435"/>
      <c r="P432" s="1435"/>
      <c r="Q432" s="1435"/>
      <c r="R432" s="1435"/>
      <c r="S432" s="1435"/>
      <c r="T432" s="1435"/>
      <c r="U432" s="1435"/>
      <c r="V432" s="1435"/>
      <c r="W432" s="1435"/>
      <c r="X432" s="1435"/>
      <c r="Y432" s="1435"/>
      <c r="Z432" s="1435"/>
    </row>
    <row r="433" spans="10:26" s="1423" customFormat="1" ht="21.75" customHeight="1">
      <c r="J433" s="1435"/>
      <c r="K433" s="1435"/>
      <c r="L433" s="1435"/>
      <c r="M433" s="1435"/>
      <c r="N433" s="1435"/>
      <c r="O433" s="1435"/>
      <c r="P433" s="1435"/>
      <c r="Q433" s="1435"/>
      <c r="R433" s="1435"/>
      <c r="S433" s="1435"/>
      <c r="T433" s="1435"/>
      <c r="U433" s="1435"/>
      <c r="V433" s="1435"/>
      <c r="W433" s="1435"/>
      <c r="X433" s="1435"/>
      <c r="Y433" s="1435"/>
      <c r="Z433" s="1435"/>
    </row>
    <row r="434" spans="10:26" s="1423" customFormat="1" ht="21.75" customHeight="1">
      <c r="J434" s="1435"/>
      <c r="K434" s="1435"/>
      <c r="L434" s="1435"/>
      <c r="M434" s="1435"/>
      <c r="N434" s="1435"/>
      <c r="O434" s="1435"/>
      <c r="P434" s="1435"/>
      <c r="Q434" s="1435"/>
      <c r="R434" s="1435"/>
      <c r="S434" s="1435"/>
      <c r="T434" s="1435"/>
      <c r="U434" s="1435"/>
      <c r="V434" s="1435"/>
      <c r="W434" s="1435"/>
      <c r="X434" s="1435"/>
      <c r="Y434" s="1435"/>
      <c r="Z434" s="1435"/>
    </row>
    <row r="435" spans="10:26" s="1423" customFormat="1" ht="21.75" customHeight="1">
      <c r="J435" s="1435"/>
      <c r="K435" s="1435"/>
      <c r="L435" s="1435"/>
      <c r="M435" s="1435"/>
      <c r="N435" s="1435"/>
      <c r="O435" s="1435"/>
      <c r="P435" s="1435"/>
      <c r="Q435" s="1435"/>
      <c r="R435" s="1435"/>
      <c r="S435" s="1435"/>
      <c r="T435" s="1435"/>
      <c r="U435" s="1435"/>
      <c r="V435" s="1435"/>
      <c r="W435" s="1435"/>
      <c r="X435" s="1435"/>
      <c r="Y435" s="1435"/>
      <c r="Z435" s="1435"/>
    </row>
    <row r="436" spans="10:26" s="1423" customFormat="1" ht="21.75" customHeight="1">
      <c r="J436" s="1435"/>
      <c r="K436" s="1435"/>
      <c r="L436" s="1435"/>
      <c r="M436" s="1435"/>
      <c r="N436" s="1435"/>
      <c r="O436" s="1435"/>
      <c r="P436" s="1435"/>
      <c r="Q436" s="1435"/>
      <c r="R436" s="1435"/>
      <c r="S436" s="1435"/>
      <c r="T436" s="1435"/>
      <c r="U436" s="1435"/>
      <c r="V436" s="1435"/>
      <c r="W436" s="1435"/>
      <c r="X436" s="1435"/>
      <c r="Y436" s="1435"/>
      <c r="Z436" s="1435"/>
    </row>
    <row r="437" spans="10:26" s="1423" customFormat="1" ht="21.75" customHeight="1">
      <c r="J437" s="1435"/>
      <c r="K437" s="1435"/>
      <c r="L437" s="1435"/>
      <c r="M437" s="1435"/>
      <c r="N437" s="1435"/>
      <c r="O437" s="1435"/>
      <c r="P437" s="1435"/>
      <c r="Q437" s="1435"/>
      <c r="R437" s="1435"/>
      <c r="S437" s="1435"/>
      <c r="T437" s="1435"/>
      <c r="U437" s="1435"/>
      <c r="V437" s="1435"/>
      <c r="W437" s="1435"/>
      <c r="X437" s="1435"/>
      <c r="Y437" s="1435"/>
      <c r="Z437" s="1435"/>
    </row>
    <row r="438" spans="10:26" s="1423" customFormat="1" ht="21.75" customHeight="1">
      <c r="J438" s="1435"/>
      <c r="K438" s="1435"/>
      <c r="L438" s="1435"/>
      <c r="M438" s="1435"/>
      <c r="N438" s="1435"/>
      <c r="O438" s="1435"/>
      <c r="P438" s="1435"/>
      <c r="Q438" s="1435"/>
      <c r="R438" s="1435"/>
      <c r="S438" s="1435"/>
      <c r="T438" s="1435"/>
      <c r="U438" s="1435"/>
      <c r="V438" s="1435"/>
      <c r="W438" s="1435"/>
      <c r="X438" s="1435"/>
      <c r="Y438" s="1435"/>
      <c r="Z438" s="1435"/>
    </row>
    <row r="439" spans="10:26" s="1423" customFormat="1" ht="21.75" customHeight="1">
      <c r="J439" s="1435"/>
      <c r="K439" s="1435"/>
      <c r="L439" s="1435"/>
      <c r="M439" s="1435"/>
      <c r="N439" s="1435"/>
      <c r="O439" s="1435"/>
      <c r="P439" s="1435"/>
      <c r="Q439" s="1435"/>
      <c r="R439" s="1435"/>
      <c r="S439" s="1435"/>
      <c r="T439" s="1435"/>
      <c r="U439" s="1435"/>
      <c r="V439" s="1435"/>
      <c r="W439" s="1435"/>
      <c r="X439" s="1435"/>
      <c r="Y439" s="1435"/>
      <c r="Z439" s="1435"/>
    </row>
    <row r="440" spans="10:26" s="1423" customFormat="1" ht="21.75" customHeight="1">
      <c r="J440" s="1435"/>
      <c r="K440" s="1435"/>
      <c r="L440" s="1435"/>
      <c r="M440" s="1435"/>
      <c r="N440" s="1435"/>
      <c r="O440" s="1435"/>
      <c r="P440" s="1435"/>
      <c r="Q440" s="1435"/>
      <c r="R440" s="1435"/>
      <c r="S440" s="1435"/>
      <c r="T440" s="1435"/>
      <c r="U440" s="1435"/>
      <c r="V440" s="1435"/>
      <c r="W440" s="1435"/>
      <c r="X440" s="1435"/>
      <c r="Y440" s="1435"/>
      <c r="Z440" s="1435"/>
    </row>
    <row r="441" spans="10:26" s="1423" customFormat="1" ht="21.75" customHeight="1">
      <c r="J441" s="1435"/>
      <c r="K441" s="1435"/>
      <c r="L441" s="1435"/>
      <c r="M441" s="1435"/>
      <c r="N441" s="1435"/>
      <c r="O441" s="1435"/>
      <c r="P441" s="1435"/>
      <c r="Q441" s="1435"/>
      <c r="R441" s="1435"/>
      <c r="S441" s="1435"/>
      <c r="T441" s="1435"/>
      <c r="U441" s="1435"/>
      <c r="V441" s="1435"/>
      <c r="W441" s="1435"/>
      <c r="X441" s="1435"/>
      <c r="Y441" s="1435"/>
      <c r="Z441" s="1435"/>
    </row>
    <row r="442" spans="10:26" s="1423" customFormat="1" ht="21.75" customHeight="1">
      <c r="J442" s="1435"/>
      <c r="K442" s="1435"/>
      <c r="L442" s="1435"/>
      <c r="M442" s="1435"/>
      <c r="N442" s="1435"/>
      <c r="O442" s="1435"/>
      <c r="P442" s="1435"/>
      <c r="Q442" s="1435"/>
      <c r="R442" s="1435"/>
      <c r="S442" s="1435"/>
      <c r="T442" s="1435"/>
      <c r="U442" s="1435"/>
      <c r="V442" s="1435"/>
      <c r="W442" s="1435"/>
      <c r="X442" s="1435"/>
      <c r="Y442" s="1435"/>
      <c r="Z442" s="1435"/>
    </row>
    <row r="443" spans="10:26" s="1423" customFormat="1" ht="21.75" customHeight="1">
      <c r="J443" s="1435"/>
      <c r="K443" s="1435"/>
      <c r="L443" s="1435"/>
      <c r="M443" s="1435"/>
      <c r="N443" s="1435"/>
      <c r="O443" s="1435"/>
      <c r="P443" s="1435"/>
      <c r="Q443" s="1435"/>
      <c r="R443" s="1435"/>
      <c r="S443" s="1435"/>
      <c r="T443" s="1435"/>
      <c r="U443" s="1435"/>
      <c r="V443" s="1435"/>
      <c r="W443" s="1435"/>
      <c r="X443" s="1435"/>
      <c r="Y443" s="1435"/>
      <c r="Z443" s="1435"/>
    </row>
    <row r="444" spans="10:26" s="1423" customFormat="1" ht="21.75" customHeight="1">
      <c r="J444" s="1435"/>
      <c r="K444" s="1435"/>
      <c r="L444" s="1435"/>
      <c r="M444" s="1435"/>
      <c r="N444" s="1435"/>
      <c r="O444" s="1435"/>
      <c r="P444" s="1435"/>
      <c r="Q444" s="1435"/>
      <c r="R444" s="1435"/>
      <c r="S444" s="1435"/>
      <c r="T444" s="1435"/>
      <c r="U444" s="1435"/>
      <c r="V444" s="1435"/>
      <c r="W444" s="1435"/>
      <c r="X444" s="1435"/>
      <c r="Y444" s="1435"/>
      <c r="Z444" s="1435"/>
    </row>
    <row r="445" spans="10:26" s="1423" customFormat="1" ht="21.75" customHeight="1">
      <c r="J445" s="1435"/>
      <c r="K445" s="1435"/>
      <c r="L445" s="1435"/>
      <c r="M445" s="1435"/>
      <c r="N445" s="1435"/>
      <c r="O445" s="1435"/>
      <c r="P445" s="1435"/>
      <c r="Q445" s="1435"/>
      <c r="R445" s="1435"/>
      <c r="S445" s="1435"/>
      <c r="T445" s="1435"/>
      <c r="U445" s="1435"/>
      <c r="V445" s="1435"/>
      <c r="W445" s="1435"/>
      <c r="X445" s="1435"/>
      <c r="Y445" s="1435"/>
      <c r="Z445" s="1435"/>
    </row>
    <row r="446" spans="10:26" s="1423" customFormat="1" ht="21.75" customHeight="1">
      <c r="J446" s="1435"/>
      <c r="K446" s="1435"/>
      <c r="L446" s="1435"/>
      <c r="M446" s="1435"/>
      <c r="N446" s="1435"/>
      <c r="O446" s="1435"/>
      <c r="P446" s="1435"/>
      <c r="Q446" s="1435"/>
      <c r="R446" s="1435"/>
      <c r="S446" s="1435"/>
      <c r="T446" s="1435"/>
      <c r="U446" s="1435"/>
      <c r="V446" s="1435"/>
      <c r="W446" s="1435"/>
      <c r="X446" s="1435"/>
      <c r="Y446" s="1435"/>
      <c r="Z446" s="1435"/>
    </row>
    <row r="447" spans="10:26" s="1423" customFormat="1" ht="21.75" customHeight="1">
      <c r="J447" s="1435"/>
      <c r="K447" s="1435"/>
      <c r="L447" s="1435"/>
      <c r="M447" s="1435"/>
      <c r="N447" s="1435"/>
      <c r="O447" s="1435"/>
      <c r="P447" s="1435"/>
      <c r="Q447" s="1435"/>
      <c r="R447" s="1435"/>
      <c r="S447" s="1435"/>
      <c r="T447" s="1435"/>
      <c r="U447" s="1435"/>
      <c r="V447" s="1435"/>
      <c r="W447" s="1435"/>
      <c r="X447" s="1435"/>
      <c r="Y447" s="1435"/>
      <c r="Z447" s="1435"/>
    </row>
    <row r="448" spans="10:26" s="1423" customFormat="1" ht="21.75" customHeight="1">
      <c r="J448" s="1435"/>
      <c r="K448" s="1435"/>
      <c r="L448" s="1435"/>
      <c r="M448" s="1435"/>
      <c r="N448" s="1435"/>
      <c r="O448" s="1435"/>
      <c r="P448" s="1435"/>
      <c r="Q448" s="1435"/>
      <c r="R448" s="1435"/>
      <c r="S448" s="1435"/>
      <c r="T448" s="1435"/>
      <c r="U448" s="1435"/>
      <c r="V448" s="1435"/>
      <c r="W448" s="1435"/>
      <c r="X448" s="1435"/>
      <c r="Y448" s="1435"/>
      <c r="Z448" s="1435"/>
    </row>
    <row r="449" spans="10:26" s="1423" customFormat="1" ht="21.75" customHeight="1">
      <c r="J449" s="1435"/>
      <c r="K449" s="1435"/>
      <c r="L449" s="1435"/>
      <c r="M449" s="1435"/>
      <c r="N449" s="1435"/>
      <c r="O449" s="1435"/>
      <c r="P449" s="1435"/>
      <c r="Q449" s="1435"/>
      <c r="R449" s="1435"/>
      <c r="S449" s="1435"/>
      <c r="T449" s="1435"/>
      <c r="U449" s="1435"/>
      <c r="V449" s="1435"/>
      <c r="W449" s="1435"/>
      <c r="X449" s="1435"/>
      <c r="Y449" s="1435"/>
      <c r="Z449" s="1435"/>
    </row>
    <row r="450" spans="10:26" s="1423" customFormat="1" ht="21.75" customHeight="1">
      <c r="J450" s="1435"/>
      <c r="K450" s="1435"/>
      <c r="L450" s="1435"/>
      <c r="M450" s="1435"/>
      <c r="N450" s="1435"/>
      <c r="O450" s="1435"/>
      <c r="P450" s="1435"/>
      <c r="Q450" s="1435"/>
      <c r="R450" s="1435"/>
      <c r="S450" s="1435"/>
      <c r="T450" s="1435"/>
      <c r="U450" s="1435"/>
      <c r="V450" s="1435"/>
      <c r="W450" s="1435"/>
      <c r="X450" s="1435"/>
      <c r="Y450" s="1435"/>
      <c r="Z450" s="1435"/>
    </row>
    <row r="451" spans="10:26" s="1423" customFormat="1" ht="21.75" customHeight="1">
      <c r="J451" s="1435"/>
      <c r="K451" s="1435"/>
      <c r="L451" s="1435"/>
      <c r="M451" s="1435"/>
      <c r="N451" s="1435"/>
      <c r="O451" s="1435"/>
      <c r="P451" s="1435"/>
      <c r="Q451" s="1435"/>
      <c r="R451" s="1435"/>
      <c r="S451" s="1435"/>
      <c r="T451" s="1435"/>
      <c r="U451" s="1435"/>
      <c r="V451" s="1435"/>
      <c r="W451" s="1435"/>
      <c r="X451" s="1435"/>
      <c r="Y451" s="1435"/>
      <c r="Z451" s="1435"/>
    </row>
    <row r="452" spans="10:26" s="1423" customFormat="1" ht="21.75" customHeight="1">
      <c r="J452" s="1435"/>
      <c r="K452" s="1435"/>
      <c r="L452" s="1435"/>
      <c r="M452" s="1435"/>
      <c r="N452" s="1435"/>
      <c r="O452" s="1435"/>
      <c r="P452" s="1435"/>
      <c r="Q452" s="1435"/>
      <c r="R452" s="1435"/>
      <c r="S452" s="1435"/>
      <c r="T452" s="1435"/>
      <c r="U452" s="1435"/>
      <c r="V452" s="1435"/>
      <c r="W452" s="1435"/>
      <c r="X452" s="1435"/>
      <c r="Y452" s="1435"/>
      <c r="Z452" s="1435"/>
    </row>
    <row r="453" spans="10:26" s="1423" customFormat="1" ht="21.75" customHeight="1">
      <c r="J453" s="1435"/>
      <c r="K453" s="1435"/>
      <c r="L453" s="1435"/>
      <c r="M453" s="1435"/>
      <c r="N453" s="1435"/>
      <c r="O453" s="1435"/>
      <c r="P453" s="1435"/>
      <c r="Q453" s="1435"/>
      <c r="R453" s="1435"/>
      <c r="S453" s="1435"/>
      <c r="T453" s="1435"/>
      <c r="U453" s="1435"/>
      <c r="V453" s="1435"/>
      <c r="W453" s="1435"/>
      <c r="X453" s="1435"/>
      <c r="Y453" s="1435"/>
      <c r="Z453" s="1435"/>
    </row>
    <row r="454" spans="10:26" s="1423" customFormat="1" ht="21.75" customHeight="1">
      <c r="J454" s="1435"/>
      <c r="K454" s="1435"/>
      <c r="L454" s="1435"/>
      <c r="M454" s="1435"/>
      <c r="N454" s="1435"/>
      <c r="O454" s="1435"/>
      <c r="P454" s="1435"/>
      <c r="Q454" s="1435"/>
      <c r="R454" s="1435"/>
      <c r="S454" s="1435"/>
      <c r="T454" s="1435"/>
      <c r="U454" s="1435"/>
      <c r="V454" s="1435"/>
      <c r="W454" s="1435"/>
      <c r="X454" s="1435"/>
      <c r="Y454" s="1435"/>
      <c r="Z454" s="1435"/>
    </row>
    <row r="455" spans="10:26" s="1423" customFormat="1" ht="21.75" customHeight="1">
      <c r="J455" s="1435"/>
      <c r="K455" s="1435"/>
      <c r="L455" s="1435"/>
      <c r="M455" s="1435"/>
      <c r="N455" s="1435"/>
      <c r="O455" s="1435"/>
      <c r="P455" s="1435"/>
      <c r="Q455" s="1435"/>
      <c r="R455" s="1435"/>
      <c r="S455" s="1435"/>
      <c r="T455" s="1435"/>
      <c r="U455" s="1435"/>
      <c r="V455" s="1435"/>
      <c r="W455" s="1435"/>
      <c r="X455" s="1435"/>
      <c r="Y455" s="1435"/>
      <c r="Z455" s="1435"/>
    </row>
    <row r="456" spans="10:26" s="1423" customFormat="1" ht="21.75" customHeight="1">
      <c r="J456" s="1435"/>
      <c r="K456" s="1435"/>
      <c r="L456" s="1435"/>
      <c r="M456" s="1435"/>
      <c r="N456" s="1435"/>
      <c r="O456" s="1435"/>
      <c r="P456" s="1435"/>
      <c r="Q456" s="1435"/>
      <c r="R456" s="1435"/>
      <c r="S456" s="1435"/>
      <c r="T456" s="1435"/>
      <c r="U456" s="1435"/>
      <c r="V456" s="1435"/>
      <c r="W456" s="1435"/>
      <c r="X456" s="1435"/>
      <c r="Y456" s="1435"/>
      <c r="Z456" s="1435"/>
    </row>
    <row r="457" spans="10:26" s="1423" customFormat="1" ht="21.75" customHeight="1">
      <c r="J457" s="1435"/>
      <c r="K457" s="1435"/>
      <c r="L457" s="1435"/>
      <c r="M457" s="1435"/>
      <c r="N457" s="1435"/>
      <c r="O457" s="1435"/>
      <c r="P457" s="1435"/>
      <c r="Q457" s="1435"/>
      <c r="R457" s="1435"/>
      <c r="S457" s="1435"/>
      <c r="T457" s="1435"/>
      <c r="U457" s="1435"/>
      <c r="V457" s="1435"/>
      <c r="W457" s="1435"/>
      <c r="X457" s="1435"/>
      <c r="Y457" s="1435"/>
      <c r="Z457" s="1435"/>
    </row>
    <row r="458" spans="10:26" s="1423" customFormat="1" ht="21.75" customHeight="1">
      <c r="J458" s="1435"/>
      <c r="K458" s="1435"/>
      <c r="L458" s="1435"/>
      <c r="M458" s="1435"/>
      <c r="N458" s="1435"/>
      <c r="O458" s="1435"/>
      <c r="P458" s="1435"/>
      <c r="Q458" s="1435"/>
      <c r="R458" s="1435"/>
      <c r="S458" s="1435"/>
      <c r="T458" s="1435"/>
      <c r="U458" s="1435"/>
      <c r="V458" s="1435"/>
      <c r="W458" s="1435"/>
      <c r="X458" s="1435"/>
      <c r="Y458" s="1435"/>
      <c r="Z458" s="1435"/>
    </row>
    <row r="459" spans="10:26" s="1423" customFormat="1" ht="21.75" customHeight="1">
      <c r="J459" s="1435"/>
      <c r="K459" s="1435"/>
      <c r="L459" s="1435"/>
      <c r="M459" s="1435"/>
      <c r="N459" s="1435"/>
      <c r="O459" s="1435"/>
      <c r="P459" s="1435"/>
      <c r="Q459" s="1435"/>
      <c r="R459" s="1435"/>
      <c r="S459" s="1435"/>
      <c r="T459" s="1435"/>
      <c r="U459" s="1435"/>
      <c r="V459" s="1435"/>
      <c r="W459" s="1435"/>
      <c r="X459" s="1435"/>
      <c r="Y459" s="1435"/>
      <c r="Z459" s="1435"/>
    </row>
    <row r="460" spans="10:26" s="1423" customFormat="1" ht="21.75" customHeight="1">
      <c r="J460" s="1435"/>
      <c r="K460" s="1435"/>
      <c r="L460" s="1435"/>
      <c r="M460" s="1435"/>
      <c r="N460" s="1435"/>
      <c r="O460" s="1435"/>
      <c r="P460" s="1435"/>
      <c r="Q460" s="1435"/>
      <c r="R460" s="1435"/>
      <c r="S460" s="1435"/>
      <c r="T460" s="1435"/>
      <c r="U460" s="1435"/>
      <c r="V460" s="1435"/>
      <c r="W460" s="1435"/>
      <c r="X460" s="1435"/>
      <c r="Y460" s="1435"/>
      <c r="Z460" s="1435"/>
    </row>
    <row r="461" spans="10:26" s="1423" customFormat="1" ht="21.75" customHeight="1">
      <c r="J461" s="1435"/>
      <c r="K461" s="1435"/>
      <c r="L461" s="1435"/>
      <c r="M461" s="1435"/>
      <c r="N461" s="1435"/>
      <c r="O461" s="1435"/>
      <c r="P461" s="1435"/>
      <c r="Q461" s="1435"/>
      <c r="R461" s="1435"/>
      <c r="S461" s="1435"/>
      <c r="T461" s="1435"/>
      <c r="U461" s="1435"/>
      <c r="V461" s="1435"/>
      <c r="W461" s="1435"/>
      <c r="X461" s="1435"/>
      <c r="Y461" s="1435"/>
      <c r="Z461" s="1435"/>
    </row>
    <row r="462" spans="10:26" s="1423" customFormat="1" ht="21.75" customHeight="1">
      <c r="J462" s="1435"/>
      <c r="K462" s="1435"/>
      <c r="L462" s="1435"/>
      <c r="M462" s="1435"/>
      <c r="N462" s="1435"/>
      <c r="O462" s="1435"/>
      <c r="P462" s="1435"/>
      <c r="Q462" s="1435"/>
      <c r="R462" s="1435"/>
      <c r="S462" s="1435"/>
      <c r="T462" s="1435"/>
      <c r="U462" s="1435"/>
      <c r="V462" s="1435"/>
      <c r="W462" s="1435"/>
      <c r="X462" s="1435"/>
      <c r="Y462" s="1435"/>
      <c r="Z462" s="1435"/>
    </row>
    <row r="463" spans="10:26" s="1423" customFormat="1" ht="21.75" customHeight="1">
      <c r="J463" s="1435"/>
      <c r="K463" s="1435"/>
      <c r="L463" s="1435"/>
      <c r="M463" s="1435"/>
      <c r="N463" s="1435"/>
      <c r="O463" s="1435"/>
      <c r="P463" s="1435"/>
      <c r="Q463" s="1435"/>
      <c r="R463" s="1435"/>
      <c r="S463" s="1435"/>
      <c r="T463" s="1435"/>
      <c r="U463" s="1435"/>
      <c r="V463" s="1435"/>
      <c r="W463" s="1435"/>
      <c r="X463" s="1435"/>
      <c r="Y463" s="1435"/>
      <c r="Z463" s="1435"/>
    </row>
    <row r="464" spans="10:26" s="1423" customFormat="1" ht="21.75" customHeight="1">
      <c r="J464" s="1435"/>
      <c r="K464" s="1435"/>
      <c r="L464" s="1435"/>
      <c r="M464" s="1435"/>
      <c r="N464" s="1435"/>
      <c r="O464" s="1435"/>
      <c r="P464" s="1435"/>
      <c r="Q464" s="1435"/>
      <c r="R464" s="1435"/>
      <c r="S464" s="1435"/>
      <c r="T464" s="1435"/>
      <c r="U464" s="1435"/>
      <c r="V464" s="1435"/>
      <c r="W464" s="1435"/>
      <c r="X464" s="1435"/>
      <c r="Y464" s="1435"/>
      <c r="Z464" s="1435"/>
    </row>
    <row r="465" spans="10:26" s="1423" customFormat="1" ht="21.75" customHeight="1">
      <c r="J465" s="1435"/>
      <c r="K465" s="1435"/>
      <c r="L465" s="1435"/>
      <c r="M465" s="1435"/>
      <c r="N465" s="1435"/>
      <c r="O465" s="1435"/>
      <c r="P465" s="1435"/>
      <c r="Q465" s="1435"/>
      <c r="R465" s="1435"/>
      <c r="S465" s="1435"/>
      <c r="T465" s="1435"/>
      <c r="U465" s="1435"/>
      <c r="V465" s="1435"/>
      <c r="W465" s="1435"/>
      <c r="X465" s="1435"/>
      <c r="Y465" s="1435"/>
      <c r="Z465" s="1435"/>
    </row>
    <row r="466" spans="10:26" s="1423" customFormat="1" ht="21.75" customHeight="1">
      <c r="J466" s="1435"/>
      <c r="K466" s="1435"/>
      <c r="L466" s="1435"/>
      <c r="M466" s="1435"/>
      <c r="N466" s="1435"/>
      <c r="O466" s="1435"/>
      <c r="P466" s="1435"/>
      <c r="Q466" s="1435"/>
      <c r="R466" s="1435"/>
      <c r="S466" s="1435"/>
      <c r="T466" s="1435"/>
      <c r="U466" s="1435"/>
      <c r="V466" s="1435"/>
      <c r="W466" s="1435"/>
      <c r="X466" s="1435"/>
      <c r="Y466" s="1435"/>
      <c r="Z466" s="1435"/>
    </row>
    <row r="467" spans="10:26" s="1423" customFormat="1" ht="21.75" customHeight="1">
      <c r="J467" s="1435"/>
      <c r="K467" s="1435"/>
      <c r="L467" s="1435"/>
      <c r="M467" s="1435"/>
      <c r="N467" s="1435"/>
      <c r="O467" s="1435"/>
      <c r="P467" s="1435"/>
      <c r="Q467" s="1435"/>
      <c r="R467" s="1435"/>
      <c r="S467" s="1435"/>
      <c r="T467" s="1435"/>
      <c r="U467" s="1435"/>
      <c r="V467" s="1435"/>
      <c r="W467" s="1435"/>
      <c r="X467" s="1435"/>
      <c r="Y467" s="1435"/>
      <c r="Z467" s="1435"/>
    </row>
    <row r="468" spans="10:26" s="1423" customFormat="1" ht="21.75" customHeight="1">
      <c r="J468" s="1435"/>
      <c r="K468" s="1435"/>
      <c r="L468" s="1435"/>
      <c r="M468" s="1435"/>
      <c r="N468" s="1435"/>
      <c r="O468" s="1435"/>
      <c r="P468" s="1435"/>
      <c r="Q468" s="1435"/>
      <c r="R468" s="1435"/>
      <c r="S468" s="1435"/>
      <c r="T468" s="1435"/>
      <c r="U468" s="1435"/>
      <c r="V468" s="1435"/>
      <c r="W468" s="1435"/>
      <c r="X468" s="1435"/>
      <c r="Y468" s="1435"/>
      <c r="Z468" s="1435"/>
    </row>
    <row r="469" spans="10:26" s="1423" customFormat="1" ht="21.75" customHeight="1">
      <c r="J469" s="1435"/>
      <c r="K469" s="1435"/>
      <c r="L469" s="1435"/>
      <c r="M469" s="1435"/>
      <c r="N469" s="1435"/>
      <c r="O469" s="1435"/>
      <c r="P469" s="1435"/>
      <c r="Q469" s="1435"/>
      <c r="R469" s="1435"/>
      <c r="S469" s="1435"/>
      <c r="T469" s="1435"/>
      <c r="U469" s="1435"/>
      <c r="V469" s="1435"/>
      <c r="W469" s="1435"/>
      <c r="X469" s="1435"/>
      <c r="Y469" s="1435"/>
      <c r="Z469" s="1435"/>
    </row>
    <row r="470" spans="10:26" s="1423" customFormat="1" ht="21.75" customHeight="1">
      <c r="J470" s="1435"/>
      <c r="K470" s="1435"/>
      <c r="L470" s="1435"/>
      <c r="M470" s="1435"/>
      <c r="N470" s="1435"/>
      <c r="O470" s="1435"/>
      <c r="P470" s="1435"/>
      <c r="Q470" s="1435"/>
      <c r="R470" s="1435"/>
      <c r="S470" s="1435"/>
      <c r="T470" s="1435"/>
      <c r="U470" s="1435"/>
      <c r="V470" s="1435"/>
      <c r="W470" s="1435"/>
      <c r="X470" s="1435"/>
      <c r="Y470" s="1435"/>
      <c r="Z470" s="1435"/>
    </row>
    <row r="471" spans="10:26" s="1423" customFormat="1" ht="21.75" customHeight="1">
      <c r="J471" s="1435"/>
      <c r="K471" s="1435"/>
      <c r="L471" s="1435"/>
      <c r="M471" s="1435"/>
      <c r="N471" s="1435"/>
      <c r="O471" s="1435"/>
      <c r="P471" s="1435"/>
      <c r="Q471" s="1435"/>
      <c r="R471" s="1435"/>
      <c r="S471" s="1435"/>
      <c r="T471" s="1435"/>
      <c r="U471" s="1435"/>
      <c r="V471" s="1435"/>
      <c r="W471" s="1435"/>
      <c r="X471" s="1435"/>
      <c r="Y471" s="1435"/>
      <c r="Z471" s="1435"/>
    </row>
    <row r="472" spans="10:26" s="1423" customFormat="1" ht="21.75" customHeight="1">
      <c r="J472" s="1435"/>
      <c r="K472" s="1435"/>
      <c r="L472" s="1435"/>
      <c r="M472" s="1435"/>
      <c r="N472" s="1435"/>
      <c r="O472" s="1435"/>
      <c r="P472" s="1435"/>
      <c r="Q472" s="1435"/>
      <c r="R472" s="1435"/>
      <c r="S472" s="1435"/>
      <c r="T472" s="1435"/>
      <c r="U472" s="1435"/>
      <c r="V472" s="1435"/>
      <c r="W472" s="1435"/>
      <c r="X472" s="1435"/>
      <c r="Y472" s="1435"/>
      <c r="Z472" s="1435"/>
    </row>
    <row r="473" spans="10:26" s="1423" customFormat="1" ht="21.75" customHeight="1">
      <c r="J473" s="1435"/>
      <c r="K473" s="1435"/>
      <c r="L473" s="1435"/>
      <c r="M473" s="1435"/>
      <c r="N473" s="1435"/>
      <c r="O473" s="1435"/>
      <c r="P473" s="1435"/>
      <c r="Q473" s="1435"/>
      <c r="R473" s="1435"/>
      <c r="S473" s="1435"/>
      <c r="T473" s="1435"/>
      <c r="U473" s="1435"/>
      <c r="V473" s="1435"/>
      <c r="W473" s="1435"/>
      <c r="X473" s="1435"/>
      <c r="Y473" s="1435"/>
      <c r="Z473" s="1435"/>
    </row>
    <row r="474" spans="10:26" s="1423" customFormat="1" ht="21.75" customHeight="1">
      <c r="J474" s="1435"/>
      <c r="K474" s="1435"/>
      <c r="L474" s="1435"/>
      <c r="M474" s="1435"/>
      <c r="N474" s="1435"/>
      <c r="O474" s="1435"/>
      <c r="P474" s="1435"/>
      <c r="Q474" s="1435"/>
      <c r="R474" s="1435"/>
      <c r="S474" s="1435"/>
      <c r="T474" s="1435"/>
      <c r="U474" s="1435"/>
      <c r="V474" s="1435"/>
      <c r="W474" s="1435"/>
      <c r="X474" s="1435"/>
      <c r="Y474" s="1435"/>
      <c r="Z474" s="1435"/>
    </row>
    <row r="475" spans="10:26" s="1423" customFormat="1" ht="21.75" customHeight="1">
      <c r="J475" s="1435"/>
      <c r="K475" s="1435"/>
      <c r="L475" s="1435"/>
      <c r="M475" s="1435"/>
      <c r="N475" s="1435"/>
      <c r="O475" s="1435"/>
      <c r="P475" s="1435"/>
      <c r="Q475" s="1435"/>
      <c r="R475" s="1435"/>
      <c r="S475" s="1435"/>
      <c r="T475" s="1435"/>
      <c r="U475" s="1435"/>
      <c r="V475" s="1435"/>
      <c r="W475" s="1435"/>
      <c r="X475" s="1435"/>
      <c r="Y475" s="1435"/>
      <c r="Z475" s="1435"/>
    </row>
    <row r="476" spans="10:26" s="1423" customFormat="1" ht="21.75" customHeight="1">
      <c r="J476" s="1435"/>
      <c r="K476" s="1435"/>
      <c r="L476" s="1435"/>
      <c r="M476" s="1435"/>
      <c r="N476" s="1435"/>
      <c r="O476" s="1435"/>
      <c r="P476" s="1435"/>
      <c r="Q476" s="1435"/>
      <c r="R476" s="1435"/>
      <c r="S476" s="1435"/>
      <c r="T476" s="1435"/>
      <c r="U476" s="1435"/>
      <c r="V476" s="1435"/>
      <c r="W476" s="1435"/>
      <c r="X476" s="1435"/>
      <c r="Y476" s="1435"/>
      <c r="Z476" s="1435"/>
    </row>
    <row r="477" spans="10:26" s="1423" customFormat="1" ht="21.75" customHeight="1">
      <c r="J477" s="1435"/>
      <c r="K477" s="1435"/>
      <c r="L477" s="1435"/>
      <c r="M477" s="1435"/>
      <c r="N477" s="1435"/>
      <c r="O477" s="1435"/>
      <c r="P477" s="1435"/>
      <c r="Q477" s="1435"/>
      <c r="R477" s="1435"/>
      <c r="S477" s="1435"/>
      <c r="T477" s="1435"/>
      <c r="U477" s="1435"/>
      <c r="V477" s="1435"/>
      <c r="W477" s="1435"/>
      <c r="X477" s="1435"/>
      <c r="Y477" s="1435"/>
      <c r="Z477" s="1435"/>
    </row>
    <row r="478" spans="10:26" s="1423" customFormat="1" ht="21.75" customHeight="1">
      <c r="J478" s="1435"/>
      <c r="K478" s="1435"/>
      <c r="L478" s="1435"/>
      <c r="M478" s="1435"/>
      <c r="N478" s="1435"/>
      <c r="O478" s="1435"/>
      <c r="P478" s="1435"/>
      <c r="Q478" s="1435"/>
      <c r="R478" s="1435"/>
      <c r="S478" s="1435"/>
      <c r="T478" s="1435"/>
      <c r="U478" s="1435"/>
      <c r="V478" s="1435"/>
      <c r="W478" s="1435"/>
      <c r="X478" s="1435"/>
      <c r="Y478" s="1435"/>
      <c r="Z478" s="1435"/>
    </row>
    <row r="479" spans="10:26" s="1423" customFormat="1" ht="21.75" customHeight="1">
      <c r="J479" s="1435"/>
      <c r="K479" s="1435"/>
      <c r="L479" s="1435"/>
      <c r="M479" s="1435"/>
      <c r="N479" s="1435"/>
      <c r="O479" s="1435"/>
      <c r="P479" s="1435"/>
      <c r="Q479" s="1435"/>
      <c r="R479" s="1435"/>
      <c r="S479" s="1435"/>
      <c r="T479" s="1435"/>
      <c r="U479" s="1435"/>
      <c r="V479" s="1435"/>
      <c r="W479" s="1435"/>
      <c r="X479" s="1435"/>
      <c r="Y479" s="1435"/>
      <c r="Z479" s="1435"/>
    </row>
    <row r="480" spans="10:26" s="1423" customFormat="1" ht="21.75" customHeight="1">
      <c r="J480" s="1435"/>
      <c r="K480" s="1435"/>
      <c r="L480" s="1435"/>
      <c r="M480" s="1435"/>
      <c r="N480" s="1435"/>
      <c r="O480" s="1435"/>
      <c r="P480" s="1435"/>
      <c r="Q480" s="1435"/>
      <c r="R480" s="1435"/>
      <c r="S480" s="1435"/>
      <c r="T480" s="1435"/>
      <c r="U480" s="1435"/>
      <c r="V480" s="1435"/>
      <c r="W480" s="1435"/>
      <c r="X480" s="1435"/>
      <c r="Y480" s="1435"/>
      <c r="Z480" s="1435"/>
    </row>
    <row r="481" spans="10:26" s="1423" customFormat="1" ht="21.75" customHeight="1">
      <c r="J481" s="1435"/>
      <c r="K481" s="1435"/>
      <c r="L481" s="1435"/>
      <c r="M481" s="1435"/>
      <c r="N481" s="1435"/>
      <c r="O481" s="1435"/>
      <c r="P481" s="1435"/>
      <c r="Q481" s="1435"/>
      <c r="R481" s="1435"/>
      <c r="S481" s="1435"/>
      <c r="T481" s="1435"/>
      <c r="U481" s="1435"/>
      <c r="V481" s="1435"/>
      <c r="W481" s="1435"/>
      <c r="X481" s="1435"/>
      <c r="Y481" s="1435"/>
      <c r="Z481" s="1435"/>
    </row>
    <row r="482" spans="10:26" s="1423" customFormat="1" ht="21.75" customHeight="1">
      <c r="J482" s="1435"/>
      <c r="K482" s="1435"/>
      <c r="L482" s="1435"/>
      <c r="M482" s="1435"/>
      <c r="N482" s="1435"/>
      <c r="O482" s="1435"/>
      <c r="P482" s="1435"/>
      <c r="Q482" s="1435"/>
      <c r="R482" s="1435"/>
      <c r="S482" s="1435"/>
      <c r="T482" s="1435"/>
      <c r="U482" s="1435"/>
      <c r="V482" s="1435"/>
      <c r="W482" s="1435"/>
      <c r="X482" s="1435"/>
      <c r="Y482" s="1435"/>
      <c r="Z482" s="1435"/>
    </row>
    <row r="483" spans="10:26" s="1423" customFormat="1" ht="21.75" customHeight="1">
      <c r="J483" s="1435"/>
      <c r="K483" s="1435"/>
      <c r="L483" s="1435"/>
      <c r="M483" s="1435"/>
      <c r="N483" s="1435"/>
      <c r="O483" s="1435"/>
      <c r="P483" s="1435"/>
      <c r="Q483" s="1435"/>
      <c r="R483" s="1435"/>
      <c r="S483" s="1435"/>
      <c r="T483" s="1435"/>
      <c r="U483" s="1435"/>
      <c r="V483" s="1435"/>
      <c r="W483" s="1435"/>
      <c r="X483" s="1435"/>
      <c r="Y483" s="1435"/>
      <c r="Z483" s="1435"/>
    </row>
    <row r="484" spans="10:26" s="1423" customFormat="1" ht="21.75" customHeight="1">
      <c r="J484" s="1435"/>
      <c r="K484" s="1435"/>
      <c r="L484" s="1435"/>
      <c r="M484" s="1435"/>
      <c r="N484" s="1435"/>
      <c r="O484" s="1435"/>
      <c r="P484" s="1435"/>
      <c r="Q484" s="1435"/>
      <c r="R484" s="1435"/>
      <c r="S484" s="1435"/>
      <c r="T484" s="1435"/>
      <c r="U484" s="1435"/>
      <c r="V484" s="1435"/>
      <c r="W484" s="1435"/>
      <c r="X484" s="1435"/>
      <c r="Y484" s="1435"/>
      <c r="Z484" s="1435"/>
    </row>
    <row r="485" spans="10:26" s="1423" customFormat="1" ht="21.75" customHeight="1">
      <c r="J485" s="1435"/>
      <c r="K485" s="1435"/>
      <c r="L485" s="1435"/>
      <c r="M485" s="1435"/>
      <c r="N485" s="1435"/>
      <c r="O485" s="1435"/>
      <c r="P485" s="1435"/>
      <c r="Q485" s="1435"/>
      <c r="R485" s="1435"/>
      <c r="S485" s="1435"/>
      <c r="T485" s="1435"/>
      <c r="U485" s="1435"/>
      <c r="V485" s="1435"/>
      <c r="W485" s="1435"/>
      <c r="X485" s="1435"/>
      <c r="Y485" s="1435"/>
      <c r="Z485" s="1435"/>
    </row>
    <row r="486" spans="10:26" s="1423" customFormat="1" ht="21.75" customHeight="1">
      <c r="J486" s="1435"/>
      <c r="K486" s="1435"/>
      <c r="L486" s="1435"/>
      <c r="M486" s="1435"/>
      <c r="N486" s="1435"/>
      <c r="O486" s="1435"/>
      <c r="P486" s="1435"/>
      <c r="Q486" s="1435"/>
      <c r="R486" s="1435"/>
      <c r="S486" s="1435"/>
      <c r="T486" s="1435"/>
      <c r="U486" s="1435"/>
      <c r="V486" s="1435"/>
      <c r="W486" s="1435"/>
      <c r="X486" s="1435"/>
      <c r="Y486" s="1435"/>
      <c r="Z486" s="1435"/>
    </row>
    <row r="487" spans="10:26" s="1423" customFormat="1" ht="21.75" customHeight="1">
      <c r="J487" s="1435"/>
      <c r="K487" s="1435"/>
      <c r="L487" s="1435"/>
      <c r="M487" s="1435"/>
      <c r="N487" s="1435"/>
      <c r="O487" s="1435"/>
      <c r="P487" s="1435"/>
      <c r="Q487" s="1435"/>
      <c r="R487" s="1435"/>
      <c r="S487" s="1435"/>
      <c r="T487" s="1435"/>
      <c r="U487" s="1435"/>
      <c r="V487" s="1435"/>
      <c r="W487" s="1435"/>
      <c r="X487" s="1435"/>
      <c r="Y487" s="1435"/>
      <c r="Z487" s="1435"/>
    </row>
    <row r="488" spans="10:26" s="1423" customFormat="1" ht="21.75" customHeight="1">
      <c r="J488" s="1435"/>
      <c r="K488" s="1435"/>
      <c r="L488" s="1435"/>
      <c r="M488" s="1435"/>
      <c r="N488" s="1435"/>
      <c r="O488" s="1435"/>
      <c r="P488" s="1435"/>
      <c r="Q488" s="1435"/>
      <c r="R488" s="1435"/>
      <c r="S488" s="1435"/>
      <c r="T488" s="1435"/>
      <c r="U488" s="1435"/>
      <c r="V488" s="1435"/>
      <c r="W488" s="1435"/>
      <c r="X488" s="1435"/>
      <c r="Y488" s="1435"/>
      <c r="Z488" s="1435"/>
    </row>
    <row r="489" spans="10:26" s="1423" customFormat="1" ht="21.75" customHeight="1">
      <c r="J489" s="1435"/>
      <c r="K489" s="1435"/>
      <c r="L489" s="1435"/>
      <c r="M489" s="1435"/>
      <c r="N489" s="1435"/>
      <c r="O489" s="1435"/>
      <c r="P489" s="1435"/>
      <c r="Q489" s="1435"/>
      <c r="R489" s="1435"/>
      <c r="S489" s="1435"/>
      <c r="T489" s="1435"/>
      <c r="U489" s="1435"/>
      <c r="V489" s="1435"/>
      <c r="W489" s="1435"/>
      <c r="X489" s="1435"/>
      <c r="Y489" s="1435"/>
      <c r="Z489" s="1435"/>
    </row>
    <row r="490" spans="10:26" s="1423" customFormat="1" ht="21.75" customHeight="1">
      <c r="J490" s="1435"/>
      <c r="K490" s="1435"/>
      <c r="L490" s="1435"/>
      <c r="M490" s="1435"/>
      <c r="N490" s="1435"/>
      <c r="O490" s="1435"/>
      <c r="P490" s="1435"/>
      <c r="Q490" s="1435"/>
      <c r="R490" s="1435"/>
      <c r="S490" s="1435"/>
      <c r="T490" s="1435"/>
      <c r="U490" s="1435"/>
      <c r="V490" s="1435"/>
      <c r="W490" s="1435"/>
      <c r="X490" s="1435"/>
      <c r="Y490" s="1435"/>
      <c r="Z490" s="1435"/>
    </row>
    <row r="491" spans="10:26" s="1423" customFormat="1" ht="21.75" customHeight="1">
      <c r="J491" s="1435"/>
      <c r="K491" s="1435"/>
      <c r="L491" s="1435"/>
      <c r="M491" s="1435"/>
      <c r="N491" s="1435"/>
      <c r="O491" s="1435"/>
      <c r="P491" s="1435"/>
      <c r="Q491" s="1435"/>
      <c r="R491" s="1435"/>
      <c r="S491" s="1435"/>
      <c r="T491" s="1435"/>
      <c r="U491" s="1435"/>
      <c r="V491" s="1435"/>
      <c r="W491" s="1435"/>
      <c r="X491" s="1435"/>
      <c r="Y491" s="1435"/>
      <c r="Z491" s="1435"/>
    </row>
    <row r="492" spans="10:26" s="1423" customFormat="1" ht="21.75" customHeight="1">
      <c r="J492" s="1435"/>
      <c r="K492" s="1435"/>
      <c r="L492" s="1435"/>
      <c r="M492" s="1435"/>
      <c r="N492" s="1435"/>
      <c r="O492" s="1435"/>
      <c r="P492" s="1435"/>
      <c r="Q492" s="1435"/>
      <c r="R492" s="1435"/>
      <c r="S492" s="1435"/>
      <c r="T492" s="1435"/>
      <c r="U492" s="1435"/>
      <c r="V492" s="1435"/>
      <c r="W492" s="1435"/>
      <c r="X492" s="1435"/>
      <c r="Y492" s="1435"/>
      <c r="Z492" s="1435"/>
    </row>
    <row r="493" spans="10:26" s="1423" customFormat="1" ht="21.75" customHeight="1">
      <c r="J493" s="1435"/>
      <c r="K493" s="1435"/>
      <c r="L493" s="1435"/>
      <c r="M493" s="1435"/>
      <c r="N493" s="1435"/>
      <c r="O493" s="1435"/>
      <c r="P493" s="1435"/>
      <c r="Q493" s="1435"/>
      <c r="R493" s="1435"/>
      <c r="S493" s="1435"/>
      <c r="T493" s="1435"/>
      <c r="U493" s="1435"/>
      <c r="V493" s="1435"/>
      <c r="W493" s="1435"/>
      <c r="X493" s="1435"/>
      <c r="Y493" s="1435"/>
      <c r="Z493" s="1435"/>
    </row>
    <row r="494" spans="10:26" s="1423" customFormat="1" ht="21.75" customHeight="1">
      <c r="J494" s="1435"/>
      <c r="K494" s="1435"/>
      <c r="L494" s="1435"/>
      <c r="M494" s="1435"/>
      <c r="N494" s="1435"/>
      <c r="O494" s="1435"/>
      <c r="P494" s="1435"/>
      <c r="Q494" s="1435"/>
      <c r="R494" s="1435"/>
      <c r="S494" s="1435"/>
      <c r="T494" s="1435"/>
      <c r="U494" s="1435"/>
      <c r="V494" s="1435"/>
      <c r="W494" s="1435"/>
      <c r="X494" s="1435"/>
      <c r="Y494" s="1435"/>
      <c r="Z494" s="1435"/>
    </row>
    <row r="495" spans="10:26" s="1423" customFormat="1" ht="21.75" customHeight="1">
      <c r="J495" s="1435"/>
      <c r="K495" s="1435"/>
      <c r="L495" s="1435"/>
      <c r="M495" s="1435"/>
      <c r="N495" s="1435"/>
      <c r="O495" s="1435"/>
      <c r="P495" s="1435"/>
      <c r="Q495" s="1435"/>
      <c r="R495" s="1435"/>
      <c r="S495" s="1435"/>
      <c r="T495" s="1435"/>
      <c r="U495" s="1435"/>
      <c r="V495" s="1435"/>
      <c r="W495" s="1435"/>
      <c r="X495" s="1435"/>
      <c r="Y495" s="1435"/>
      <c r="Z495" s="1435"/>
    </row>
    <row r="496" spans="10:26" s="1423" customFormat="1" ht="21.75" customHeight="1">
      <c r="J496" s="1435"/>
      <c r="K496" s="1435"/>
      <c r="L496" s="1435"/>
      <c r="M496" s="1435"/>
      <c r="N496" s="1435"/>
      <c r="O496" s="1435"/>
      <c r="P496" s="1435"/>
      <c r="Q496" s="1435"/>
      <c r="R496" s="1435"/>
      <c r="S496" s="1435"/>
      <c r="T496" s="1435"/>
      <c r="U496" s="1435"/>
      <c r="V496" s="1435"/>
      <c r="W496" s="1435"/>
      <c r="X496" s="1435"/>
      <c r="Y496" s="1435"/>
      <c r="Z496" s="1435"/>
    </row>
    <row r="497" spans="10:26" s="1423" customFormat="1" ht="21.75" customHeight="1">
      <c r="J497" s="1435"/>
      <c r="K497" s="1435"/>
      <c r="L497" s="1435"/>
      <c r="M497" s="1435"/>
      <c r="N497" s="1435"/>
      <c r="O497" s="1435"/>
      <c r="P497" s="1435"/>
      <c r="Q497" s="1435"/>
      <c r="R497" s="1435"/>
      <c r="S497" s="1435"/>
      <c r="T497" s="1435"/>
      <c r="U497" s="1435"/>
      <c r="V497" s="1435"/>
      <c r="W497" s="1435"/>
      <c r="X497" s="1435"/>
      <c r="Y497" s="1435"/>
      <c r="Z497" s="1435"/>
    </row>
    <row r="498" spans="10:26" s="1423" customFormat="1" ht="21.75" customHeight="1">
      <c r="J498" s="1435"/>
      <c r="K498" s="1435"/>
      <c r="L498" s="1435"/>
      <c r="M498" s="1435"/>
      <c r="N498" s="1435"/>
      <c r="O498" s="1435"/>
      <c r="P498" s="1435"/>
      <c r="Q498" s="1435"/>
      <c r="R498" s="1435"/>
      <c r="S498" s="1435"/>
      <c r="T498" s="1435"/>
      <c r="U498" s="1435"/>
      <c r="V498" s="1435"/>
      <c r="W498" s="1435"/>
      <c r="X498" s="1435"/>
      <c r="Y498" s="1435"/>
      <c r="Z498" s="1435"/>
    </row>
    <row r="499" spans="10:26" s="1423" customFormat="1" ht="21.75" customHeight="1">
      <c r="J499" s="1435"/>
      <c r="K499" s="1435"/>
      <c r="L499" s="1435"/>
      <c r="M499" s="1435"/>
      <c r="N499" s="1435"/>
      <c r="O499" s="1435"/>
      <c r="P499" s="1435"/>
      <c r="Q499" s="1435"/>
      <c r="R499" s="1435"/>
      <c r="S499" s="1435"/>
      <c r="T499" s="1435"/>
      <c r="U499" s="1435"/>
      <c r="V499" s="1435"/>
      <c r="W499" s="1435"/>
      <c r="X499" s="1435"/>
      <c r="Y499" s="1435"/>
      <c r="Z499" s="1435"/>
    </row>
    <row r="500" spans="10:26" s="1423" customFormat="1" ht="21.75" customHeight="1">
      <c r="J500" s="1435"/>
      <c r="K500" s="1435"/>
      <c r="L500" s="1435"/>
      <c r="M500" s="1435"/>
      <c r="N500" s="1435"/>
      <c r="O500" s="1435"/>
      <c r="P500" s="1435"/>
      <c r="Q500" s="1435"/>
      <c r="R500" s="1435"/>
      <c r="S500" s="1435"/>
      <c r="T500" s="1435"/>
      <c r="U500" s="1435"/>
      <c r="V500" s="1435"/>
      <c r="W500" s="1435"/>
      <c r="X500" s="1435"/>
      <c r="Y500" s="1435"/>
      <c r="Z500" s="1435"/>
    </row>
    <row r="501" spans="10:26" s="1423" customFormat="1" ht="21.75" customHeight="1">
      <c r="J501" s="1435"/>
      <c r="K501" s="1435"/>
      <c r="L501" s="1435"/>
      <c r="M501" s="1435"/>
      <c r="N501" s="1435"/>
      <c r="O501" s="1435"/>
      <c r="P501" s="1435"/>
      <c r="Q501" s="1435"/>
      <c r="R501" s="1435"/>
      <c r="S501" s="1435"/>
      <c r="T501" s="1435"/>
      <c r="U501" s="1435"/>
      <c r="V501" s="1435"/>
      <c r="W501" s="1435"/>
      <c r="X501" s="1435"/>
      <c r="Y501" s="1435"/>
      <c r="Z501" s="1435"/>
    </row>
    <row r="502" spans="10:26" s="1423" customFormat="1" ht="21.75" customHeight="1">
      <c r="J502" s="1435"/>
      <c r="K502" s="1435"/>
      <c r="L502" s="1435"/>
      <c r="M502" s="1435"/>
      <c r="N502" s="1435"/>
      <c r="O502" s="1435"/>
      <c r="P502" s="1435"/>
      <c r="Q502" s="1435"/>
      <c r="R502" s="1435"/>
      <c r="S502" s="1435"/>
      <c r="T502" s="1435"/>
      <c r="U502" s="1435"/>
      <c r="V502" s="1435"/>
      <c r="W502" s="1435"/>
      <c r="X502" s="1435"/>
      <c r="Y502" s="1435"/>
      <c r="Z502" s="1435"/>
    </row>
    <row r="503" spans="10:26" s="1423" customFormat="1" ht="21.75" customHeight="1">
      <c r="J503" s="1435"/>
      <c r="K503" s="1435"/>
      <c r="L503" s="1435"/>
      <c r="M503" s="1435"/>
      <c r="N503" s="1435"/>
      <c r="O503" s="1435"/>
      <c r="P503" s="1435"/>
      <c r="Q503" s="1435"/>
      <c r="R503" s="1435"/>
      <c r="S503" s="1435"/>
      <c r="T503" s="1435"/>
      <c r="U503" s="1435"/>
      <c r="V503" s="1435"/>
      <c r="W503" s="1435"/>
      <c r="X503" s="1435"/>
      <c r="Y503" s="1435"/>
      <c r="Z503" s="1435"/>
    </row>
    <row r="504" spans="10:26" s="1423" customFormat="1" ht="21.75" customHeight="1">
      <c r="J504" s="1435"/>
      <c r="K504" s="1435"/>
      <c r="L504" s="1435"/>
      <c r="M504" s="1435"/>
      <c r="N504" s="1435"/>
      <c r="O504" s="1435"/>
      <c r="P504" s="1435"/>
      <c r="Q504" s="1435"/>
      <c r="R504" s="1435"/>
      <c r="S504" s="1435"/>
      <c r="T504" s="1435"/>
      <c r="U504" s="1435"/>
      <c r="V504" s="1435"/>
      <c r="W504" s="1435"/>
      <c r="X504" s="1435"/>
      <c r="Y504" s="1435"/>
      <c r="Z504" s="1435"/>
    </row>
    <row r="505" spans="10:26" s="1423" customFormat="1" ht="21.75" customHeight="1">
      <c r="J505" s="1435"/>
      <c r="K505" s="1435"/>
      <c r="L505" s="1435"/>
      <c r="M505" s="1435"/>
      <c r="N505" s="1435"/>
      <c r="O505" s="1435"/>
      <c r="P505" s="1435"/>
      <c r="Q505" s="1435"/>
      <c r="R505" s="1435"/>
      <c r="S505" s="1435"/>
      <c r="T505" s="1435"/>
      <c r="U505" s="1435"/>
      <c r="V505" s="1435"/>
      <c r="W505" s="1435"/>
      <c r="X505" s="1435"/>
      <c r="Y505" s="1435"/>
      <c r="Z505" s="1435"/>
    </row>
    <row r="506" spans="10:26" s="1423" customFormat="1" ht="21.75" customHeight="1">
      <c r="J506" s="1435"/>
      <c r="K506" s="1435"/>
      <c r="L506" s="1435"/>
      <c r="M506" s="1435"/>
      <c r="N506" s="1435"/>
      <c r="O506" s="1435"/>
      <c r="P506" s="1435"/>
      <c r="Q506" s="1435"/>
      <c r="R506" s="1435"/>
      <c r="S506" s="1435"/>
      <c r="T506" s="1435"/>
      <c r="U506" s="1435"/>
      <c r="V506" s="1435"/>
      <c r="W506" s="1435"/>
      <c r="X506" s="1435"/>
      <c r="Y506" s="1435"/>
      <c r="Z506" s="1435"/>
    </row>
    <row r="507" spans="10:26" s="1423" customFormat="1" ht="21.75" customHeight="1">
      <c r="J507" s="1435"/>
      <c r="K507" s="1435"/>
      <c r="L507" s="1435"/>
      <c r="M507" s="1435"/>
      <c r="N507" s="1435"/>
      <c r="O507" s="1435"/>
      <c r="P507" s="1435"/>
      <c r="Q507" s="1435"/>
      <c r="R507" s="1435"/>
      <c r="S507" s="1435"/>
      <c r="T507" s="1435"/>
      <c r="U507" s="1435"/>
      <c r="V507" s="1435"/>
      <c r="W507" s="1435"/>
      <c r="X507" s="1435"/>
      <c r="Y507" s="1435"/>
      <c r="Z507" s="1435"/>
    </row>
    <row r="508" spans="10:26" s="1423" customFormat="1" ht="21.75" customHeight="1">
      <c r="J508" s="1435"/>
      <c r="K508" s="1435"/>
      <c r="L508" s="1435"/>
      <c r="M508" s="1435"/>
      <c r="N508" s="1435"/>
      <c r="O508" s="1435"/>
      <c r="P508" s="1435"/>
      <c r="Q508" s="1435"/>
      <c r="R508" s="1435"/>
      <c r="S508" s="1435"/>
      <c r="T508" s="1435"/>
      <c r="U508" s="1435"/>
      <c r="V508" s="1435"/>
      <c r="W508" s="1435"/>
      <c r="X508" s="1435"/>
      <c r="Y508" s="1435"/>
      <c r="Z508" s="1435"/>
    </row>
    <row r="509" spans="10:26" s="1423" customFormat="1" ht="21.75" customHeight="1">
      <c r="J509" s="1435"/>
      <c r="K509" s="1435"/>
      <c r="L509" s="1435"/>
      <c r="M509" s="1435"/>
      <c r="N509" s="1435"/>
      <c r="O509" s="1435"/>
      <c r="P509" s="1435"/>
      <c r="Q509" s="1435"/>
      <c r="R509" s="1435"/>
      <c r="S509" s="1435"/>
      <c r="T509" s="1435"/>
      <c r="U509" s="1435"/>
      <c r="V509" s="1435"/>
      <c r="W509" s="1435"/>
      <c r="X509" s="1435"/>
      <c r="Y509" s="1435"/>
      <c r="Z509" s="1435"/>
    </row>
    <row r="510" spans="10:26" s="1423" customFormat="1" ht="21.75" customHeight="1">
      <c r="J510" s="1435"/>
      <c r="K510" s="1435"/>
      <c r="L510" s="1435"/>
      <c r="M510" s="1435"/>
      <c r="N510" s="1435"/>
      <c r="O510" s="1435"/>
      <c r="P510" s="1435"/>
      <c r="Q510" s="1435"/>
      <c r="R510" s="1435"/>
      <c r="S510" s="1435"/>
      <c r="T510" s="1435"/>
      <c r="U510" s="1435"/>
      <c r="V510" s="1435"/>
      <c r="W510" s="1435"/>
      <c r="X510" s="1435"/>
      <c r="Y510" s="1435"/>
      <c r="Z510" s="1435"/>
    </row>
    <row r="511" spans="10:26" s="1423" customFormat="1" ht="21.75" customHeight="1">
      <c r="J511" s="1435"/>
      <c r="K511" s="1435"/>
      <c r="L511" s="1435"/>
      <c r="M511" s="1435"/>
      <c r="N511" s="1435"/>
      <c r="O511" s="1435"/>
      <c r="P511" s="1435"/>
      <c r="Q511" s="1435"/>
      <c r="R511" s="1435"/>
      <c r="S511" s="1435"/>
      <c r="T511" s="1435"/>
      <c r="U511" s="1435"/>
      <c r="V511" s="1435"/>
      <c r="W511" s="1435"/>
      <c r="X511" s="1435"/>
      <c r="Y511" s="1435"/>
      <c r="Z511" s="1435"/>
    </row>
    <row r="512" spans="10:26" s="1423" customFormat="1" ht="21.75" customHeight="1">
      <c r="J512" s="1435"/>
      <c r="K512" s="1435"/>
      <c r="L512" s="1435"/>
      <c r="M512" s="1435"/>
      <c r="N512" s="1435"/>
      <c r="O512" s="1435"/>
      <c r="P512" s="1435"/>
      <c r="Q512" s="1435"/>
      <c r="R512" s="1435"/>
      <c r="S512" s="1435"/>
      <c r="T512" s="1435"/>
      <c r="U512" s="1435"/>
      <c r="V512" s="1435"/>
      <c r="W512" s="1435"/>
      <c r="X512" s="1435"/>
      <c r="Y512" s="1435"/>
      <c r="Z512" s="143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H10" sqref="H10"/>
    </sheetView>
  </sheetViews>
  <sheetFormatPr defaultColWidth="8.375" defaultRowHeight="12.75"/>
  <cols>
    <col min="1" max="1" width="10.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9" s="572" customFormat="1" ht="20.25">
      <c r="A1" s="568" t="s">
        <v>813</v>
      </c>
      <c r="B1" s="2733"/>
      <c r="C1" s="570"/>
      <c r="D1" s="570"/>
      <c r="E1" s="570"/>
      <c r="F1" s="570"/>
      <c r="G1" s="2734">
        <f>MATCH(B1,'数据-取费表'!A6:A16,0)+5</f>
        <v>9</v>
      </c>
    </row>
    <row r="2" spans="1:9" s="572" customFormat="1" ht="18" customHeight="1">
      <c r="A2" s="573" t="s">
        <v>443</v>
      </c>
      <c r="B2" s="574">
        <f ca="1">IF(D2="——",C52,C52-E2)</f>
        <v>176588</v>
      </c>
      <c r="C2" s="85" t="s">
        <v>863</v>
      </c>
      <c r="D2" s="2851" t="s">
        <v>528</v>
      </c>
      <c r="E2" s="2849" t="e">
        <f ca="1">SUMIF(INDIRECT("'"&amp;G2&amp;"'"&amp;"!A:A"),"承租人权益价值",INDIRECT("'"&amp;G2&amp;"'"&amp;"!c:c"))</f>
        <v>#REF!</v>
      </c>
      <c r="F2" s="2847" t="s">
        <v>863</v>
      </c>
      <c r="G2" s="2850"/>
    </row>
    <row r="3" spans="1:9" s="572" customFormat="1" ht="18" customHeight="1" thickBot="1">
      <c r="A3" s="575" t="s">
        <v>444</v>
      </c>
      <c r="B3" s="576">
        <f ca="1">ROUND(B2*10000/(IF(B1="",'数据-汇总表'!E3,INDIRECT("'数据-取费表'!k"&amp;$G$1))),0)</f>
        <v>40355</v>
      </c>
      <c r="C3" s="85" t="s">
        <v>864</v>
      </c>
      <c r="D3" s="571"/>
      <c r="E3" s="571"/>
      <c r="F3" s="571"/>
      <c r="G3" s="571"/>
    </row>
    <row r="4" spans="1:9" s="580" customFormat="1" ht="15.75">
      <c r="A4" s="577" t="s">
        <v>816</v>
      </c>
      <c r="B4" s="578"/>
      <c r="C4" s="578"/>
      <c r="D4" s="578"/>
      <c r="E4" s="578"/>
      <c r="F4" s="578"/>
      <c r="G4" s="579"/>
    </row>
    <row r="5" spans="1:9" s="586" customFormat="1" ht="13.5" customHeight="1">
      <c r="A5" s="627" t="s">
        <v>2498</v>
      </c>
      <c r="B5" s="582" t="s">
        <v>817</v>
      </c>
      <c r="C5" s="583">
        <f>C6+C7+C8</f>
        <v>142774</v>
      </c>
      <c r="D5" s="583" t="s">
        <v>818</v>
      </c>
      <c r="E5" s="584" t="s">
        <v>819</v>
      </c>
      <c r="F5" s="584" t="s">
        <v>820</v>
      </c>
      <c r="G5" s="585"/>
    </row>
    <row r="6" spans="1:9" s="586" customFormat="1" ht="13.5" customHeight="1">
      <c r="A6" s="1786" t="s">
        <v>1914</v>
      </c>
      <c r="B6" s="587" t="s">
        <v>821</v>
      </c>
      <c r="C6" s="588">
        <f>'土地比较法-住宅、综合'!B2</f>
        <v>137828</v>
      </c>
      <c r="D6" s="589"/>
      <c r="E6" s="590"/>
      <c r="F6" s="590"/>
      <c r="G6" s="591"/>
    </row>
    <row r="7" spans="1:9" s="586" customFormat="1" ht="13.5" customHeight="1">
      <c r="A7" s="1786" t="s">
        <v>1915</v>
      </c>
      <c r="B7" s="587" t="s">
        <v>344</v>
      </c>
      <c r="C7" s="592">
        <f>ROUND(C6*F7,0)</f>
        <v>4204</v>
      </c>
      <c r="D7" s="592"/>
      <c r="E7" s="590"/>
      <c r="F7" s="593">
        <f>'数据-取费表'!B48+'数据-取费表'!B49</f>
        <v>3.0499999999999999E-2</v>
      </c>
      <c r="G7" s="591"/>
    </row>
    <row r="8" spans="1:9" s="595" customFormat="1">
      <c r="A8" s="1786" t="s">
        <v>1916</v>
      </c>
      <c r="B8" s="587" t="s">
        <v>822</v>
      </c>
      <c r="C8" s="592">
        <f>IF(G8="已包含在土地购买价格中","0",IF(B1="",'数据-取费表'!B29,IF(G9="全部缴纳",C9+C10,H9)))</f>
        <v>742</v>
      </c>
      <c r="D8" s="594"/>
      <c r="E8" s="592"/>
      <c r="F8" s="593"/>
      <c r="G8" s="84" t="s">
        <v>3169</v>
      </c>
    </row>
    <row r="9" spans="1:9" s="586" customFormat="1" ht="13.5" customHeight="1">
      <c r="A9" s="1787" t="s">
        <v>1923</v>
      </c>
      <c r="B9" s="596" t="s">
        <v>823</v>
      </c>
      <c r="C9" s="597">
        <f ca="1">ROUND(D9*E9/10000,0)</f>
        <v>532</v>
      </c>
      <c r="D9" s="1891">
        <f ca="1">IF(B1="",'数据-汇总表'!E5,IF(INDIRECT("'数据-取费表'!c"&amp;$G$1)="住宅",INDIRECT("'数据-取费表'!k"&amp;$G$1),0))</f>
        <v>33256.36</v>
      </c>
      <c r="E9" s="597">
        <f>'数据-取费表'!B27</f>
        <v>160</v>
      </c>
      <c r="F9" s="593"/>
      <c r="G9" s="2781" t="s">
        <v>3172</v>
      </c>
      <c r="H9" s="2782">
        <v>742</v>
      </c>
      <c r="I9" s="2783" t="s">
        <v>2680</v>
      </c>
    </row>
    <row r="10" spans="1:9" s="586" customFormat="1" ht="13.5" customHeight="1">
      <c r="A10" s="1787" t="s">
        <v>1924</v>
      </c>
      <c r="B10" s="596" t="s">
        <v>824</v>
      </c>
      <c r="C10" s="597">
        <f ca="1">ROUND(D10*E10/10000,0)</f>
        <v>210</v>
      </c>
      <c r="D10" s="1891">
        <f ca="1">IF(B1="",'数据-汇总表'!E6,IF(INDIRECT("'数据-取费表'!c"&amp;$G$1)="住宅",INDIRECT("'数据-取费表'!s"&amp;$G$1),INDIRECT("'数据-取费表'!k"&amp;$G$1)+INDIRECT("'数据-取费表'!s"&amp;$G$1)))</f>
        <v>10502.160000000003</v>
      </c>
      <c r="E10" s="597">
        <f>'数据-取费表'!B28</f>
        <v>200</v>
      </c>
      <c r="F10" s="593"/>
      <c r="G10" s="598"/>
    </row>
    <row r="11" spans="1:9" s="586" customFormat="1" ht="13.5" hidden="1" customHeight="1">
      <c r="A11" s="599" t="s">
        <v>42</v>
      </c>
      <c r="B11" s="587" t="s">
        <v>825</v>
      </c>
      <c r="C11" s="583"/>
      <c r="D11" s="1893"/>
      <c r="E11" s="590"/>
      <c r="F11" s="590"/>
      <c r="G11" s="591"/>
    </row>
    <row r="12" spans="1:9" s="586" customFormat="1" ht="13.5" hidden="1" customHeight="1">
      <c r="A12" s="599" t="s">
        <v>43</v>
      </c>
      <c r="B12" s="587" t="s">
        <v>826</v>
      </c>
      <c r="C12" s="583">
        <v>0</v>
      </c>
      <c r="D12" s="1893"/>
      <c r="E12" s="600"/>
      <c r="F12" s="593">
        <v>3.0499999999999999E-2</v>
      </c>
      <c r="G12" s="591"/>
    </row>
    <row r="13" spans="1:9" s="586" customFormat="1" ht="13.5" hidden="1" customHeight="1">
      <c r="A13" s="599" t="s">
        <v>44</v>
      </c>
      <c r="B13" s="587" t="s">
        <v>827</v>
      </c>
      <c r="C13" s="583"/>
      <c r="D13" s="1893"/>
      <c r="E13" s="590"/>
      <c r="F13" s="590"/>
      <c r="G13" s="591"/>
    </row>
    <row r="14" spans="1:9" s="586" customFormat="1" ht="13.5" hidden="1" customHeight="1">
      <c r="A14" s="599" t="s">
        <v>45</v>
      </c>
      <c r="B14" s="587" t="s">
        <v>822</v>
      </c>
      <c r="C14" s="583"/>
      <c r="D14" s="1893"/>
      <c r="E14" s="590"/>
      <c r="F14" s="590"/>
      <c r="G14" s="591" t="s">
        <v>828</v>
      </c>
    </row>
    <row r="15" spans="1:9" s="586" customFormat="1" ht="13.5" hidden="1" customHeight="1">
      <c r="A15" s="599" t="s">
        <v>46</v>
      </c>
      <c r="B15" s="587" t="s">
        <v>829</v>
      </c>
      <c r="C15" s="592"/>
      <c r="D15" s="1893"/>
      <c r="E15" s="590"/>
      <c r="F15" s="590"/>
      <c r="G15" s="591" t="s">
        <v>830</v>
      </c>
    </row>
    <row r="16" spans="1:9" s="586" customFormat="1" ht="13.5" hidden="1" customHeight="1">
      <c r="A16" s="599" t="s">
        <v>47</v>
      </c>
      <c r="B16" s="587" t="s">
        <v>822</v>
      </c>
      <c r="C16" s="592"/>
      <c r="D16" s="1893"/>
      <c r="E16" s="590"/>
      <c r="F16" s="590"/>
      <c r="G16" s="591"/>
    </row>
    <row r="17" spans="1:7" s="586" customFormat="1" ht="13.5" hidden="1" customHeight="1">
      <c r="A17" s="599" t="s">
        <v>48</v>
      </c>
      <c r="B17" s="587" t="s">
        <v>831</v>
      </c>
      <c r="C17" s="601"/>
      <c r="D17" s="1894"/>
      <c r="E17" s="601"/>
      <c r="F17" s="601"/>
      <c r="G17" s="591" t="s">
        <v>830</v>
      </c>
    </row>
    <row r="18" spans="1:7" s="586" customFormat="1" ht="13.5" hidden="1" customHeight="1">
      <c r="A18" s="599" t="s">
        <v>49</v>
      </c>
      <c r="B18" s="587" t="s">
        <v>832</v>
      </c>
      <c r="C18" s="592">
        <v>0</v>
      </c>
      <c r="D18" s="1893"/>
      <c r="E18" s="590"/>
      <c r="F18" s="593">
        <v>3.0499999999999999E-2</v>
      </c>
      <c r="G18" s="591" t="s">
        <v>833</v>
      </c>
    </row>
    <row r="19" spans="1:7" s="595" customFormat="1" ht="13.5" customHeight="1">
      <c r="A19" s="1785" t="s">
        <v>2499</v>
      </c>
      <c r="B19" s="582" t="s">
        <v>841</v>
      </c>
      <c r="C19" s="583" t="str">
        <f>IF(G19="已包含在土地取得成本中","0",ROUND(D19*E19/10000,0))</f>
        <v>0</v>
      </c>
      <c r="D19" s="1895">
        <f ca="1">D9+D10</f>
        <v>43758.520000000004</v>
      </c>
      <c r="E19" s="583">
        <f>'数据-取费表'!B31</f>
        <v>200</v>
      </c>
      <c r="F19" s="603"/>
      <c r="G19" s="84" t="s">
        <v>3170</v>
      </c>
    </row>
    <row r="20" spans="1:7" s="586" customFormat="1" ht="13.5" customHeight="1">
      <c r="A20" s="1785" t="s">
        <v>2501</v>
      </c>
      <c r="B20" s="582" t="s">
        <v>834</v>
      </c>
      <c r="C20" s="604">
        <f>ROUND((C5+C19)*F20,0)</f>
        <v>2855</v>
      </c>
      <c r="D20" s="604"/>
      <c r="E20" s="604"/>
      <c r="F20" s="605">
        <f>'数据-取费表'!B37</f>
        <v>0.02</v>
      </c>
      <c r="G20" s="2601" t="s">
        <v>2512</v>
      </c>
    </row>
    <row r="21" spans="1:7" s="586" customFormat="1" ht="13.5" customHeight="1">
      <c r="A21" s="1785" t="s">
        <v>2503</v>
      </c>
      <c r="B21" s="582" t="s">
        <v>835</v>
      </c>
      <c r="C21" s="607">
        <f>F21</f>
        <v>0.02</v>
      </c>
      <c r="D21" s="608" t="s">
        <v>856</v>
      </c>
      <c r="E21" s="604"/>
      <c r="F21" s="605">
        <f>'数据-取费表'!B38</f>
        <v>0.02</v>
      </c>
      <c r="G21" s="606" t="s">
        <v>836</v>
      </c>
    </row>
    <row r="22" spans="1:7" s="586" customFormat="1" ht="13.5" customHeight="1">
      <c r="A22" s="1785" t="s">
        <v>1909</v>
      </c>
      <c r="B22" s="582" t="s">
        <v>837</v>
      </c>
      <c r="C22" s="2680">
        <f ca="1">ROUND(SUM(C23:C25),0)</f>
        <v>4761</v>
      </c>
      <c r="D22" s="607">
        <f ca="1">C26</f>
        <v>2.9999999999999997E-4</v>
      </c>
      <c r="E22" s="608" t="s">
        <v>856</v>
      </c>
      <c r="F22" s="609">
        <f ca="1">'数据-取费表'!B40</f>
        <v>4.7500000000000001E-2</v>
      </c>
      <c r="G22" s="2601" t="str">
        <f>IF('数据-取费表'!B22&lt;=1,"单利计息","复利计息")</f>
        <v>复利计息</v>
      </c>
    </row>
    <row r="23" spans="1:7" s="586" customFormat="1" ht="13.5" customHeight="1">
      <c r="A23" s="1788" t="s">
        <v>1914</v>
      </c>
      <c r="B23" s="587" t="s">
        <v>2505</v>
      </c>
      <c r="C23" s="2681">
        <f ca="1">ROUND(IF('数据-取费表'!B22&lt;=1,C5*F22*'数据-取费表'!B23,C5*(POWER((1+F22),'数据-取费表'!B23)-1)),0)</f>
        <v>4714</v>
      </c>
      <c r="D23" s="610"/>
      <c r="E23" s="610"/>
      <c r="F23" s="611"/>
      <c r="G23" s="612" t="s">
        <v>838</v>
      </c>
    </row>
    <row r="24" spans="1:7" s="586" customFormat="1" ht="13.5" customHeight="1">
      <c r="A24" s="1788" t="s">
        <v>1915</v>
      </c>
      <c r="B24" s="587" t="s">
        <v>2500</v>
      </c>
      <c r="C24" s="2681">
        <f ca="1">ROUND(IF('数据-取费表'!B22&lt;=1,C19*F22*('数据-取费表'!B19/2+'数据-取费表'!B21),C19*(POWER((1+F22),('数据-取费表'!B19/2+'数据-取费表'!B21))-1)),0)</f>
        <v>0</v>
      </c>
      <c r="D24" s="610"/>
      <c r="E24" s="610"/>
      <c r="F24" s="611"/>
      <c r="G24" s="612" t="s">
        <v>839</v>
      </c>
    </row>
    <row r="25" spans="1:7" s="586" customFormat="1" ht="24">
      <c r="A25" s="1788" t="s">
        <v>1916</v>
      </c>
      <c r="B25" s="587" t="s">
        <v>2502</v>
      </c>
      <c r="C25" s="2681">
        <f ca="1">ROUND(IF('数据-取费表'!B22&lt;=1,C20*F22*'数据-取费表'!B23/2,C20*(POWER((1+F22),'数据-取费表'!B23/2)-1)),0)</f>
        <v>47</v>
      </c>
      <c r="D25" s="610"/>
      <c r="E25" s="613"/>
      <c r="F25" s="611"/>
      <c r="G25" s="614" t="s">
        <v>840</v>
      </c>
    </row>
    <row r="26" spans="1:7" s="586" customFormat="1">
      <c r="A26" s="1788" t="s">
        <v>1918</v>
      </c>
      <c r="B26" s="587" t="s">
        <v>2504</v>
      </c>
      <c r="C26" s="610">
        <f ca="1">ROUND(IF('数据-取费表'!B22&lt;=1,F21*F22*'数据-取费表'!B23/2,F21*(POWER((1+F22),'数据-取费表'!B23/2)-1)),4)</f>
        <v>2.9999999999999997E-4</v>
      </c>
      <c r="D26" s="610"/>
      <c r="E26" s="613"/>
      <c r="F26" s="611"/>
      <c r="G26" s="615"/>
    </row>
    <row r="27" spans="1:7" s="586" customFormat="1" ht="24.75">
      <c r="A27" s="1785" t="s">
        <v>1910</v>
      </c>
      <c r="B27" s="616" t="s">
        <v>842</v>
      </c>
      <c r="C27" s="617">
        <f ca="1">C28</f>
        <v>3398</v>
      </c>
      <c r="D27" s="607">
        <f ca="1">C29</f>
        <v>5.0000000000000001E-4</v>
      </c>
      <c r="E27" s="608" t="s">
        <v>856</v>
      </c>
      <c r="F27" s="618">
        <f ca="1">IF(B1="",'数据-取费表'!Q16,INDIRECT("'数据-取费表'!q"&amp;$G$1))</f>
        <v>0.1</v>
      </c>
      <c r="G27" s="619" t="s">
        <v>2513</v>
      </c>
    </row>
    <row r="28" spans="1:7" s="586" customFormat="1" ht="13.5" customHeight="1">
      <c r="A28" s="1788" t="s">
        <v>1914</v>
      </c>
      <c r="B28" s="620" t="s">
        <v>2506</v>
      </c>
      <c r="C28" s="621">
        <f ca="1">ROUND((C5+C19+C20)*F27*'数据-取费表'!B21/'数据-取费表'!B20,0)</f>
        <v>3398</v>
      </c>
      <c r="D28" s="607"/>
      <c r="E28" s="608"/>
      <c r="F28" s="618"/>
      <c r="G28" s="619"/>
    </row>
    <row r="29" spans="1:7" s="586" customFormat="1" ht="13.5" customHeight="1">
      <c r="A29" s="1788" t="s">
        <v>1915</v>
      </c>
      <c r="B29" s="620" t="s">
        <v>2507</v>
      </c>
      <c r="C29" s="610">
        <f ca="1">ROUND(C21*F27*'数据-取费表'!B21/'数据-取费表'!B20,4)</f>
        <v>5.0000000000000001E-4</v>
      </c>
      <c r="D29" s="607"/>
      <c r="E29" s="608"/>
      <c r="F29" s="618"/>
      <c r="G29" s="619"/>
    </row>
    <row r="30" spans="1:7" s="586" customFormat="1" ht="13.5" customHeight="1">
      <c r="A30" s="1785" t="s">
        <v>1911</v>
      </c>
      <c r="B30" s="582" t="s">
        <v>345</v>
      </c>
      <c r="C30" s="607">
        <f>ROUND(F30/(1+'数据-取费表'!C42),4)</f>
        <v>5.2400000000000002E-2</v>
      </c>
      <c r="D30" s="608" t="s">
        <v>2932</v>
      </c>
      <c r="E30" s="613"/>
      <c r="F30" s="609">
        <f>'数据-取费表'!B41</f>
        <v>5.5000000000000007E-2</v>
      </c>
      <c r="G30" s="2601" t="s">
        <v>2933</v>
      </c>
    </row>
    <row r="31" spans="1:7" ht="16.5" customHeight="1">
      <c r="A31" s="581">
        <v>1</v>
      </c>
      <c r="B31" s="582" t="s">
        <v>858</v>
      </c>
      <c r="C31" s="583">
        <f ca="1">ROUND((C5+C19+C20+C22+C27)/(1-C21-D22-D27-C30),0)</f>
        <v>165934</v>
      </c>
      <c r="D31" s="602"/>
      <c r="E31" s="583"/>
      <c r="F31" s="622"/>
      <c r="G31" s="606" t="s">
        <v>2514</v>
      </c>
    </row>
    <row r="32" spans="1:7" s="580" customFormat="1" ht="15.75">
      <c r="A32" s="624" t="s">
        <v>844</v>
      </c>
      <c r="B32" s="625"/>
      <c r="C32" s="625"/>
      <c r="D32" s="625"/>
      <c r="E32" s="625"/>
      <c r="F32" s="625"/>
      <c r="G32" s="626"/>
    </row>
    <row r="33" spans="1:7" s="586" customFormat="1" ht="13.5" customHeight="1">
      <c r="A33" s="627" t="s">
        <v>1905</v>
      </c>
      <c r="B33" s="582" t="s">
        <v>845</v>
      </c>
      <c r="C33" s="628">
        <f ca="1">SUM(C34:C38)</f>
        <v>8656.7799999999988</v>
      </c>
      <c r="D33" s="604"/>
      <c r="E33" s="584"/>
      <c r="F33" s="613"/>
      <c r="G33" s="606"/>
    </row>
    <row r="34" spans="1:7" s="630" customFormat="1" ht="13.5" customHeight="1">
      <c r="A34" s="1788" t="s">
        <v>1914</v>
      </c>
      <c r="B34" s="587" t="s">
        <v>346</v>
      </c>
      <c r="C34" s="592">
        <f ca="1">IF(B1="",IF(F34=100%,'数据-取费表'!M16,'数据-取费表'!O16),IF(F34=100%,INDIRECT("'数据-取费表'!m"&amp;$G$1)+INDIRECT("'数据-取费表'!t"&amp;$G$1),INDIRECT("'数据-取费表'!o"&amp;$G$1)+INDIRECT("'数据-取费表'!aq"&amp;$G$1)))</f>
        <v>7750</v>
      </c>
      <c r="D34" s="589"/>
      <c r="E34" s="592"/>
      <c r="F34" s="629">
        <f ca="1">IF('数据-取费表'!B24=0,1,IF(B1="",'数据-取费表'!N16,INDIRECT("'数据-取费表'!n"&amp;$G$1)))</f>
        <v>0.49399999999999999</v>
      </c>
      <c r="G34" s="591" t="s">
        <v>846</v>
      </c>
    </row>
    <row r="35" spans="1:7" ht="13.5" customHeight="1">
      <c r="A35" s="1788" t="s">
        <v>1919</v>
      </c>
      <c r="B35" s="587" t="s">
        <v>347</v>
      </c>
      <c r="C35" s="592">
        <f ca="1">ROUND(C34*F35,0)</f>
        <v>233</v>
      </c>
      <c r="D35" s="592"/>
      <c r="E35" s="592"/>
      <c r="F35" s="631">
        <f>'数据-取费表'!B33</f>
        <v>0.03</v>
      </c>
      <c r="G35" s="591" t="s">
        <v>847</v>
      </c>
    </row>
    <row r="36" spans="1:7" ht="24">
      <c r="A36" s="1788" t="s">
        <v>1920</v>
      </c>
      <c r="B36" s="587" t="s">
        <v>348</v>
      </c>
      <c r="C36" s="592">
        <f ca="1">IF(B1="",SUMIF('数据-取费表'!C:C,"住宅",IF(F34=100%,'数据-取费表'!M:M,'数据-取费表'!O:O))*F36,IF(INDIRECT("'数据-取费表'!c"&amp;$G$1)="住宅",IF(F34=100%,INDIRECT("'数据-取费表'!m"&amp;$G$1)*F36,INDIRECT("'数据-取费表'!o"&amp;$G$1)*F36),0))</f>
        <v>125.78</v>
      </c>
      <c r="D36" s="592"/>
      <c r="E36" s="592"/>
      <c r="F36" s="631">
        <f>'数据-取费表'!B34</f>
        <v>0.02</v>
      </c>
      <c r="G36" s="632" t="s">
        <v>349</v>
      </c>
    </row>
    <row r="37" spans="1:7" s="630" customFormat="1" ht="13.5" customHeight="1">
      <c r="A37" s="1788" t="s">
        <v>1921</v>
      </c>
      <c r="B37" s="587" t="s">
        <v>848</v>
      </c>
      <c r="C37" s="621">
        <f ca="1">ROUND(E37*D37*F34/10000,0)</f>
        <v>432</v>
      </c>
      <c r="D37" s="589">
        <f ca="1">D19</f>
        <v>43758.520000000004</v>
      </c>
      <c r="E37" s="621">
        <f>'数据-取费表'!B35</f>
        <v>200</v>
      </c>
      <c r="F37" s="631"/>
      <c r="G37" s="633" t="s">
        <v>849</v>
      </c>
    </row>
    <row r="38" spans="1:7" ht="13.5" customHeight="1">
      <c r="A38" s="1788" t="s">
        <v>1922</v>
      </c>
      <c r="B38" s="587" t="s">
        <v>350</v>
      </c>
      <c r="C38" s="592">
        <f ca="1">ROUND(C34*F38,0)</f>
        <v>116</v>
      </c>
      <c r="D38" s="592"/>
      <c r="E38" s="592"/>
      <c r="F38" s="631">
        <f>'数据-取费表'!B36</f>
        <v>1.4999999999999999E-2</v>
      </c>
      <c r="G38" s="591" t="s">
        <v>847</v>
      </c>
    </row>
    <row r="39" spans="1:7" s="586" customFormat="1" ht="13.5" customHeight="1">
      <c r="A39" s="1785" t="s">
        <v>1906</v>
      </c>
      <c r="B39" s="582" t="s">
        <v>834</v>
      </c>
      <c r="C39" s="604">
        <f ca="1">ROUND(C33*F20,0)</f>
        <v>173</v>
      </c>
      <c r="D39" s="604"/>
      <c r="E39" s="604"/>
      <c r="F39" s="605"/>
      <c r="G39" s="2601" t="s">
        <v>2515</v>
      </c>
    </row>
    <row r="40" spans="1:7" s="586" customFormat="1" ht="13.5" customHeight="1">
      <c r="A40" s="1785" t="s">
        <v>1907</v>
      </c>
      <c r="B40" s="582" t="s">
        <v>835</v>
      </c>
      <c r="C40" s="3215">
        <f>F21</f>
        <v>0.02</v>
      </c>
      <c r="D40" s="608" t="s">
        <v>859</v>
      </c>
      <c r="E40" s="604"/>
      <c r="F40" s="605"/>
      <c r="G40" s="606" t="s">
        <v>850</v>
      </c>
    </row>
    <row r="41" spans="1:7" s="586" customFormat="1" ht="13.5" customHeight="1">
      <c r="A41" s="1785" t="s">
        <v>1908</v>
      </c>
      <c r="B41" s="582" t="s">
        <v>837</v>
      </c>
      <c r="C41" s="604">
        <f ca="1">ROUND(SUM(C42:C43),0)</f>
        <v>145</v>
      </c>
      <c r="D41" s="607">
        <f ca="1">C44</f>
        <v>2.9999999999999997E-4</v>
      </c>
      <c r="E41" s="608" t="s">
        <v>859</v>
      </c>
      <c r="F41" s="609"/>
      <c r="G41" s="2601" t="str">
        <f>IF('数据-取费表'!B22&lt;=1,"单利计息","复利计息")</f>
        <v>复利计息</v>
      </c>
    </row>
    <row r="42" spans="1:7" ht="13.5" customHeight="1">
      <c r="A42" s="1788" t="s">
        <v>1914</v>
      </c>
      <c r="B42" s="587" t="s">
        <v>2505</v>
      </c>
      <c r="C42" s="610">
        <f ca="1">ROUND(IF('数据-取费表'!B22&lt;=1,C33*F22*'数据-取费表'!B21/2,C33*(POWER((1+F22),'数据-取费表'!B21/2)-1)),0)</f>
        <v>142</v>
      </c>
      <c r="D42" s="610"/>
      <c r="E42" s="610"/>
      <c r="F42" s="611"/>
      <c r="G42" s="3579" t="s">
        <v>851</v>
      </c>
    </row>
    <row r="43" spans="1:7" ht="13.5" customHeight="1">
      <c r="A43" s="1788" t="s">
        <v>1915</v>
      </c>
      <c r="B43" s="587" t="s">
        <v>2508</v>
      </c>
      <c r="C43" s="610">
        <f ca="1">ROUND(IF('数据-取费表'!B22&lt;=1,C39*F22*'数据-取费表'!B21/2,C39*(POWER((1+F22),'数据-取费表'!B21/2)-1)),0)</f>
        <v>3</v>
      </c>
      <c r="D43" s="610"/>
      <c r="E43" s="610"/>
      <c r="F43" s="611"/>
      <c r="G43" s="3580"/>
    </row>
    <row r="44" spans="1:7" ht="13.5" customHeight="1">
      <c r="A44" s="1788" t="s">
        <v>1916</v>
      </c>
      <c r="B44" s="587" t="s">
        <v>2510</v>
      </c>
      <c r="C44" s="610">
        <f ca="1">ROUND(IF('数据-取费表'!B22&lt;=1,C40*F22*'数据-取费表'!B21/2,C40*(POWER((1+F22),'数据-取费表'!B21/2)-1)),4)</f>
        <v>2.9999999999999997E-4</v>
      </c>
      <c r="D44" s="610"/>
      <c r="E44" s="610"/>
      <c r="F44" s="611"/>
      <c r="G44" s="3581"/>
    </row>
    <row r="45" spans="1:7" s="586" customFormat="1" ht="13.5" customHeight="1">
      <c r="A45" s="1785" t="s">
        <v>1909</v>
      </c>
      <c r="B45" s="616" t="s">
        <v>842</v>
      </c>
      <c r="C45" s="617">
        <f ca="1">C46</f>
        <v>883</v>
      </c>
      <c r="D45" s="607">
        <f ca="1">C47</f>
        <v>2E-3</v>
      </c>
      <c r="E45" s="608" t="s">
        <v>859</v>
      </c>
      <c r="F45" s="618"/>
      <c r="G45" s="619" t="s">
        <v>2516</v>
      </c>
    </row>
    <row r="46" spans="1:7" s="586" customFormat="1" ht="13.5" customHeight="1">
      <c r="A46" s="1788" t="s">
        <v>1914</v>
      </c>
      <c r="B46" s="620" t="s">
        <v>2509</v>
      </c>
      <c r="C46" s="621">
        <f ca="1">ROUND((C33+C39)*F27,0)</f>
        <v>883</v>
      </c>
      <c r="D46" s="635"/>
      <c r="E46" s="608"/>
      <c r="F46" s="618"/>
      <c r="G46" s="619"/>
    </row>
    <row r="47" spans="1:7" s="586" customFormat="1" ht="13.5" customHeight="1">
      <c r="A47" s="1788" t="s">
        <v>1915</v>
      </c>
      <c r="B47" s="620" t="s">
        <v>2511</v>
      </c>
      <c r="C47" s="610">
        <f ca="1">ROUND(C40*F27,4)</f>
        <v>2E-3</v>
      </c>
      <c r="D47" s="635"/>
      <c r="E47" s="608"/>
      <c r="F47" s="618"/>
      <c r="G47" s="619"/>
    </row>
    <row r="48" spans="1:7" s="586" customFormat="1" ht="13.5" customHeight="1">
      <c r="A48" s="1785" t="s">
        <v>1910</v>
      </c>
      <c r="B48" s="582" t="s">
        <v>852</v>
      </c>
      <c r="C48" s="3215">
        <f>ROUND(F30/(1+'数据-取费表'!C42),4)</f>
        <v>5.2400000000000002E-2</v>
      </c>
      <c r="D48" s="608" t="s">
        <v>2934</v>
      </c>
      <c r="E48" s="604"/>
      <c r="F48" s="609"/>
      <c r="G48" s="2601" t="s">
        <v>2935</v>
      </c>
    </row>
    <row r="49" spans="1:7" ht="16.5" customHeight="1">
      <c r="A49" s="1785" t="s">
        <v>1911</v>
      </c>
      <c r="B49" s="582" t="s">
        <v>861</v>
      </c>
      <c r="C49" s="604">
        <f ca="1">ROUND((C33+C39+C41+C45)/(1-C40-D41-D45-C48),0)</f>
        <v>10654</v>
      </c>
      <c r="D49" s="604"/>
      <c r="E49" s="604"/>
      <c r="F49" s="636"/>
      <c r="G49" s="606" t="s">
        <v>2517</v>
      </c>
    </row>
    <row r="50" spans="1:7" s="630" customFormat="1" ht="24">
      <c r="A50" s="1785" t="s">
        <v>1912</v>
      </c>
      <c r="B50" s="582" t="s">
        <v>854</v>
      </c>
      <c r="C50" s="604"/>
      <c r="D50" s="604"/>
      <c r="E50" s="604"/>
      <c r="F50" s="636">
        <f>IF('数据-取费表'!B24=0,'数据-取费表'!N16,1)</f>
        <v>1</v>
      </c>
      <c r="G50" s="619" t="s">
        <v>855</v>
      </c>
    </row>
    <row r="51" spans="1:7" ht="16.5" customHeight="1">
      <c r="A51" s="1785" t="s">
        <v>1913</v>
      </c>
      <c r="B51" s="582" t="s">
        <v>862</v>
      </c>
      <c r="C51" s="604">
        <f ca="1">ROUND(C49*F50,0)</f>
        <v>10654</v>
      </c>
      <c r="D51" s="604"/>
      <c r="E51" s="604"/>
      <c r="F51" s="636"/>
      <c r="G51" s="606" t="s">
        <v>351</v>
      </c>
    </row>
    <row r="52" spans="1:7" s="580" customFormat="1" ht="16.5" thickBot="1">
      <c r="A52" s="637" t="s">
        <v>352</v>
      </c>
      <c r="B52" s="638"/>
      <c r="C52" s="639">
        <f ca="1">C31+C51</f>
        <v>176588</v>
      </c>
      <c r="D52" s="638"/>
      <c r="E52" s="638"/>
      <c r="F52" s="638"/>
      <c r="G52" s="640"/>
    </row>
    <row r="55" spans="1:7" ht="15">
      <c r="B55" s="642" t="s">
        <v>353</v>
      </c>
      <c r="C55" s="643"/>
    </row>
    <row r="56" spans="1:7">
      <c r="B56" s="2853" t="s">
        <v>2692</v>
      </c>
      <c r="C56" s="647">
        <f ca="1">1-C57</f>
        <v>0.94</v>
      </c>
    </row>
    <row r="57" spans="1:7">
      <c r="B57" s="2853" t="s">
        <v>2691</v>
      </c>
      <c r="C57" s="646">
        <f ca="1">ROUND(C51/C52,3)</f>
        <v>0.06</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71" customWidth="1"/>
    <col min="2" max="9" width="10" style="1871" customWidth="1"/>
    <col min="10" max="16384" width="9" style="1871"/>
  </cols>
  <sheetData>
    <row r="36" spans="1:9">
      <c r="A36" s="1870" t="s">
        <v>1955</v>
      </c>
      <c r="B36" s="1870" t="s">
        <v>1956</v>
      </c>
    </row>
    <row r="37" spans="1:9" ht="27.75" customHeight="1">
      <c r="A37" s="1870"/>
      <c r="B37" s="3386" t="str">
        <f>项目基本情况!B1</f>
        <v>北京市出让国有建设用地使用权房地产抵押价值预评估</v>
      </c>
      <c r="C37" s="3386"/>
      <c r="D37" s="3386"/>
      <c r="E37" s="3386"/>
      <c r="F37" s="3386"/>
      <c r="G37" s="3386"/>
      <c r="H37" s="3386"/>
      <c r="I37" s="3386"/>
    </row>
    <row r="38" spans="1:9">
      <c r="A38" s="1872"/>
      <c r="B38" s="1872"/>
    </row>
    <row r="39" spans="1:9">
      <c r="A39" s="1870" t="s">
        <v>1955</v>
      </c>
      <c r="B39" s="1870" t="s">
        <v>1957</v>
      </c>
    </row>
    <row r="40" spans="1:9">
      <c r="A40" s="1870"/>
      <c r="B40" s="1870">
        <f>项目基本情况!B5</f>
        <v>0</v>
      </c>
    </row>
    <row r="41" spans="1:9">
      <c r="A41" s="1870"/>
      <c r="B41" s="1870"/>
    </row>
    <row r="42" spans="1:9">
      <c r="A42" s="1870" t="s">
        <v>1955</v>
      </c>
      <c r="B42" s="1870" t="s">
        <v>1958</v>
      </c>
    </row>
    <row r="43" spans="1:9">
      <c r="A43" s="1870"/>
      <c r="B43" s="1870" t="s">
        <v>1959</v>
      </c>
    </row>
    <row r="44" spans="1:9">
      <c r="A44" s="1870"/>
      <c r="B44" s="1870"/>
    </row>
    <row r="45" spans="1:9">
      <c r="A45" s="1870" t="s">
        <v>1955</v>
      </c>
      <c r="B45" s="1870" t="s">
        <v>1960</v>
      </c>
    </row>
    <row r="46" spans="1:9" s="1870" customFormat="1" ht="12.75">
      <c r="B46" s="1870" t="str">
        <f ca="1">项目基本情况!K4</f>
        <v>欧红伟（注册号：1120000080)、梁津（注册号：1119970066)</v>
      </c>
    </row>
    <row r="47" spans="1:9">
      <c r="A47" s="1870"/>
      <c r="B47" s="1870" t="str">
        <f>项目基本情况!K5</f>
        <v/>
      </c>
    </row>
    <row r="48" spans="1:9">
      <c r="A48" s="1870" t="s">
        <v>1955</v>
      </c>
      <c r="B48" s="1870" t="s">
        <v>1961</v>
      </c>
    </row>
    <row r="49" spans="2:2">
      <c r="B49" s="187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8" width="10.75" style="623" customWidth="1"/>
    <col min="9" max="254" width="9" style="623" customWidth="1"/>
    <col min="255" max="16384" width="8.375" style="623"/>
  </cols>
  <sheetData>
    <row r="1" spans="1:8" s="572" customFormat="1" ht="20.25">
      <c r="A1" s="568" t="s">
        <v>813</v>
      </c>
      <c r="B1" s="2733"/>
      <c r="C1" s="2738" t="s">
        <v>2622</v>
      </c>
      <c r="D1" s="570"/>
      <c r="E1" s="570"/>
      <c r="F1" s="570"/>
      <c r="G1" s="2734">
        <f>MATCH(B1,'数据-取费表'!A6:A16,0)+5</f>
        <v>9</v>
      </c>
      <c r="H1" s="2565" t="str">
        <f>IF(ISERROR(FIND("住宅",B1)),"非住宅","住宅")</f>
        <v>非住宅</v>
      </c>
    </row>
    <row r="2" spans="1:8" s="572" customFormat="1" ht="18" customHeight="1">
      <c r="A2" s="573" t="s">
        <v>342</v>
      </c>
      <c r="B2" s="574">
        <f ca="1">ROUND(IF(D2="——",C52/10000,C52/10000-E2),0)</f>
        <v>24879</v>
      </c>
      <c r="C2" s="85" t="s">
        <v>863</v>
      </c>
      <c r="D2" s="2851" t="s">
        <v>528</v>
      </c>
      <c r="E2" s="2849" t="e">
        <f ca="1">SUMIF(INDIRECT("'"&amp;G2&amp;"'"&amp;"!A:A"),"承租人权益价值",INDIRECT("'"&amp;G2&amp;"'"&amp;"!c:c"))</f>
        <v>#REF!</v>
      </c>
      <c r="F2" s="2847" t="s">
        <v>863</v>
      </c>
      <c r="G2" s="2850"/>
    </row>
    <row r="3" spans="1:8" s="572" customFormat="1" ht="18" customHeight="1" thickBot="1">
      <c r="A3" s="575" t="s">
        <v>343</v>
      </c>
      <c r="B3" s="576">
        <f ca="1">ROUND(B2*10000/(IF(B1="",'数据-汇总表'!E3,INDIRECT("'数据-取费表'!k"&amp;$G$1))),0)</f>
        <v>5686</v>
      </c>
      <c r="C3" s="85" t="s">
        <v>864</v>
      </c>
      <c r="D3" s="571"/>
      <c r="E3" s="571"/>
      <c r="F3" s="571"/>
      <c r="G3" s="571"/>
    </row>
    <row r="4" spans="1:8" s="580" customFormat="1" ht="15.75">
      <c r="A4" s="577" t="s">
        <v>816</v>
      </c>
      <c r="B4" s="578"/>
      <c r="C4" s="578"/>
      <c r="D4" s="578"/>
      <c r="E4" s="578"/>
      <c r="F4" s="578"/>
      <c r="G4" s="579"/>
    </row>
    <row r="5" spans="1:8" s="586" customFormat="1" ht="13.5" customHeight="1">
      <c r="A5" s="627" t="s">
        <v>1905</v>
      </c>
      <c r="B5" s="582" t="s">
        <v>817</v>
      </c>
      <c r="C5" s="583">
        <f ca="1">C6+C7+C8</f>
        <v>7421450</v>
      </c>
      <c r="D5" s="583" t="s">
        <v>818</v>
      </c>
      <c r="E5" s="584" t="s">
        <v>819</v>
      </c>
      <c r="F5" s="584" t="s">
        <v>820</v>
      </c>
      <c r="G5" s="585"/>
    </row>
    <row r="6" spans="1:8" s="586" customFormat="1" ht="13.5" customHeight="1">
      <c r="A6" s="1786" t="s">
        <v>1914</v>
      </c>
      <c r="B6" s="587" t="s">
        <v>821</v>
      </c>
      <c r="C6" s="588"/>
      <c r="D6" s="589"/>
      <c r="E6" s="590"/>
      <c r="F6" s="590"/>
      <c r="G6" s="591"/>
    </row>
    <row r="7" spans="1:8" s="586" customFormat="1" ht="13.5" customHeight="1">
      <c r="A7" s="1786" t="s">
        <v>1915</v>
      </c>
      <c r="B7" s="587" t="s">
        <v>344</v>
      </c>
      <c r="C7" s="592">
        <f>ROUND(C6*F7,0)</f>
        <v>0</v>
      </c>
      <c r="D7" s="592"/>
      <c r="E7" s="590"/>
      <c r="F7" s="593">
        <f>'数据-取费表'!B48+'数据-取费表'!B49</f>
        <v>3.0499999999999999E-2</v>
      </c>
      <c r="G7" s="591"/>
    </row>
    <row r="8" spans="1:8" s="595" customFormat="1">
      <c r="A8" s="1786" t="s">
        <v>1916</v>
      </c>
      <c r="B8" s="587" t="s">
        <v>822</v>
      </c>
      <c r="C8" s="592">
        <f ca="1">IF(G8="已包含在土地购买价格中",0,C9+C10)</f>
        <v>7421450</v>
      </c>
      <c r="D8" s="594"/>
      <c r="E8" s="592"/>
      <c r="F8" s="593"/>
      <c r="G8" s="84"/>
    </row>
    <row r="9" spans="1:8" s="586" customFormat="1" ht="13.5" customHeight="1">
      <c r="A9" s="1787" t="s">
        <v>1923</v>
      </c>
      <c r="B9" s="596" t="s">
        <v>823</v>
      </c>
      <c r="C9" s="597">
        <f ca="1">ROUND(D9*E9,0)</f>
        <v>5321018</v>
      </c>
      <c r="D9" s="1891">
        <f ca="1">IF(B1="",'数据-汇总表'!E5,IF(INDIRECT("'数据-取费表'!c"&amp;$G$1)="住宅",INDIRECT("'数据-取费表'!k"&amp;$G$1),0))</f>
        <v>33256.36</v>
      </c>
      <c r="E9" s="597">
        <f>'数据-取费表'!B27</f>
        <v>160</v>
      </c>
      <c r="F9" s="593"/>
      <c r="G9" s="598"/>
    </row>
    <row r="10" spans="1:8" s="586" customFormat="1" ht="13.5" customHeight="1">
      <c r="A10" s="1787" t="s">
        <v>1924</v>
      </c>
      <c r="B10" s="596" t="s">
        <v>824</v>
      </c>
      <c r="C10" s="597">
        <f ca="1">ROUND(D10*E10,0)</f>
        <v>2100432</v>
      </c>
      <c r="D10" s="1891">
        <f ca="1">IF(B1="",'数据-汇总表'!E6,IF(INDIRECT("'数据-取费表'!c"&amp;$G$1)="住宅",INDIRECT("'数据-取费表'!s"&amp;$G$1),INDIRECT("'数据-取费表'!k"&amp;$G$1)+INDIRECT("'数据-取费表'!s"&amp;$G$1)))</f>
        <v>10502.160000000003</v>
      </c>
      <c r="E10" s="597">
        <f>'数据-取费表'!B28</f>
        <v>200</v>
      </c>
      <c r="F10" s="593"/>
      <c r="G10" s="598"/>
    </row>
    <row r="11" spans="1:8" s="586" customFormat="1" ht="13.5" hidden="1" customHeight="1">
      <c r="A11" s="599" t="s">
        <v>42</v>
      </c>
      <c r="B11" s="587" t="s">
        <v>825</v>
      </c>
      <c r="C11" s="583"/>
      <c r="D11" s="1893"/>
      <c r="E11" s="590"/>
      <c r="F11" s="590"/>
      <c r="G11" s="591"/>
    </row>
    <row r="12" spans="1:8" s="586" customFormat="1" ht="13.5" hidden="1" customHeight="1">
      <c r="A12" s="599" t="s">
        <v>43</v>
      </c>
      <c r="B12" s="587" t="s">
        <v>826</v>
      </c>
      <c r="C12" s="583">
        <v>0</v>
      </c>
      <c r="D12" s="1893"/>
      <c r="E12" s="600"/>
      <c r="F12" s="593">
        <v>3.0499999999999999E-2</v>
      </c>
      <c r="G12" s="591"/>
    </row>
    <row r="13" spans="1:8" s="586" customFormat="1" ht="13.5" hidden="1" customHeight="1">
      <c r="A13" s="599" t="s">
        <v>44</v>
      </c>
      <c r="B13" s="587" t="s">
        <v>827</v>
      </c>
      <c r="C13" s="583"/>
      <c r="D13" s="1893"/>
      <c r="E13" s="590"/>
      <c r="F13" s="590"/>
      <c r="G13" s="591"/>
    </row>
    <row r="14" spans="1:8" s="586" customFormat="1" ht="13.5" hidden="1" customHeight="1">
      <c r="A14" s="599" t="s">
        <v>45</v>
      </c>
      <c r="B14" s="587" t="s">
        <v>822</v>
      </c>
      <c r="C14" s="583"/>
      <c r="D14" s="1893"/>
      <c r="E14" s="590"/>
      <c r="F14" s="590"/>
      <c r="G14" s="591" t="s">
        <v>828</v>
      </c>
    </row>
    <row r="15" spans="1:8" s="586" customFormat="1" ht="13.5" hidden="1" customHeight="1">
      <c r="A15" s="599" t="s">
        <v>46</v>
      </c>
      <c r="B15" s="587" t="s">
        <v>829</v>
      </c>
      <c r="C15" s="592"/>
      <c r="D15" s="1893"/>
      <c r="E15" s="590"/>
      <c r="F15" s="590"/>
      <c r="G15" s="591" t="s">
        <v>830</v>
      </c>
    </row>
    <row r="16" spans="1:8" s="586" customFormat="1" ht="13.5" hidden="1" customHeight="1">
      <c r="A16" s="599" t="s">
        <v>47</v>
      </c>
      <c r="B16" s="587" t="s">
        <v>822</v>
      </c>
      <c r="C16" s="592"/>
      <c r="D16" s="1893"/>
      <c r="E16" s="590"/>
      <c r="F16" s="590"/>
      <c r="G16" s="591"/>
    </row>
    <row r="17" spans="1:7" s="586" customFormat="1" ht="13.5" hidden="1" customHeight="1">
      <c r="A17" s="599" t="s">
        <v>48</v>
      </c>
      <c r="B17" s="587" t="s">
        <v>831</v>
      </c>
      <c r="C17" s="601"/>
      <c r="D17" s="1894"/>
      <c r="E17" s="601"/>
      <c r="F17" s="601"/>
      <c r="G17" s="591" t="s">
        <v>830</v>
      </c>
    </row>
    <row r="18" spans="1:7" s="586" customFormat="1" ht="13.5" hidden="1" customHeight="1">
      <c r="A18" s="599" t="s">
        <v>49</v>
      </c>
      <c r="B18" s="587" t="s">
        <v>832</v>
      </c>
      <c r="C18" s="592">
        <v>0</v>
      </c>
      <c r="D18" s="1893"/>
      <c r="E18" s="590"/>
      <c r="F18" s="593">
        <v>3.0499999999999999E-2</v>
      </c>
      <c r="G18" s="591" t="s">
        <v>833</v>
      </c>
    </row>
    <row r="19" spans="1:7" s="595" customFormat="1" ht="13.5" customHeight="1">
      <c r="A19" s="1785" t="s">
        <v>1906</v>
      </c>
      <c r="B19" s="582" t="s">
        <v>841</v>
      </c>
      <c r="C19" s="583">
        <f ca="1">IF(G19="已包含在土地取得成本中","0",ROUND(D19*E19,0))</f>
        <v>8751704</v>
      </c>
      <c r="D19" s="1895">
        <f ca="1">D9+D10</f>
        <v>43758.520000000004</v>
      </c>
      <c r="E19" s="583">
        <f>'数据-取费表'!B31</f>
        <v>200</v>
      </c>
      <c r="F19" s="603"/>
      <c r="G19" s="84"/>
    </row>
    <row r="20" spans="1:7" s="586" customFormat="1" ht="13.5" customHeight="1">
      <c r="A20" s="1785" t="s">
        <v>1907</v>
      </c>
      <c r="B20" s="582" t="s">
        <v>834</v>
      </c>
      <c r="C20" s="604">
        <f ca="1">ROUND((C5+C19)*F20,0)</f>
        <v>323463</v>
      </c>
      <c r="D20" s="604"/>
      <c r="E20" s="604"/>
      <c r="F20" s="605">
        <f>'数据-取费表'!B37</f>
        <v>0.02</v>
      </c>
      <c r="G20" s="2601" t="s">
        <v>2512</v>
      </c>
    </row>
    <row r="21" spans="1:7" s="586" customFormat="1" ht="13.5" customHeight="1">
      <c r="A21" s="1785" t="s">
        <v>1908</v>
      </c>
      <c r="B21" s="582" t="s">
        <v>835</v>
      </c>
      <c r="C21" s="607">
        <f>F21</f>
        <v>0.02</v>
      </c>
      <c r="D21" s="608" t="s">
        <v>856</v>
      </c>
      <c r="E21" s="604"/>
      <c r="F21" s="605">
        <f>'数据-取费表'!B38</f>
        <v>0.02</v>
      </c>
      <c r="G21" s="606" t="s">
        <v>836</v>
      </c>
    </row>
    <row r="22" spans="1:7" s="586" customFormat="1" ht="13.5" customHeight="1">
      <c r="A22" s="1785" t="s">
        <v>1909</v>
      </c>
      <c r="B22" s="582" t="s">
        <v>837</v>
      </c>
      <c r="C22" s="2735">
        <f ca="1">ROUND(SUM(C23:C25),0)</f>
        <v>2439198</v>
      </c>
      <c r="D22" s="607">
        <f ca="1">C26</f>
        <v>1.4E-3</v>
      </c>
      <c r="E22" s="608" t="s">
        <v>856</v>
      </c>
      <c r="F22" s="609">
        <f ca="1">'数据-取费表'!B40</f>
        <v>4.7500000000000001E-2</v>
      </c>
      <c r="G22" s="2601" t="str">
        <f>IF('数据-取费表'!B22&lt;=1,"单利计息","复利计息")</f>
        <v>复利计息</v>
      </c>
    </row>
    <row r="23" spans="1:7" s="586" customFormat="1" ht="13.5" customHeight="1">
      <c r="A23" s="1788" t="s">
        <v>1914</v>
      </c>
      <c r="B23" s="587" t="s">
        <v>2505</v>
      </c>
      <c r="C23" s="2736">
        <f ca="1">ROUND(IF('数据-取费表'!B22&lt;=1,C5*F22*'数据-取费表'!B22,C5*(POWER((1+F22),'数据-取费表'!B22)-1)),0)</f>
        <v>1108586</v>
      </c>
      <c r="D23" s="610"/>
      <c r="E23" s="610"/>
      <c r="F23" s="611"/>
      <c r="G23" s="612" t="s">
        <v>838</v>
      </c>
    </row>
    <row r="24" spans="1:7" s="586" customFormat="1" ht="13.5" customHeight="1">
      <c r="A24" s="1788" t="s">
        <v>1915</v>
      </c>
      <c r="B24" s="587" t="s">
        <v>2500</v>
      </c>
      <c r="C24" s="2736">
        <f ca="1">ROUND(IF('数据-取费表'!B22&lt;=1,C19*F22*('数据-取费表'!B19/2+'数据-取费表'!B20),C19*(POWER((1+F22),('数据-取费表'!B19/2+'数据-取费表'!B20))-1)),0)</f>
        <v>1307294</v>
      </c>
      <c r="D24" s="610"/>
      <c r="E24" s="610"/>
      <c r="F24" s="611"/>
      <c r="G24" s="612" t="s">
        <v>839</v>
      </c>
    </row>
    <row r="25" spans="1:7" s="586" customFormat="1" ht="24">
      <c r="A25" s="1788" t="s">
        <v>1916</v>
      </c>
      <c r="B25" s="587" t="s">
        <v>2502</v>
      </c>
      <c r="C25" s="2736">
        <f ca="1">ROUND(IF('数据-取费表'!B22&lt;=1,C20*F22*'数据-取费表'!B22/2,C20*(POWER((1+F22),'数据-取费表'!B22/2)-1)),0)</f>
        <v>23318</v>
      </c>
      <c r="D25" s="610"/>
      <c r="E25" s="613"/>
      <c r="F25" s="611"/>
      <c r="G25" s="614" t="s">
        <v>840</v>
      </c>
    </row>
    <row r="26" spans="1:7" s="586" customFormat="1">
      <c r="A26" s="1788" t="s">
        <v>1918</v>
      </c>
      <c r="B26" s="587" t="s">
        <v>2504</v>
      </c>
      <c r="C26" s="610">
        <f ca="1">ROUND(IF('数据-取费表'!B22&lt;=1,F21*F22*'数据-取费表'!B22/2,F21*(POWER((1+F22),'数据-取费表'!B22/2)-1)),4)</f>
        <v>1.4E-3</v>
      </c>
      <c r="D26" s="610"/>
      <c r="E26" s="613"/>
      <c r="F26" s="611"/>
      <c r="G26" s="615"/>
    </row>
    <row r="27" spans="1:7" s="586" customFormat="1" ht="24.75">
      <c r="A27" s="1785" t="s">
        <v>1910</v>
      </c>
      <c r="B27" s="616" t="s">
        <v>842</v>
      </c>
      <c r="C27" s="617">
        <f ca="1">C28</f>
        <v>1649662</v>
      </c>
      <c r="D27" s="607">
        <f ca="1">C29</f>
        <v>2E-3</v>
      </c>
      <c r="E27" s="608" t="s">
        <v>856</v>
      </c>
      <c r="F27" s="618">
        <f ca="1">IF(B1="",'数据-取费表'!Q16,INDIRECT("'数据-取费表'!q"&amp;$G$1))</f>
        <v>0.1</v>
      </c>
      <c r="G27" s="619" t="s">
        <v>2513</v>
      </c>
    </row>
    <row r="28" spans="1:7" s="586" customFormat="1" ht="13.5" customHeight="1">
      <c r="A28" s="1788" t="s">
        <v>1914</v>
      </c>
      <c r="B28" s="620" t="s">
        <v>2506</v>
      </c>
      <c r="C28" s="621">
        <f ca="1">ROUND((C5+C19+C20)*F27,0)</f>
        <v>1649662</v>
      </c>
      <c r="D28" s="607"/>
      <c r="E28" s="608"/>
      <c r="F28" s="618"/>
      <c r="G28" s="619"/>
    </row>
    <row r="29" spans="1:7" s="586" customFormat="1" ht="13.5" customHeight="1">
      <c r="A29" s="1788" t="s">
        <v>1915</v>
      </c>
      <c r="B29" s="620" t="s">
        <v>2507</v>
      </c>
      <c r="C29" s="610">
        <f ca="1">ROUND(C21*F27,4)</f>
        <v>2E-3</v>
      </c>
      <c r="D29" s="607"/>
      <c r="E29" s="608"/>
      <c r="F29" s="618"/>
      <c r="G29" s="619"/>
    </row>
    <row r="30" spans="1:7" s="586" customFormat="1" ht="13.5" customHeight="1">
      <c r="A30" s="1785" t="s">
        <v>1911</v>
      </c>
      <c r="B30" s="582" t="s">
        <v>345</v>
      </c>
      <c r="C30" s="607">
        <f>ROUND(F30/(1+'数据-取费表'!C42),4)</f>
        <v>5.2400000000000002E-2</v>
      </c>
      <c r="D30" s="608" t="s">
        <v>2936</v>
      </c>
      <c r="E30" s="613"/>
      <c r="F30" s="609">
        <f>'数据-取费表'!B41</f>
        <v>5.5000000000000007E-2</v>
      </c>
      <c r="G30" s="2601" t="s">
        <v>2937</v>
      </c>
    </row>
    <row r="31" spans="1:7" ht="16.5" customHeight="1">
      <c r="A31" s="581">
        <v>1</v>
      </c>
      <c r="B31" s="582" t="s">
        <v>858</v>
      </c>
      <c r="C31" s="583">
        <f ca="1">ROUND((C5+C19+C20+C22+C27)/(1-C21-D22-D27-C30),0)</f>
        <v>22273834</v>
      </c>
      <c r="D31" s="602"/>
      <c r="E31" s="583"/>
      <c r="F31" s="622"/>
      <c r="G31" s="606" t="s">
        <v>2514</v>
      </c>
    </row>
    <row r="32" spans="1:7" s="580" customFormat="1" ht="15.75">
      <c r="A32" s="624" t="s">
        <v>2617</v>
      </c>
      <c r="B32" s="625"/>
      <c r="C32" s="625"/>
      <c r="D32" s="625"/>
      <c r="E32" s="625"/>
      <c r="F32" s="625"/>
      <c r="G32" s="626"/>
    </row>
    <row r="33" spans="1:7" s="586" customFormat="1" ht="13.5" customHeight="1">
      <c r="A33" s="627" t="s">
        <v>1905</v>
      </c>
      <c r="B33" s="2737" t="s">
        <v>2618</v>
      </c>
      <c r="C33" s="628">
        <f ca="1">SUM(C34:C38)</f>
        <v>175110112</v>
      </c>
      <c r="D33" s="604"/>
      <c r="E33" s="584"/>
      <c r="F33" s="613"/>
      <c r="G33" s="606"/>
    </row>
    <row r="34" spans="1:7" s="630" customFormat="1" ht="13.5" customHeight="1">
      <c r="A34" s="1788" t="s">
        <v>1914</v>
      </c>
      <c r="B34" s="587" t="s">
        <v>346</v>
      </c>
      <c r="C34" s="592">
        <f ca="1">ROUND(IF(B1="",SUMPRODUCT('数据-取费表'!K6:K14,'数据-取费表'!L6:L14),INDIRECT("'数据-取费表'!l"&amp;$G$1)*INDIRECT("'数据-取费表'!k"&amp;$G$1)+'数据-取费表'!L14*INDIRECT("'数据-取费表'!S"&amp;$G$1)),0)</f>
        <v>156753623</v>
      </c>
      <c r="D34" s="589"/>
      <c r="E34" s="592"/>
      <c r="F34" s="629"/>
      <c r="G34" s="591"/>
    </row>
    <row r="35" spans="1:7" ht="13.5" customHeight="1">
      <c r="A35" s="1788" t="s">
        <v>1919</v>
      </c>
      <c r="B35" s="587" t="s">
        <v>347</v>
      </c>
      <c r="C35" s="592">
        <f ca="1">ROUND(C34*F35,0)</f>
        <v>4702609</v>
      </c>
      <c r="D35" s="592"/>
      <c r="E35" s="592"/>
      <c r="F35" s="631">
        <f>'数据-取费表'!B33</f>
        <v>0.03</v>
      </c>
      <c r="G35" s="591" t="s">
        <v>847</v>
      </c>
    </row>
    <row r="36" spans="1:7" ht="24">
      <c r="A36" s="1788" t="s">
        <v>1920</v>
      </c>
      <c r="B36" s="587" t="s">
        <v>348</v>
      </c>
      <c r="C36" s="592">
        <f ca="1">ROUND(IF(B1="",SUM('数据-取费表'!AP6:AP13)*F36,IF(INDIRECT("'数据-取费表'!c"&amp;$G$1)="住宅",INDIRECT("'数据-取费表'!k"&amp;$G$1)*INDIRECT("'数据-取费表'!l"&amp;$G$1)*F36,0)),0)</f>
        <v>2550872</v>
      </c>
      <c r="D36" s="592"/>
      <c r="E36" s="592"/>
      <c r="F36" s="631">
        <f>'数据-取费表'!B34</f>
        <v>0.02</v>
      </c>
      <c r="G36" s="632" t="s">
        <v>349</v>
      </c>
    </row>
    <row r="37" spans="1:7" s="630" customFormat="1" ht="13.5" customHeight="1">
      <c r="A37" s="1788" t="s">
        <v>1921</v>
      </c>
      <c r="B37" s="587" t="s">
        <v>848</v>
      </c>
      <c r="C37" s="621">
        <f ca="1">ROUND(E37*D37,0)</f>
        <v>8751704</v>
      </c>
      <c r="D37" s="589">
        <f ca="1">D19</f>
        <v>43758.520000000004</v>
      </c>
      <c r="E37" s="621">
        <f>'数据-取费表'!B35</f>
        <v>200</v>
      </c>
      <c r="F37" s="631"/>
      <c r="G37" s="633"/>
    </row>
    <row r="38" spans="1:7" ht="13.5" customHeight="1">
      <c r="A38" s="1788" t="s">
        <v>1922</v>
      </c>
      <c r="B38" s="587" t="s">
        <v>350</v>
      </c>
      <c r="C38" s="592">
        <f ca="1">ROUND(C34*F38,0)</f>
        <v>2351304</v>
      </c>
      <c r="D38" s="592"/>
      <c r="E38" s="592"/>
      <c r="F38" s="631">
        <f>'数据-取费表'!B36</f>
        <v>1.4999999999999999E-2</v>
      </c>
      <c r="G38" s="591" t="s">
        <v>847</v>
      </c>
    </row>
    <row r="39" spans="1:7" s="586" customFormat="1" ht="13.5" customHeight="1">
      <c r="A39" s="1785" t="s">
        <v>1906</v>
      </c>
      <c r="B39" s="582" t="s">
        <v>834</v>
      </c>
      <c r="C39" s="604">
        <f ca="1">ROUND(C33*F20,0)</f>
        <v>3502202</v>
      </c>
      <c r="D39" s="604"/>
      <c r="E39" s="604"/>
      <c r="F39" s="605"/>
      <c r="G39" s="2601" t="s">
        <v>2515</v>
      </c>
    </row>
    <row r="40" spans="1:7" s="586" customFormat="1" ht="13.5" customHeight="1">
      <c r="A40" s="1785" t="s">
        <v>1907</v>
      </c>
      <c r="B40" s="582" t="s">
        <v>835</v>
      </c>
      <c r="C40" s="3215">
        <f>F21</f>
        <v>0.02</v>
      </c>
      <c r="D40" s="608" t="s">
        <v>859</v>
      </c>
      <c r="E40" s="604"/>
      <c r="F40" s="605"/>
      <c r="G40" s="606" t="s">
        <v>850</v>
      </c>
    </row>
    <row r="41" spans="1:7" s="586" customFormat="1" ht="13.5" customHeight="1">
      <c r="A41" s="1785" t="s">
        <v>1908</v>
      </c>
      <c r="B41" s="582" t="s">
        <v>837</v>
      </c>
      <c r="C41" s="604">
        <f ca="1">ROUND(SUM(C42:C43),0)</f>
        <v>12876075</v>
      </c>
      <c r="D41" s="607">
        <f ca="1">C44</f>
        <v>1.4E-3</v>
      </c>
      <c r="E41" s="608" t="s">
        <v>859</v>
      </c>
      <c r="F41" s="609"/>
      <c r="G41" s="2601" t="str">
        <f>IF('数据-取费表'!B22&lt;=1,"单利计息","复利计息")</f>
        <v>复利计息</v>
      </c>
    </row>
    <row r="42" spans="1:7" ht="13.5" customHeight="1">
      <c r="A42" s="1788" t="s">
        <v>1914</v>
      </c>
      <c r="B42" s="587" t="s">
        <v>2505</v>
      </c>
      <c r="C42" s="610">
        <f ca="1">ROUND(IF('数据-取费表'!B22&lt;=1,C33*F22*'数据-取费表'!B20/2,C33*(POWER((1+F22),'数据-取费表'!B20/2)-1)),0)</f>
        <v>12623603</v>
      </c>
      <c r="D42" s="610"/>
      <c r="E42" s="610"/>
      <c r="F42" s="611"/>
      <c r="G42" s="3582" t="s">
        <v>2621</v>
      </c>
    </row>
    <row r="43" spans="1:7" ht="13.5" customHeight="1">
      <c r="A43" s="1788" t="s">
        <v>1915</v>
      </c>
      <c r="B43" s="587" t="s">
        <v>2500</v>
      </c>
      <c r="C43" s="610">
        <f ca="1">ROUND(IF('数据-取费表'!B22&lt;=1,C39*F22*'数据-取费表'!B20/2,C39*(POWER((1+F22),'数据-取费表'!B20/2)-1)),0)</f>
        <v>252472</v>
      </c>
      <c r="D43" s="610"/>
      <c r="E43" s="610"/>
      <c r="F43" s="611"/>
      <c r="G43" s="3580"/>
    </row>
    <row r="44" spans="1:7" ht="13.5" customHeight="1">
      <c r="A44" s="1788" t="s">
        <v>1916</v>
      </c>
      <c r="B44" s="587" t="s">
        <v>2502</v>
      </c>
      <c r="C44" s="610">
        <f ca="1">ROUND(IF('数据-取费表'!B22&lt;=1,C40*F22*'数据-取费表'!B20/2,C40*(POWER((1+F22),'数据-取费表'!B20/2)-1)),4)</f>
        <v>1.4E-3</v>
      </c>
      <c r="D44" s="610"/>
      <c r="E44" s="610"/>
      <c r="F44" s="611"/>
      <c r="G44" s="3581"/>
    </row>
    <row r="45" spans="1:7" s="586" customFormat="1" ht="13.5" customHeight="1">
      <c r="A45" s="1785" t="s">
        <v>1909</v>
      </c>
      <c r="B45" s="616" t="s">
        <v>842</v>
      </c>
      <c r="C45" s="617">
        <f ca="1">C46</f>
        <v>17861231</v>
      </c>
      <c r="D45" s="607">
        <f ca="1">C47</f>
        <v>2E-3</v>
      </c>
      <c r="E45" s="608" t="s">
        <v>859</v>
      </c>
      <c r="F45" s="618"/>
      <c r="G45" s="619" t="s">
        <v>2516</v>
      </c>
    </row>
    <row r="46" spans="1:7" s="586" customFormat="1" ht="13.5" customHeight="1">
      <c r="A46" s="1788" t="s">
        <v>1914</v>
      </c>
      <c r="B46" s="620" t="s">
        <v>2509</v>
      </c>
      <c r="C46" s="621">
        <f ca="1">ROUND((C33+C39)*F27,0)</f>
        <v>17861231</v>
      </c>
      <c r="D46" s="635"/>
      <c r="E46" s="608"/>
      <c r="F46" s="618"/>
      <c r="G46" s="619"/>
    </row>
    <row r="47" spans="1:7" s="586" customFormat="1" ht="13.5" customHeight="1">
      <c r="A47" s="1788" t="s">
        <v>1915</v>
      </c>
      <c r="B47" s="620" t="s">
        <v>2511</v>
      </c>
      <c r="C47" s="610">
        <f ca="1">ROUND(C40*F27,4)</f>
        <v>2E-3</v>
      </c>
      <c r="D47" s="635"/>
      <c r="E47" s="608"/>
      <c r="F47" s="618"/>
      <c r="G47" s="619"/>
    </row>
    <row r="48" spans="1:7" s="586" customFormat="1" ht="13.5" customHeight="1">
      <c r="A48" s="1785" t="s">
        <v>1910</v>
      </c>
      <c r="B48" s="582" t="s">
        <v>852</v>
      </c>
      <c r="C48" s="634">
        <f>ROUND(F30/(1+'数据-取费表'!C42),4)</f>
        <v>5.2400000000000002E-2</v>
      </c>
      <c r="D48" s="608" t="s">
        <v>2934</v>
      </c>
      <c r="E48" s="604"/>
      <c r="F48" s="609"/>
      <c r="G48" s="2601" t="s">
        <v>2935</v>
      </c>
    </row>
    <row r="49" spans="1:7" ht="16.5" customHeight="1">
      <c r="A49" s="1785" t="s">
        <v>1911</v>
      </c>
      <c r="B49" s="582" t="s">
        <v>2619</v>
      </c>
      <c r="C49" s="604">
        <f ca="1">ROUND((C33+C39+C41+C45)/(1-C40-D41-D45-C48),0)</f>
        <v>226519823</v>
      </c>
      <c r="D49" s="604"/>
      <c r="E49" s="604"/>
      <c r="F49" s="636"/>
      <c r="G49" s="606" t="s">
        <v>2517</v>
      </c>
    </row>
    <row r="50" spans="1:7" s="630" customFormat="1">
      <c r="A50" s="1785" t="s">
        <v>1912</v>
      </c>
      <c r="B50" s="582" t="s">
        <v>854</v>
      </c>
      <c r="C50" s="604"/>
      <c r="D50" s="604"/>
      <c r="E50" s="604"/>
      <c r="F50" s="636">
        <f>IF('数据-取费表'!B24=0,'数据-取费表'!N16,1)</f>
        <v>1</v>
      </c>
      <c r="G50" s="619"/>
    </row>
    <row r="51" spans="1:7" ht="16.5" customHeight="1">
      <c r="A51" s="1785" t="s">
        <v>1913</v>
      </c>
      <c r="B51" s="582" t="s">
        <v>2620</v>
      </c>
      <c r="C51" s="604">
        <f ca="1">ROUND(C49*F50,0)</f>
        <v>226519823</v>
      </c>
      <c r="D51" s="604"/>
      <c r="E51" s="604"/>
      <c r="F51" s="636"/>
      <c r="G51" s="606" t="s">
        <v>351</v>
      </c>
    </row>
    <row r="52" spans="1:7" s="580" customFormat="1" ht="16.5" thickBot="1">
      <c r="A52" s="637" t="s">
        <v>352</v>
      </c>
      <c r="B52" s="638"/>
      <c r="C52" s="639">
        <f ca="1">C31+C51</f>
        <v>248793657</v>
      </c>
      <c r="D52" s="638"/>
      <c r="E52" s="638"/>
      <c r="F52" s="638"/>
      <c r="G52" s="640"/>
    </row>
    <row r="55" spans="1:7" ht="15">
      <c r="B55" s="642" t="s">
        <v>353</v>
      </c>
      <c r="C55" s="643"/>
    </row>
    <row r="56" spans="1:7">
      <c r="B56" s="2853" t="s">
        <v>2692</v>
      </c>
      <c r="C56" s="647">
        <f ca="1">1-C57</f>
        <v>8.9999999999999969E-2</v>
      </c>
    </row>
    <row r="57" spans="1:7">
      <c r="B57" s="2853" t="s">
        <v>2691</v>
      </c>
      <c r="C57" s="646">
        <f ca="1">ROUND(C51/C52,3)</f>
        <v>0.91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K58" sqref="K58"/>
    </sheetView>
  </sheetViews>
  <sheetFormatPr defaultRowHeight="14.25"/>
  <cols>
    <col min="1" max="1" width="14.375" style="742" customWidth="1"/>
    <col min="2" max="2" width="15.75" style="742" customWidth="1"/>
    <col min="3" max="3" width="14.375" style="742" customWidth="1"/>
    <col min="4" max="4" width="14.125" style="742" customWidth="1"/>
    <col min="5" max="5" width="14.375" style="742" customWidth="1"/>
    <col min="6" max="6" width="12.25" style="742" customWidth="1"/>
    <col min="7" max="7" width="17.5" style="742" customWidth="1"/>
    <col min="8" max="8" width="12.25" style="742" customWidth="1"/>
    <col min="9" max="9" width="14.5" style="742" customWidth="1"/>
    <col min="10" max="10" width="12.25" style="742" customWidth="1"/>
    <col min="11" max="11" width="12.25" style="830" customWidth="1"/>
    <col min="12" max="12" width="12.25" style="831"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30" s="737" customFormat="1" ht="28.5" customHeight="1">
      <c r="A1" s="733" t="s">
        <v>478</v>
      </c>
      <c r="B1" s="734"/>
      <c r="C1" s="735" t="s">
        <v>479</v>
      </c>
      <c r="D1" s="1293"/>
      <c r="E1" s="1293"/>
      <c r="F1" s="1292" t="s">
        <v>386</v>
      </c>
      <c r="G1" s="1293"/>
      <c r="H1" s="1293"/>
      <c r="I1" s="1293"/>
      <c r="J1" s="1293"/>
      <c r="K1" s="1294"/>
      <c r="L1" s="1295"/>
      <c r="M1" s="1296"/>
      <c r="N1" s="1296"/>
      <c r="O1" s="1296"/>
      <c r="P1" s="1306"/>
      <c r="Q1" s="1306"/>
      <c r="R1" s="1306"/>
      <c r="S1" s="1306"/>
      <c r="T1" s="1306"/>
      <c r="U1" s="1306"/>
      <c r="V1" s="1306"/>
      <c r="W1" s="1306"/>
      <c r="X1" s="1306"/>
      <c r="Y1" s="1306"/>
      <c r="Z1" s="1306"/>
      <c r="AA1" s="1306"/>
      <c r="AB1" s="1306"/>
      <c r="AC1" s="1307"/>
      <c r="AD1" s="736"/>
    </row>
    <row r="2" spans="1:30" s="737" customFormat="1" ht="28.5" customHeight="1">
      <c r="A2" s="573" t="s">
        <v>342</v>
      </c>
      <c r="B2" s="1070">
        <f>F66</f>
        <v>137828</v>
      </c>
      <c r="C2" s="2323"/>
      <c r="D2" s="2323"/>
      <c r="E2" s="2324"/>
      <c r="F2" s="2325"/>
      <c r="G2" s="2324"/>
      <c r="H2" s="2324"/>
      <c r="I2" s="2324"/>
      <c r="J2" s="2324"/>
      <c r="K2" s="2326"/>
      <c r="L2" s="2327"/>
      <c r="M2" s="2328"/>
      <c r="N2" s="2328"/>
      <c r="O2" s="2328"/>
      <c r="P2" s="1306"/>
      <c r="Q2" s="1306"/>
      <c r="R2" s="1306"/>
      <c r="S2" s="1306"/>
      <c r="T2" s="1306"/>
      <c r="U2" s="1306"/>
      <c r="V2" s="1306"/>
      <c r="W2" s="1306"/>
      <c r="X2" s="1306"/>
      <c r="Y2" s="1306"/>
      <c r="Z2" s="1306"/>
      <c r="AA2" s="1306"/>
      <c r="AB2" s="1306"/>
      <c r="AC2" s="1307"/>
      <c r="AD2" s="736"/>
    </row>
    <row r="3" spans="1:30" s="737" customFormat="1" ht="28.5" customHeight="1" thickBot="1">
      <c r="A3" s="575" t="s">
        <v>343</v>
      </c>
      <c r="B3" s="944">
        <f>ROUND(IF(D3="",B2*10000/'数据-汇总表'!E3,B2*10000/D3),0)</f>
        <v>31497</v>
      </c>
      <c r="C3" s="575" t="s">
        <v>2878</v>
      </c>
      <c r="D3" s="3034"/>
      <c r="E3" s="2324"/>
      <c r="F3" s="2325"/>
      <c r="G3" s="2324"/>
      <c r="H3" s="2324"/>
      <c r="I3" s="2324"/>
      <c r="J3" s="2324"/>
      <c r="K3" s="2326"/>
      <c r="L3" s="2327"/>
      <c r="M3" s="2328"/>
      <c r="N3" s="2328"/>
      <c r="O3" s="2328"/>
      <c r="P3" s="1306"/>
      <c r="Q3" s="1306"/>
      <c r="R3" s="1306"/>
      <c r="S3" s="1306"/>
      <c r="T3" s="1306"/>
      <c r="U3" s="1306"/>
      <c r="V3" s="1306"/>
      <c r="W3" s="1306"/>
      <c r="X3" s="1306"/>
      <c r="Y3" s="1306"/>
      <c r="Z3" s="1306"/>
      <c r="AA3" s="1306"/>
      <c r="AB3" s="1398"/>
      <c r="AC3" s="1388"/>
    </row>
    <row r="4" spans="1:30" ht="15">
      <c r="A4" s="740" t="s">
        <v>387</v>
      </c>
      <c r="B4" s="741"/>
      <c r="C4" s="3601" t="s">
        <v>388</v>
      </c>
      <c r="D4" s="3602"/>
      <c r="E4" s="3603" t="s">
        <v>389</v>
      </c>
      <c r="F4" s="3604"/>
      <c r="G4" s="3601" t="s">
        <v>390</v>
      </c>
      <c r="H4" s="3602"/>
      <c r="I4" s="3601" t="s">
        <v>391</v>
      </c>
      <c r="J4" s="3602"/>
      <c r="K4" s="945" t="s">
        <v>392</v>
      </c>
      <c r="L4" s="2329"/>
      <c r="M4" s="2330"/>
      <c r="N4" s="2330"/>
      <c r="O4" s="2330"/>
      <c r="P4" s="3605" t="s">
        <v>393</v>
      </c>
      <c r="Q4" s="3606"/>
      <c r="R4" s="3611" t="s">
        <v>389</v>
      </c>
      <c r="S4" s="3612"/>
      <c r="T4" s="3611" t="s">
        <v>390</v>
      </c>
      <c r="U4" s="3612"/>
      <c r="V4" s="3597" t="s">
        <v>391</v>
      </c>
      <c r="W4" s="3597"/>
      <c r="X4" s="1308"/>
      <c r="Y4" s="3611" t="s">
        <v>393</v>
      </c>
      <c r="Z4" s="3612"/>
      <c r="AA4" s="3598" t="s">
        <v>389</v>
      </c>
      <c r="AB4" s="3599" t="s">
        <v>390</v>
      </c>
      <c r="AC4" s="3598" t="s">
        <v>391</v>
      </c>
    </row>
    <row r="5" spans="1:30" ht="36.75" customHeight="1">
      <c r="A5" s="743"/>
      <c r="B5" s="744"/>
      <c r="C5" s="3624"/>
      <c r="D5" s="3625"/>
      <c r="E5" s="3619" t="s">
        <v>3142</v>
      </c>
      <c r="F5" s="3620"/>
      <c r="G5" s="3619" t="s">
        <v>3143</v>
      </c>
      <c r="H5" s="3620"/>
      <c r="I5" s="3619" t="s">
        <v>3144</v>
      </c>
      <c r="J5" s="3620"/>
      <c r="K5" s="945"/>
      <c r="L5" s="2329"/>
      <c r="M5" s="2330"/>
      <c r="N5" s="2330"/>
      <c r="O5" s="2330"/>
      <c r="P5" s="3607"/>
      <c r="Q5" s="3608"/>
      <c r="R5" s="3613"/>
      <c r="S5" s="3614"/>
      <c r="T5" s="3613"/>
      <c r="U5" s="3614"/>
      <c r="V5" s="3597"/>
      <c r="W5" s="3597"/>
      <c r="X5" s="1308"/>
      <c r="Y5" s="3613"/>
      <c r="Z5" s="3614"/>
      <c r="AA5" s="3599"/>
      <c r="AB5" s="3599"/>
      <c r="AC5" s="3599"/>
    </row>
    <row r="6" spans="1:30" ht="15.75" thickBot="1">
      <c r="A6" s="745"/>
      <c r="B6" s="746"/>
      <c r="C6" s="3626"/>
      <c r="D6" s="3627"/>
      <c r="E6" s="3628" t="s">
        <v>3145</v>
      </c>
      <c r="F6" s="3629"/>
      <c r="G6" s="3617" t="s">
        <v>3146</v>
      </c>
      <c r="H6" s="3618"/>
      <c r="I6" s="3617" t="str">
        <f>G6</f>
        <v>南苑乡</v>
      </c>
      <c r="J6" s="3618"/>
      <c r="K6" s="945" t="s">
        <v>394</v>
      </c>
      <c r="L6" s="2329"/>
      <c r="M6" s="2330"/>
      <c r="N6" s="2330"/>
      <c r="O6" s="2330"/>
      <c r="P6" s="3609"/>
      <c r="Q6" s="3610"/>
      <c r="R6" s="3613"/>
      <c r="S6" s="3614"/>
      <c r="T6" s="3615"/>
      <c r="U6" s="3616"/>
      <c r="V6" s="3597"/>
      <c r="W6" s="3597"/>
      <c r="X6" s="1308"/>
      <c r="Y6" s="3615"/>
      <c r="Z6" s="3616"/>
      <c r="AA6" s="3600"/>
      <c r="AB6" s="3600"/>
      <c r="AC6" s="3600"/>
    </row>
    <row r="7" spans="1:30" s="404" customFormat="1" ht="15.75" thickBot="1">
      <c r="A7" s="747" t="s">
        <v>395</v>
      </c>
      <c r="B7" s="748"/>
      <c r="C7" s="749">
        <f>'数据-取费表'!B2</f>
        <v>43006</v>
      </c>
      <c r="D7" s="750">
        <v>100</v>
      </c>
      <c r="E7" s="751">
        <v>42192</v>
      </c>
      <c r="F7" s="752">
        <f>SUMIF(70:70,YEAR(E7)&amp;"-"&amp;INT((MONTH(E7)+2)/3),71:71)</f>
        <v>96</v>
      </c>
      <c r="G7" s="3361">
        <v>42307</v>
      </c>
      <c r="H7" s="750">
        <f>SUMIF(70:70,YEAR(G7)&amp;"-"&amp;INT((MONTH(G7)+2)/3),71:71)</f>
        <v>96.5</v>
      </c>
      <c r="I7" s="3361">
        <v>42310</v>
      </c>
      <c r="J7" s="750">
        <f>SUMIF(70:70,YEAR(I7)&amp;"-"&amp;INT((MONTH(I7)+2)/3),71:71)</f>
        <v>96.5</v>
      </c>
      <c r="K7" s="946"/>
      <c r="L7" s="2331"/>
      <c r="M7" s="2332"/>
      <c r="N7" s="2332"/>
      <c r="O7" s="2332"/>
      <c r="P7" s="3621" t="s">
        <v>396</v>
      </c>
      <c r="Q7" s="3623"/>
      <c r="R7" s="1309" t="s">
        <v>65</v>
      </c>
      <c r="S7" s="1310">
        <f t="shared" ref="S7:S15" si="0">F7</f>
        <v>96</v>
      </c>
      <c r="T7" s="1309" t="s">
        <v>65</v>
      </c>
      <c r="U7" s="1310">
        <f t="shared" ref="U7:U15" si="1">H7</f>
        <v>96.5</v>
      </c>
      <c r="V7" s="1309" t="s">
        <v>65</v>
      </c>
      <c r="W7" s="1310">
        <f t="shared" ref="W7:W15" si="2">J7</f>
        <v>96.5</v>
      </c>
      <c r="X7" s="1311"/>
      <c r="Y7" s="3621" t="s">
        <v>396</v>
      </c>
      <c r="Z7" s="3622"/>
      <c r="AA7" s="1312">
        <f>D7/F7</f>
        <v>1.0416666666666667</v>
      </c>
      <c r="AB7" s="1312">
        <f>D7/H7</f>
        <v>1.0362694300518134</v>
      </c>
      <c r="AC7" s="1312">
        <f>D7/J7</f>
        <v>1.0362694300518134</v>
      </c>
    </row>
    <row r="8" spans="1:30" s="404" customFormat="1" ht="15.75" thickBot="1">
      <c r="A8" s="747" t="s">
        <v>397</v>
      </c>
      <c r="B8" s="748"/>
      <c r="C8" s="1012" t="s">
        <v>155</v>
      </c>
      <c r="D8" s="750">
        <v>100</v>
      </c>
      <c r="E8" s="1012" t="s">
        <v>155</v>
      </c>
      <c r="F8" s="752">
        <f>SUMIF(73:73,E8,74:74)-SUMIF(73:73,C8,74:74)+100</f>
        <v>100</v>
      </c>
      <c r="G8" s="1012" t="s">
        <v>155</v>
      </c>
      <c r="H8" s="750">
        <f>SUMIF(73:73,G8,74:74)-SUMIF(73:73,C8,74:74)+100</f>
        <v>100</v>
      </c>
      <c r="I8" s="1012" t="s">
        <v>155</v>
      </c>
      <c r="J8" s="750">
        <f>SUMIF(73:73,I8,74:74)-SUMIF(73:73,C8,74:74)+100</f>
        <v>100</v>
      </c>
      <c r="K8" s="946"/>
      <c r="L8" s="2331"/>
      <c r="M8" s="2332"/>
      <c r="N8" s="2332"/>
      <c r="O8" s="2332"/>
      <c r="P8" s="3621" t="s">
        <v>432</v>
      </c>
      <c r="Q8" s="3622"/>
      <c r="R8" s="1309" t="s">
        <v>65</v>
      </c>
      <c r="S8" s="1310">
        <f t="shared" si="0"/>
        <v>100</v>
      </c>
      <c r="T8" s="1309" t="s">
        <v>65</v>
      </c>
      <c r="U8" s="1310">
        <f t="shared" si="1"/>
        <v>100</v>
      </c>
      <c r="V8" s="1309" t="s">
        <v>65</v>
      </c>
      <c r="W8" s="1310">
        <f t="shared" si="2"/>
        <v>100</v>
      </c>
      <c r="X8" s="1311"/>
      <c r="Y8" s="3621" t="s">
        <v>432</v>
      </c>
      <c r="Z8" s="3622"/>
      <c r="AA8" s="1312">
        <f t="shared" ref="AA8:AA45" si="3">D8/F8</f>
        <v>1</v>
      </c>
      <c r="AB8" s="1312">
        <f t="shared" ref="AB8:AB45" si="4">D8/H8</f>
        <v>1</v>
      </c>
      <c r="AC8" s="1312">
        <f t="shared" ref="AC8:AC45" si="5">D8/J8</f>
        <v>1</v>
      </c>
    </row>
    <row r="9" spans="1:30" s="404" customFormat="1" ht="27">
      <c r="A9" s="754" t="s">
        <v>398</v>
      </c>
      <c r="B9" s="359" t="s">
        <v>416</v>
      </c>
      <c r="C9" s="1014" t="s">
        <v>3147</v>
      </c>
      <c r="D9" s="421">
        <v>100</v>
      </c>
      <c r="E9" s="1014" t="s">
        <v>3149</v>
      </c>
      <c r="F9" s="421">
        <f>SUMIF(75:75,E9,76:76)-SUMIF(75:75,C9,76:76)+100</f>
        <v>95</v>
      </c>
      <c r="G9" s="1014" t="s">
        <v>3147</v>
      </c>
      <c r="H9" s="421">
        <f>SUMIF(75:75,G9,76:76)-SUMIF(75:75,C9,76:76)+100</f>
        <v>100</v>
      </c>
      <c r="I9" s="1014" t="s">
        <v>3147</v>
      </c>
      <c r="J9" s="421">
        <f>SUMIF(75:75,I9,76:76)-SUMIF(75:75,C9,76:76)+100</f>
        <v>100</v>
      </c>
      <c r="K9" s="946"/>
      <c r="L9" s="2331"/>
      <c r="M9" s="2332"/>
      <c r="N9" s="2332"/>
      <c r="O9" s="2333"/>
      <c r="P9" s="3592" t="s">
        <v>399</v>
      </c>
      <c r="Q9" s="294" t="str">
        <f t="shared" ref="Q9:Q15" si="6">B9</f>
        <v>用途</v>
      </c>
      <c r="R9" s="1309" t="s">
        <v>65</v>
      </c>
      <c r="S9" s="1310">
        <f t="shared" si="0"/>
        <v>95</v>
      </c>
      <c r="T9" s="1309" t="s">
        <v>65</v>
      </c>
      <c r="U9" s="1310">
        <f t="shared" si="1"/>
        <v>100</v>
      </c>
      <c r="V9" s="1309" t="s">
        <v>65</v>
      </c>
      <c r="W9" s="1310">
        <f t="shared" si="2"/>
        <v>100</v>
      </c>
      <c r="X9" s="1311"/>
      <c r="Y9" s="3478" t="s">
        <v>400</v>
      </c>
      <c r="Z9" s="342" t="str">
        <f t="shared" ref="Z9:Z15" si="7">Q9</f>
        <v>用途</v>
      </c>
      <c r="AA9" s="1312">
        <f t="shared" si="3"/>
        <v>1.0526315789473684</v>
      </c>
      <c r="AB9" s="1312">
        <f t="shared" si="4"/>
        <v>1</v>
      </c>
      <c r="AC9" s="1312">
        <f t="shared" si="5"/>
        <v>1</v>
      </c>
    </row>
    <row r="10" spans="1:30" s="763" customFormat="1" ht="27">
      <c r="A10" s="758"/>
      <c r="B10" s="759" t="s">
        <v>401</v>
      </c>
      <c r="C10" s="768" t="s">
        <v>3151</v>
      </c>
      <c r="D10" s="422">
        <v>100</v>
      </c>
      <c r="E10" s="800" t="s">
        <v>3154</v>
      </c>
      <c r="F10" s="422">
        <f>ROUND(100/'数据-取费表'!G16,0)</f>
        <v>101</v>
      </c>
      <c r="G10" s="800" t="s">
        <v>3154</v>
      </c>
      <c r="H10" s="422">
        <f>ROUND(100/'数据-取费表'!G16,0)</f>
        <v>101</v>
      </c>
      <c r="I10" s="800" t="s">
        <v>3154</v>
      </c>
      <c r="J10" s="422">
        <f>ROUND(100/'数据-取费表'!G16,0)</f>
        <v>101</v>
      </c>
      <c r="K10" s="1071"/>
      <c r="L10" s="2334"/>
      <c r="M10" s="2335"/>
      <c r="N10" s="2335"/>
      <c r="O10" s="2336"/>
      <c r="P10" s="3592"/>
      <c r="Q10" s="294" t="str">
        <f t="shared" si="6"/>
        <v>土地使用年限（年）</v>
      </c>
      <c r="R10" s="1309" t="s">
        <v>65</v>
      </c>
      <c r="S10" s="1310">
        <f t="shared" si="0"/>
        <v>101</v>
      </c>
      <c r="T10" s="1309" t="s">
        <v>65</v>
      </c>
      <c r="U10" s="1310">
        <f t="shared" si="1"/>
        <v>101</v>
      </c>
      <c r="V10" s="1309" t="s">
        <v>65</v>
      </c>
      <c r="W10" s="1310">
        <f t="shared" si="2"/>
        <v>101</v>
      </c>
      <c r="X10" s="1311"/>
      <c r="Y10" s="3478"/>
      <c r="Z10" s="342" t="str">
        <f t="shared" si="7"/>
        <v>土地使用年限（年）</v>
      </c>
      <c r="AA10" s="1312">
        <f t="shared" si="3"/>
        <v>0.99009900990099009</v>
      </c>
      <c r="AB10" s="1312">
        <f t="shared" si="4"/>
        <v>0.99009900990099009</v>
      </c>
      <c r="AC10" s="1312">
        <f t="shared" si="5"/>
        <v>0.99009900990099009</v>
      </c>
    </row>
    <row r="11" spans="1:30" ht="15">
      <c r="A11" s="764"/>
      <c r="B11" s="759" t="s">
        <v>402</v>
      </c>
      <c r="C11" s="765">
        <v>2.8</v>
      </c>
      <c r="D11" s="422">
        <v>100</v>
      </c>
      <c r="E11" s="765">
        <v>2.5</v>
      </c>
      <c r="F11" s="422">
        <f>LOOKUP(E11,80:80,81:81)-LOOKUP(C11,80:80,81:81)+100</f>
        <v>100</v>
      </c>
      <c r="G11" s="766">
        <v>1.92</v>
      </c>
      <c r="H11" s="422">
        <f>LOOKUP(G11,80:80,81:81)-LOOKUP(C11,80:80,81:81)+100</f>
        <v>101</v>
      </c>
      <c r="I11" s="765">
        <v>2.0299999999999998</v>
      </c>
      <c r="J11" s="422">
        <f>LOOKUP(I11,80:80,81:81)-LOOKUP(C11,80:80,81:81)+100</f>
        <v>100</v>
      </c>
      <c r="K11" s="1072">
        <v>1</v>
      </c>
      <c r="L11" s="2337"/>
      <c r="M11" s="2330"/>
      <c r="N11" s="2330"/>
      <c r="O11" s="2338"/>
      <c r="P11" s="3592"/>
      <c r="Q11" s="294" t="str">
        <f t="shared" si="6"/>
        <v>容积率</v>
      </c>
      <c r="R11" s="1309" t="s">
        <v>65</v>
      </c>
      <c r="S11" s="1310">
        <f t="shared" si="0"/>
        <v>100</v>
      </c>
      <c r="T11" s="1309" t="s">
        <v>65</v>
      </c>
      <c r="U11" s="1310">
        <f t="shared" si="1"/>
        <v>101</v>
      </c>
      <c r="V11" s="1309" t="s">
        <v>65</v>
      </c>
      <c r="W11" s="1310">
        <f t="shared" si="2"/>
        <v>100</v>
      </c>
      <c r="X11" s="1311"/>
      <c r="Y11" s="3478"/>
      <c r="Z11" s="342" t="str">
        <f t="shared" si="7"/>
        <v>容积率</v>
      </c>
      <c r="AA11" s="1312">
        <f t="shared" si="3"/>
        <v>1</v>
      </c>
      <c r="AB11" s="1312">
        <f t="shared" si="4"/>
        <v>0.99009900990099009</v>
      </c>
      <c r="AC11" s="1312">
        <f t="shared" si="5"/>
        <v>1</v>
      </c>
    </row>
    <row r="12" spans="1:30" s="404" customFormat="1" ht="15">
      <c r="A12" s="767"/>
      <c r="B12" s="1021" t="s">
        <v>3152</v>
      </c>
      <c r="C12" s="1016" t="s">
        <v>3153</v>
      </c>
      <c r="D12" s="769">
        <v>100</v>
      </c>
      <c r="E12" s="3362" t="s">
        <v>3155</v>
      </c>
      <c r="F12" s="422">
        <f>SUMIF(82:82,E12,83:83)-SUMIF(82:82,C12,83:83)+100</f>
        <v>115</v>
      </c>
      <c r="G12" s="3363" t="s">
        <v>3156</v>
      </c>
      <c r="H12" s="422">
        <f>SUMIF(82:82,G12,83:83)-SUMIF(82:82,C12,83:83)+100</f>
        <v>115</v>
      </c>
      <c r="I12" s="3363" t="s">
        <v>3156</v>
      </c>
      <c r="J12" s="422">
        <f>SUMIF(82:82,I12,83:83)-SUMIF(82:82,C12,83:83)+100</f>
        <v>115</v>
      </c>
      <c r="K12" s="1071"/>
      <c r="L12" s="2331"/>
      <c r="M12" s="2332"/>
      <c r="N12" s="2332"/>
      <c r="O12" s="2333"/>
      <c r="P12" s="3592"/>
      <c r="Q12" s="294" t="str">
        <f t="shared" si="6"/>
        <v>配建</v>
      </c>
      <c r="R12" s="1309" t="s">
        <v>65</v>
      </c>
      <c r="S12" s="1310">
        <f t="shared" si="0"/>
        <v>115</v>
      </c>
      <c r="T12" s="1309" t="s">
        <v>65</v>
      </c>
      <c r="U12" s="1310">
        <f t="shared" si="1"/>
        <v>115</v>
      </c>
      <c r="V12" s="1309" t="s">
        <v>65</v>
      </c>
      <c r="W12" s="1310">
        <f t="shared" si="2"/>
        <v>115</v>
      </c>
      <c r="X12" s="1311"/>
      <c r="Y12" s="3478"/>
      <c r="Z12" s="342" t="str">
        <f t="shared" si="7"/>
        <v>配建</v>
      </c>
      <c r="AA12" s="1312">
        <f>D12/F12</f>
        <v>0.86956521739130432</v>
      </c>
      <c r="AB12" s="1312">
        <f>D12/H12</f>
        <v>0.86956521739130432</v>
      </c>
      <c r="AC12" s="1312">
        <f>D12/J12</f>
        <v>0.86956521739130432</v>
      </c>
    </row>
    <row r="13" spans="1:30" ht="15">
      <c r="A13" s="764"/>
      <c r="B13" s="1021"/>
      <c r="C13" s="93"/>
      <c r="D13" s="771">
        <v>100</v>
      </c>
      <c r="E13" s="124"/>
      <c r="F13" s="422">
        <f>SUMIF(84:84,E13,85:85)-SUMIF(84:84,C13,85:85)+100</f>
        <v>100</v>
      </c>
      <c r="G13" s="3363"/>
      <c r="H13" s="771">
        <f>SUMIF(84:84,G13,85:85)-SUMIF(84:84,C13,85:85)+100</f>
        <v>100</v>
      </c>
      <c r="I13" s="201"/>
      <c r="J13" s="771">
        <f>SUMIF(84:84,I13,85:85)-SUMIF(84:84,C13,85:85)+100</f>
        <v>100</v>
      </c>
      <c r="K13" s="1071"/>
      <c r="L13" s="2339"/>
      <c r="M13" s="2330"/>
      <c r="N13" s="2330"/>
      <c r="O13" s="2338"/>
      <c r="P13" s="3592"/>
      <c r="Q13" s="294">
        <f t="shared" si="6"/>
        <v>0</v>
      </c>
      <c r="R13" s="1309" t="s">
        <v>65</v>
      </c>
      <c r="S13" s="1310">
        <f t="shared" si="0"/>
        <v>100</v>
      </c>
      <c r="T13" s="1309" t="s">
        <v>65</v>
      </c>
      <c r="U13" s="1310">
        <f t="shared" si="1"/>
        <v>100</v>
      </c>
      <c r="V13" s="1309" t="s">
        <v>65</v>
      </c>
      <c r="W13" s="1310">
        <f t="shared" si="2"/>
        <v>100</v>
      </c>
      <c r="X13" s="1311"/>
      <c r="Y13" s="3478"/>
      <c r="Z13" s="342">
        <f t="shared" si="7"/>
        <v>0</v>
      </c>
      <c r="AA13" s="1312">
        <f>D13/F13</f>
        <v>1</v>
      </c>
      <c r="AB13" s="1312">
        <f>D13/H13</f>
        <v>1</v>
      </c>
      <c r="AC13" s="1312">
        <f>D13/J13</f>
        <v>1</v>
      </c>
    </row>
    <row r="14" spans="1:30" ht="15.75" thickBot="1">
      <c r="A14" s="772"/>
      <c r="B14" s="1022"/>
      <c r="C14" s="94"/>
      <c r="D14" s="774">
        <v>100</v>
      </c>
      <c r="E14" s="124"/>
      <c r="F14" s="774">
        <f>SUMIF(86:86,E14,87:87)-SUMIF(86:86,C14,87:87)+100</f>
        <v>100</v>
      </c>
      <c r="G14" s="201"/>
      <c r="H14" s="774">
        <f>SUMIF(86:86,G14,87:87)-SUMIF(86:86,C14,87:87)+100</f>
        <v>100</v>
      </c>
      <c r="I14" s="201"/>
      <c r="J14" s="774">
        <f>SUMIF(86:86,I14,87:87)-SUMIF(86:86,C14,87:87)+100</f>
        <v>100</v>
      </c>
      <c r="K14" s="1071"/>
      <c r="L14" s="2339"/>
      <c r="M14" s="2330"/>
      <c r="N14" s="2330"/>
      <c r="O14" s="2338"/>
      <c r="P14" s="3592"/>
      <c r="Q14" s="294">
        <f t="shared" si="6"/>
        <v>0</v>
      </c>
      <c r="R14" s="1309" t="s">
        <v>65</v>
      </c>
      <c r="S14" s="1310">
        <f t="shared" si="0"/>
        <v>100</v>
      </c>
      <c r="T14" s="1309" t="s">
        <v>65</v>
      </c>
      <c r="U14" s="1310">
        <f t="shared" si="1"/>
        <v>100</v>
      </c>
      <c r="V14" s="1309" t="s">
        <v>65</v>
      </c>
      <c r="W14" s="1310">
        <f t="shared" si="2"/>
        <v>100</v>
      </c>
      <c r="X14" s="1311"/>
      <c r="Y14" s="3478"/>
      <c r="Z14" s="342">
        <f t="shared" si="7"/>
        <v>0</v>
      </c>
      <c r="AA14" s="1312">
        <f>D14/F14</f>
        <v>1</v>
      </c>
      <c r="AB14" s="1312">
        <f>D14/H14</f>
        <v>1</v>
      </c>
      <c r="AC14" s="1312">
        <f>D14/J14</f>
        <v>1</v>
      </c>
    </row>
    <row r="15" spans="1:30" ht="81">
      <c r="A15" s="776" t="s">
        <v>403</v>
      </c>
      <c r="B15" s="357" t="s">
        <v>283</v>
      </c>
      <c r="C15" s="155" t="str">
        <f>估价对象房地状况!C15</f>
        <v>估价对象周边有新安里、双河北里等住宅小区，综合评价居住社区成熟度较好</v>
      </c>
      <c r="D15" s="777">
        <v>100</v>
      </c>
      <c r="E15" s="3364" t="s">
        <v>3157</v>
      </c>
      <c r="F15" s="777">
        <f>SUMIF(88:88,E16,89:89)-SUMIF(88:88,C16,89:89)+100</f>
        <v>98</v>
      </c>
      <c r="G15" s="3364" t="s">
        <v>3158</v>
      </c>
      <c r="H15" s="777">
        <f>SUMIF(88:88,G16,89:89)-SUMIF(88:88,C16,89:89)+100</f>
        <v>98</v>
      </c>
      <c r="I15" s="3364" t="s">
        <v>3158</v>
      </c>
      <c r="J15" s="777">
        <f>SUMIF(88:88,I16,89:89)-SUMIF(88:88,C16,89:89)+100</f>
        <v>98</v>
      </c>
      <c r="K15" s="1072">
        <v>2</v>
      </c>
      <c r="L15" s="2339"/>
      <c r="M15" s="2330"/>
      <c r="N15" s="2330"/>
      <c r="O15" s="2338"/>
      <c r="P15" s="3593" t="s">
        <v>404</v>
      </c>
      <c r="Q15" s="1313" t="str">
        <f t="shared" si="6"/>
        <v>居住社区成熟度</v>
      </c>
      <c r="R15" s="1314" t="s">
        <v>65</v>
      </c>
      <c r="S15" s="1315">
        <f t="shared" si="0"/>
        <v>98</v>
      </c>
      <c r="T15" s="1314" t="s">
        <v>65</v>
      </c>
      <c r="U15" s="1315">
        <f t="shared" si="1"/>
        <v>98</v>
      </c>
      <c r="V15" s="1314" t="s">
        <v>65</v>
      </c>
      <c r="W15" s="1315">
        <f t="shared" si="2"/>
        <v>98</v>
      </c>
      <c r="X15" s="1308"/>
      <c r="Y15" s="3593" t="s">
        <v>404</v>
      </c>
      <c r="Z15" s="1316" t="str">
        <f t="shared" si="7"/>
        <v>居住社区成熟度</v>
      </c>
      <c r="AA15" s="1317">
        <f t="shared" si="3"/>
        <v>1.0204081632653061</v>
      </c>
      <c r="AB15" s="1317">
        <f t="shared" si="4"/>
        <v>1.0204081632653061</v>
      </c>
      <c r="AC15" s="1317">
        <f t="shared" si="5"/>
        <v>1.0204081632653061</v>
      </c>
    </row>
    <row r="16" spans="1:30" ht="15">
      <c r="A16" s="764"/>
      <c r="B16" s="782"/>
      <c r="C16" s="97" t="s">
        <v>3081</v>
      </c>
      <c r="D16" s="784"/>
      <c r="E16" s="3365" t="s">
        <v>3080</v>
      </c>
      <c r="F16" s="784"/>
      <c r="G16" s="3366" t="s">
        <v>3080</v>
      </c>
      <c r="H16" s="786"/>
      <c r="I16" s="3366" t="s">
        <v>3080</v>
      </c>
      <c r="J16" s="784"/>
      <c r="K16" s="1071"/>
      <c r="L16" s="2339"/>
      <c r="M16" s="2330"/>
      <c r="N16" s="2330"/>
      <c r="O16" s="2338"/>
      <c r="P16" s="3594"/>
      <c r="Q16" s="1313"/>
      <c r="R16" s="1314"/>
      <c r="S16" s="1315"/>
      <c r="T16" s="1314"/>
      <c r="U16" s="1315"/>
      <c r="V16" s="1314"/>
      <c r="W16" s="1315"/>
      <c r="X16" s="1308"/>
      <c r="Y16" s="3594"/>
      <c r="Z16" s="1316"/>
      <c r="AA16" s="1317">
        <v>1</v>
      </c>
      <c r="AB16" s="1317">
        <v>1</v>
      </c>
      <c r="AC16" s="1317">
        <v>1</v>
      </c>
    </row>
    <row r="17" spans="1:29" ht="102" customHeight="1">
      <c r="A17" s="764"/>
      <c r="B17" s="787" t="s">
        <v>433</v>
      </c>
      <c r="C17" s="188" t="str">
        <f>估价对象房地状况!C16</f>
        <v>估价对象周边2公里有帝园商城、星城商厦等商业项目，估价对象周边多为住宅配套商业，人流量一般，商业繁华度一般</v>
      </c>
      <c r="D17" s="786">
        <v>100</v>
      </c>
      <c r="E17" s="788"/>
      <c r="F17" s="786">
        <f>SUMIF(90:90,E18,91:91)-SUMIF(90:90,C18,91:91)+100</f>
        <v>100</v>
      </c>
      <c r="G17" s="788"/>
      <c r="H17" s="791">
        <f>SUMIF(90:90,G18,91:91)-SUMIF(90:90,C18,91:91)+100</f>
        <v>100</v>
      </c>
      <c r="I17" s="790"/>
      <c r="J17" s="791">
        <f>SUMIF(90:90,I18,91:91)-SUMIF(90:90,C18,91:91)+100</f>
        <v>100</v>
      </c>
      <c r="K17" s="1072">
        <v>2</v>
      </c>
      <c r="L17" s="2339"/>
      <c r="M17" s="2330"/>
      <c r="N17" s="2330"/>
      <c r="O17" s="2338"/>
      <c r="P17" s="3594"/>
      <c r="Q17" s="1313" t="str">
        <f>B17</f>
        <v>商业繁华度</v>
      </c>
      <c r="R17" s="1314" t="s">
        <v>65</v>
      </c>
      <c r="S17" s="1315">
        <f>F17</f>
        <v>100</v>
      </c>
      <c r="T17" s="1314" t="s">
        <v>65</v>
      </c>
      <c r="U17" s="1315">
        <f>H17</f>
        <v>100</v>
      </c>
      <c r="V17" s="1314" t="s">
        <v>65</v>
      </c>
      <c r="W17" s="1315">
        <f>J17</f>
        <v>100</v>
      </c>
      <c r="X17" s="1308"/>
      <c r="Y17" s="3594"/>
      <c r="Z17" s="1316" t="str">
        <f>Q17</f>
        <v>商业繁华度</v>
      </c>
      <c r="AA17" s="1317">
        <f t="shared" si="3"/>
        <v>1</v>
      </c>
      <c r="AB17" s="1317">
        <f t="shared" si="4"/>
        <v>1</v>
      </c>
      <c r="AC17" s="1317">
        <f t="shared" si="5"/>
        <v>1</v>
      </c>
    </row>
    <row r="18" spans="1:29" ht="15">
      <c r="A18" s="764"/>
      <c r="B18" s="792"/>
      <c r="C18" s="102"/>
      <c r="D18" s="786"/>
      <c r="E18" s="103"/>
      <c r="F18" s="786"/>
      <c r="G18" s="103"/>
      <c r="H18" s="784"/>
      <c r="I18" s="104"/>
      <c r="J18" s="784"/>
      <c r="K18" s="1071"/>
      <c r="L18" s="2339"/>
      <c r="M18" s="2330"/>
      <c r="N18" s="2330"/>
      <c r="O18" s="2338"/>
      <c r="P18" s="3594"/>
      <c r="Q18" s="1313"/>
      <c r="R18" s="1314"/>
      <c r="S18" s="1315"/>
      <c r="T18" s="1314"/>
      <c r="U18" s="1315"/>
      <c r="V18" s="1314"/>
      <c r="W18" s="1315"/>
      <c r="X18" s="1308"/>
      <c r="Y18" s="3594"/>
      <c r="Z18" s="1316"/>
      <c r="AA18" s="1317">
        <v>1</v>
      </c>
      <c r="AB18" s="1317">
        <v>1</v>
      </c>
      <c r="AC18" s="1317">
        <v>1</v>
      </c>
    </row>
    <row r="19" spans="1:29" ht="54">
      <c r="A19" s="764"/>
      <c r="B19" s="787" t="s">
        <v>438</v>
      </c>
      <c r="C19" s="188" t="str">
        <f>估价对象房地状况!C17</f>
        <v>估价对象周边办公楼项目较少，办公集聚程度较差</v>
      </c>
      <c r="D19" s="791">
        <v>100</v>
      </c>
      <c r="E19" s="793"/>
      <c r="F19" s="791">
        <f>SUMIF(92:92,E20,93:93)-SUMIF(92:92,C20,93:93)+100</f>
        <v>100</v>
      </c>
      <c r="G19" s="793"/>
      <c r="H19" s="786">
        <f>SUMIF(92:92,G20,93:93)-SUMIF(92:92,C20,93:93)+100</f>
        <v>100</v>
      </c>
      <c r="I19" s="795"/>
      <c r="J19" s="786">
        <f>SUMIF(92:92,I20,93:93)-SUMIF(92:92,C20,93:93)+100</f>
        <v>100</v>
      </c>
      <c r="K19" s="1072">
        <v>2</v>
      </c>
      <c r="L19" s="2339"/>
      <c r="M19" s="2330"/>
      <c r="N19" s="2330"/>
      <c r="O19" s="2338"/>
      <c r="P19" s="3594"/>
      <c r="Q19" s="1313" t="str">
        <f>B19</f>
        <v>办公集聚程度</v>
      </c>
      <c r="R19" s="1314" t="s">
        <v>65</v>
      </c>
      <c r="S19" s="1315">
        <f>F19</f>
        <v>100</v>
      </c>
      <c r="T19" s="1314" t="s">
        <v>65</v>
      </c>
      <c r="U19" s="1315">
        <f>H19</f>
        <v>100</v>
      </c>
      <c r="V19" s="1314" t="s">
        <v>65</v>
      </c>
      <c r="W19" s="1315">
        <f>J19</f>
        <v>100</v>
      </c>
      <c r="X19" s="1308"/>
      <c r="Y19" s="3594"/>
      <c r="Z19" s="1316" t="str">
        <f>Q19</f>
        <v>办公集聚程度</v>
      </c>
      <c r="AA19" s="1317">
        <f t="shared" si="3"/>
        <v>1</v>
      </c>
      <c r="AB19" s="1317">
        <f t="shared" si="4"/>
        <v>1</v>
      </c>
      <c r="AC19" s="1317">
        <f t="shared" si="5"/>
        <v>1</v>
      </c>
    </row>
    <row r="20" spans="1:29" ht="15">
      <c r="A20" s="764"/>
      <c r="B20" s="792"/>
      <c r="C20" s="97"/>
      <c r="D20" s="784"/>
      <c r="E20" s="98"/>
      <c r="F20" s="784"/>
      <c r="G20" s="98"/>
      <c r="H20" s="784"/>
      <c r="I20" s="99"/>
      <c r="J20" s="784"/>
      <c r="K20" s="1071"/>
      <c r="L20" s="2339"/>
      <c r="M20" s="2330"/>
      <c r="N20" s="2330"/>
      <c r="O20" s="2338"/>
      <c r="P20" s="3594"/>
      <c r="Q20" s="1313"/>
      <c r="R20" s="1314"/>
      <c r="S20" s="1315"/>
      <c r="T20" s="1314"/>
      <c r="U20" s="1315"/>
      <c r="V20" s="1314"/>
      <c r="W20" s="1315"/>
      <c r="X20" s="1308"/>
      <c r="Y20" s="3594"/>
      <c r="Z20" s="1316"/>
      <c r="AA20" s="1317">
        <v>1</v>
      </c>
      <c r="AB20" s="1317">
        <v>1</v>
      </c>
      <c r="AC20" s="1317">
        <v>1</v>
      </c>
    </row>
    <row r="21" spans="1:29" ht="69">
      <c r="A21" s="764"/>
      <c r="B21" s="787" t="s">
        <v>453</v>
      </c>
      <c r="C21" s="156" t="str">
        <f>估价对象房地状况!C18</f>
        <v>估价对象周边有849、兴23路等公交线路，综合评价交通便捷度一般</v>
      </c>
      <c r="D21" s="786">
        <v>100</v>
      </c>
      <c r="E21" s="788" t="s">
        <v>3159</v>
      </c>
      <c r="F21" s="791">
        <f>SUMIF(94:94,E22,95:95)-SUMIF(94:94,C22,95:95)+100</f>
        <v>100</v>
      </c>
      <c r="G21" s="788" t="s">
        <v>3162</v>
      </c>
      <c r="H21" s="786">
        <f>SUMIF(94:94,G22,95:95)-SUMIF(94:94,C22,95:95)+100</f>
        <v>101</v>
      </c>
      <c r="I21" s="788" t="s">
        <v>3165</v>
      </c>
      <c r="J21" s="786">
        <f>SUMIF(94:94,I22,95:95)-SUMIF(94:94,C22,95:95)+100</f>
        <v>101</v>
      </c>
      <c r="K21" s="1072">
        <v>1</v>
      </c>
      <c r="L21" s="2339"/>
      <c r="M21" s="2330"/>
      <c r="N21" s="2330"/>
      <c r="O21" s="2338"/>
      <c r="P21" s="3594"/>
      <c r="Q21" s="1313" t="str">
        <f>B21</f>
        <v>交通便捷度</v>
      </c>
      <c r="R21" s="1314" t="s">
        <v>65</v>
      </c>
      <c r="S21" s="1315">
        <f>F21</f>
        <v>100</v>
      </c>
      <c r="T21" s="1314" t="s">
        <v>65</v>
      </c>
      <c r="U21" s="1315">
        <f>H21</f>
        <v>101</v>
      </c>
      <c r="V21" s="1314" t="s">
        <v>65</v>
      </c>
      <c r="W21" s="1315">
        <f>J21</f>
        <v>101</v>
      </c>
      <c r="X21" s="1308"/>
      <c r="Y21" s="3594"/>
      <c r="Z21" s="1316" t="str">
        <f>Q21</f>
        <v>交通便捷度</v>
      </c>
      <c r="AA21" s="1317">
        <f t="shared" si="3"/>
        <v>1</v>
      </c>
      <c r="AB21" s="1317">
        <f t="shared" si="4"/>
        <v>0.99009900990099009</v>
      </c>
      <c r="AC21" s="1317">
        <f t="shared" si="5"/>
        <v>0.99009900990099009</v>
      </c>
    </row>
    <row r="22" spans="1:29" ht="15">
      <c r="A22" s="764"/>
      <c r="B22" s="2750"/>
      <c r="C22" s="97" t="s">
        <v>3080</v>
      </c>
      <c r="D22" s="786"/>
      <c r="E22" s="3365" t="s">
        <v>3080</v>
      </c>
      <c r="F22" s="784"/>
      <c r="G22" s="3366" t="s">
        <v>3081</v>
      </c>
      <c r="H22" s="784"/>
      <c r="I22" s="3366" t="s">
        <v>3081</v>
      </c>
      <c r="J22" s="784"/>
      <c r="K22" s="1071"/>
      <c r="L22" s="2339"/>
      <c r="M22" s="2330"/>
      <c r="N22" s="2330"/>
      <c r="O22" s="2338"/>
      <c r="P22" s="3594"/>
      <c r="Q22" s="1313"/>
      <c r="R22" s="1314"/>
      <c r="S22" s="1315"/>
      <c r="T22" s="1314"/>
      <c r="U22" s="1315"/>
      <c r="V22" s="1314"/>
      <c r="W22" s="1315"/>
      <c r="X22" s="1308"/>
      <c r="Y22" s="3594"/>
      <c r="Z22" s="1316"/>
      <c r="AA22" s="1317">
        <v>1</v>
      </c>
      <c r="AB22" s="1317">
        <v>1</v>
      </c>
      <c r="AC22" s="1317">
        <v>1</v>
      </c>
    </row>
    <row r="23" spans="1:29" ht="27">
      <c r="A23" s="743"/>
      <c r="B23" s="787" t="s">
        <v>480</v>
      </c>
      <c r="C23" s="2755">
        <f>估价对象房地状况!C19</f>
        <v>0</v>
      </c>
      <c r="D23" s="791">
        <v>100</v>
      </c>
      <c r="E23" s="788"/>
      <c r="F23" s="791">
        <f>SUMIF(96:96,E24,97:97)-SUMIF(96:96,C24,97:97)+100</f>
        <v>100</v>
      </c>
      <c r="G23" s="790"/>
      <c r="H23" s="791">
        <f>SUMIF(96:96,G24,97:97)-SUMIF(96:96,C24,97:97)+100</f>
        <v>100</v>
      </c>
      <c r="I23" s="790"/>
      <c r="J23" s="791">
        <f>SUMIF(96:96,I24,97:97)-SUMIF(96:96,C24,97:97)+100</f>
        <v>100</v>
      </c>
      <c r="K23" s="1072">
        <v>1</v>
      </c>
      <c r="L23" s="2339"/>
      <c r="M23" s="2330"/>
      <c r="N23" s="2330"/>
      <c r="O23" s="2338"/>
      <c r="P23" s="3594"/>
      <c r="Q23" s="1313" t="str">
        <f t="shared" ref="Q23:Q37" si="8">B23</f>
        <v>区域土地利用方向</v>
      </c>
      <c r="R23" s="1314" t="s">
        <v>65</v>
      </c>
      <c r="S23" s="1315">
        <f>F23</f>
        <v>100</v>
      </c>
      <c r="T23" s="1314" t="s">
        <v>65</v>
      </c>
      <c r="U23" s="1315">
        <f>H23</f>
        <v>100</v>
      </c>
      <c r="V23" s="1314" t="s">
        <v>65</v>
      </c>
      <c r="W23" s="1315">
        <f>J23</f>
        <v>100</v>
      </c>
      <c r="X23" s="1308"/>
      <c r="Y23" s="3594"/>
      <c r="Z23" s="1316" t="str">
        <f>Q23</f>
        <v>区域土地利用方向</v>
      </c>
      <c r="AA23" s="1317">
        <f t="shared" si="3"/>
        <v>1</v>
      </c>
      <c r="AB23" s="1317">
        <f t="shared" si="4"/>
        <v>1</v>
      </c>
      <c r="AC23" s="1317">
        <f t="shared" si="5"/>
        <v>1</v>
      </c>
    </row>
    <row r="24" spans="1:29" ht="15">
      <c r="A24" s="743"/>
      <c r="B24" s="792"/>
      <c r="C24" s="180" t="s">
        <v>3081</v>
      </c>
      <c r="D24" s="784"/>
      <c r="E24" s="3365" t="s">
        <v>3081</v>
      </c>
      <c r="F24" s="784"/>
      <c r="G24" s="3366" t="s">
        <v>3081</v>
      </c>
      <c r="H24" s="784"/>
      <c r="I24" s="3366" t="s">
        <v>3081</v>
      </c>
      <c r="J24" s="784"/>
      <c r="K24" s="1468"/>
      <c r="L24" s="2339"/>
      <c r="M24" s="2330"/>
      <c r="N24" s="2330"/>
      <c r="O24" s="2338"/>
      <c r="P24" s="3594"/>
      <c r="Q24" s="1459"/>
      <c r="R24" s="1314"/>
      <c r="S24" s="1315"/>
      <c r="T24" s="1314"/>
      <c r="U24" s="1315"/>
      <c r="V24" s="1314"/>
      <c r="W24" s="1315"/>
      <c r="X24" s="1458"/>
      <c r="Y24" s="3594"/>
      <c r="Z24" s="1460"/>
      <c r="AA24" s="1317"/>
      <c r="AB24" s="1317"/>
      <c r="AC24" s="1317"/>
    </row>
    <row r="25" spans="1:29" ht="67.5">
      <c r="A25" s="743"/>
      <c r="B25" s="2750" t="s">
        <v>481</v>
      </c>
      <c r="C25" s="188" t="str">
        <f>估价对象房地状况!C20</f>
        <v>周边有北京广播电视大学、康庄公园；综合评价环境状况较好</v>
      </c>
      <c r="D25" s="786">
        <v>100</v>
      </c>
      <c r="E25" s="3367" t="s">
        <v>3160</v>
      </c>
      <c r="F25" s="786">
        <f>SUMIF(98:98,E26,99:99)-SUMIF(98:98,C26,99:99)+100</f>
        <v>99</v>
      </c>
      <c r="G25" s="3367" t="s">
        <v>3163</v>
      </c>
      <c r="H25" s="786">
        <f>SUMIF(98:98,G26,99:99)-SUMIF(98:98,C26,99:99)+100</f>
        <v>99</v>
      </c>
      <c r="I25" s="3367" t="s">
        <v>3166</v>
      </c>
      <c r="J25" s="786">
        <f>SUMIF(98:98,I26,99:99)-SUMIF(98:98,C26,99:99)+100</f>
        <v>99</v>
      </c>
      <c r="K25" s="1072">
        <v>1</v>
      </c>
      <c r="L25" s="2339"/>
      <c r="M25" s="2330"/>
      <c r="N25" s="2330"/>
      <c r="O25" s="2338"/>
      <c r="P25" s="3594"/>
      <c r="Q25" s="1313" t="str">
        <f t="shared" si="8"/>
        <v>自然及人文环境状况</v>
      </c>
      <c r="R25" s="1314" t="s">
        <v>65</v>
      </c>
      <c r="S25" s="1315">
        <f>F25</f>
        <v>99</v>
      </c>
      <c r="T25" s="1314" t="s">
        <v>65</v>
      </c>
      <c r="U25" s="1315">
        <f>H25</f>
        <v>99</v>
      </c>
      <c r="V25" s="1314" t="s">
        <v>65</v>
      </c>
      <c r="W25" s="1315">
        <f>J25</f>
        <v>99</v>
      </c>
      <c r="X25" s="1308"/>
      <c r="Y25" s="3594"/>
      <c r="Z25" s="1316" t="str">
        <f>Q25</f>
        <v>自然及人文环境状况</v>
      </c>
      <c r="AA25" s="1317">
        <f t="shared" si="3"/>
        <v>1.0101010101010102</v>
      </c>
      <c r="AB25" s="1317">
        <f t="shared" si="4"/>
        <v>1.0101010101010102</v>
      </c>
      <c r="AC25" s="1317">
        <f t="shared" si="5"/>
        <v>1.0101010101010102</v>
      </c>
    </row>
    <row r="26" spans="1:29" ht="15">
      <c r="A26" s="743"/>
      <c r="B26" s="792"/>
      <c r="C26" s="97" t="s">
        <v>3081</v>
      </c>
      <c r="D26" s="784"/>
      <c r="E26" s="3368" t="s">
        <v>3080</v>
      </c>
      <c r="F26" s="784"/>
      <c r="G26" s="783" t="s">
        <v>3080</v>
      </c>
      <c r="H26" s="784"/>
      <c r="I26" s="783" t="s">
        <v>3080</v>
      </c>
      <c r="J26" s="784"/>
      <c r="K26" s="1071"/>
      <c r="L26" s="2339"/>
      <c r="M26" s="2330"/>
      <c r="N26" s="2330"/>
      <c r="O26" s="2338"/>
      <c r="P26" s="3594"/>
      <c r="Q26" s="1313"/>
      <c r="R26" s="1314"/>
      <c r="S26" s="1315"/>
      <c r="T26" s="1314"/>
      <c r="U26" s="1315"/>
      <c r="V26" s="1314"/>
      <c r="W26" s="1315"/>
      <c r="X26" s="1308"/>
      <c r="Y26" s="3594"/>
      <c r="Z26" s="1316"/>
      <c r="AA26" s="1317">
        <v>1</v>
      </c>
      <c r="AB26" s="1317">
        <v>1</v>
      </c>
      <c r="AC26" s="1317">
        <v>1</v>
      </c>
    </row>
    <row r="27" spans="1:29" s="404" customFormat="1" ht="54">
      <c r="A27" s="984"/>
      <c r="B27" s="1401" t="s">
        <v>2660</v>
      </c>
      <c r="C27" s="156" t="str">
        <f>估价对象房地状况!C21</f>
        <v>估价对象所在区域公共配套设施齐备较齐备</v>
      </c>
      <c r="D27" s="786">
        <v>100</v>
      </c>
      <c r="E27" s="3367"/>
      <c r="F27" s="786">
        <f>SUMIF(100:100,E28,101:101)-SUMIF(100:100,C28,101:101)+100</f>
        <v>99</v>
      </c>
      <c r="G27" s="788"/>
      <c r="H27" s="786">
        <f>SUMIF(100:100,G28,101:101)-SUMIF(100:100,C28,101:101)+100</f>
        <v>100</v>
      </c>
      <c r="I27" s="790"/>
      <c r="J27" s="786">
        <f>SUMIF(100:100,I28,101:101)-SUMIF(100:100,C28,101:101)+100</f>
        <v>100</v>
      </c>
      <c r="K27" s="1072">
        <v>1</v>
      </c>
      <c r="L27" s="2331"/>
      <c r="M27" s="2332"/>
      <c r="N27" s="2332"/>
      <c r="O27" s="2333"/>
      <c r="P27" s="3594"/>
      <c r="Q27" s="294" t="str">
        <f t="shared" si="8"/>
        <v>公共配套设施</v>
      </c>
      <c r="R27" s="1309" t="s">
        <v>65</v>
      </c>
      <c r="S27" s="1310">
        <f>F27</f>
        <v>99</v>
      </c>
      <c r="T27" s="1309" t="s">
        <v>65</v>
      </c>
      <c r="U27" s="1310">
        <f>H27</f>
        <v>100</v>
      </c>
      <c r="V27" s="1309" t="s">
        <v>65</v>
      </c>
      <c r="W27" s="1310">
        <f>J27</f>
        <v>100</v>
      </c>
      <c r="X27" s="1311"/>
      <c r="Y27" s="3594"/>
      <c r="Z27" s="342" t="str">
        <f>Q27</f>
        <v>公共配套设施</v>
      </c>
      <c r="AA27" s="1317">
        <f>D27/F27</f>
        <v>1.0101010101010102</v>
      </c>
      <c r="AB27" s="1317">
        <f>D27/H27</f>
        <v>1</v>
      </c>
      <c r="AC27" s="1317">
        <f>D27/J27</f>
        <v>1</v>
      </c>
    </row>
    <row r="28" spans="1:29" s="404" customFormat="1" ht="15">
      <c r="A28" s="984"/>
      <c r="B28" s="792"/>
      <c r="C28" s="2756" t="s">
        <v>3081</v>
      </c>
      <c r="D28" s="784"/>
      <c r="E28" s="190" t="s">
        <v>3080</v>
      </c>
      <c r="F28" s="784"/>
      <c r="G28" s="190" t="s">
        <v>3081</v>
      </c>
      <c r="H28" s="784"/>
      <c r="I28" s="97" t="s">
        <v>3081</v>
      </c>
      <c r="J28" s="784"/>
      <c r="K28" s="1071"/>
      <c r="L28" s="2331"/>
      <c r="M28" s="2332"/>
      <c r="N28" s="2332"/>
      <c r="O28" s="2333"/>
      <c r="P28" s="3594"/>
      <c r="Q28" s="294"/>
      <c r="R28" s="1309"/>
      <c r="S28" s="1310"/>
      <c r="T28" s="1309"/>
      <c r="U28" s="1310"/>
      <c r="V28" s="1309"/>
      <c r="W28" s="1310"/>
      <c r="X28" s="1311"/>
      <c r="Y28" s="3594"/>
      <c r="Z28" s="342"/>
      <c r="AA28" s="1317">
        <v>1</v>
      </c>
      <c r="AB28" s="1317">
        <v>1</v>
      </c>
      <c r="AC28" s="1317">
        <v>1</v>
      </c>
    </row>
    <row r="29" spans="1:29" s="404" customFormat="1" ht="27">
      <c r="A29" s="984"/>
      <c r="B29" s="1401" t="s">
        <v>2661</v>
      </c>
      <c r="C29" s="156" t="str">
        <f>估价对象房地状况!C22</f>
        <v>区域基础设施水平达七通</v>
      </c>
      <c r="D29" s="786">
        <v>100</v>
      </c>
      <c r="E29" s="788"/>
      <c r="F29" s="786">
        <f>SUMIF(102:102,E30,103:103)-SUMIF(102:102,C30,103:103)+100</f>
        <v>100</v>
      </c>
      <c r="G29" s="788"/>
      <c r="H29" s="786">
        <f>SUMIF(102:102,G30,103:103)-SUMIF(102:102,C30,103:103)+100</f>
        <v>100</v>
      </c>
      <c r="I29" s="790"/>
      <c r="J29" s="786">
        <f>SUMIF(102:102,I30,103:103)-SUMIF(102:102,C30,103:103)+100</f>
        <v>100</v>
      </c>
      <c r="K29" s="1072">
        <v>1</v>
      </c>
      <c r="L29" s="2331"/>
      <c r="M29" s="2332"/>
      <c r="N29" s="2332"/>
      <c r="O29" s="2333"/>
      <c r="P29" s="3594"/>
      <c r="Q29" s="2725" t="str">
        <f t="shared" ref="Q29" si="9">B29</f>
        <v>基础设施水平</v>
      </c>
      <c r="R29" s="1309" t="s">
        <v>65</v>
      </c>
      <c r="S29" s="1310">
        <f>F29</f>
        <v>100</v>
      </c>
      <c r="T29" s="1309" t="s">
        <v>65</v>
      </c>
      <c r="U29" s="1310">
        <f>H29</f>
        <v>100</v>
      </c>
      <c r="V29" s="1309" t="s">
        <v>65</v>
      </c>
      <c r="W29" s="1310">
        <f>J29</f>
        <v>100</v>
      </c>
      <c r="X29" s="1311"/>
      <c r="Y29" s="3594"/>
      <c r="Z29" s="342" t="str">
        <f>Q29</f>
        <v>基础设施水平</v>
      </c>
      <c r="AA29" s="1317">
        <f>D29/F29</f>
        <v>1</v>
      </c>
      <c r="AB29" s="1317">
        <f>D29/H29</f>
        <v>1</v>
      </c>
      <c r="AC29" s="1317">
        <f>D29/J29</f>
        <v>1</v>
      </c>
    </row>
    <row r="30" spans="1:29" s="404" customFormat="1" ht="15">
      <c r="A30" s="984"/>
      <c r="B30" s="792"/>
      <c r="C30" s="2756" t="s">
        <v>3082</v>
      </c>
      <c r="D30" s="784"/>
      <c r="E30" s="1027" t="s">
        <v>3082</v>
      </c>
      <c r="F30" s="784"/>
      <c r="G30" s="1027" t="s">
        <v>3082</v>
      </c>
      <c r="H30" s="784"/>
      <c r="I30" s="1027" t="s">
        <v>3082</v>
      </c>
      <c r="J30" s="784"/>
      <c r="K30" s="1071"/>
      <c r="L30" s="2331"/>
      <c r="M30" s="2332"/>
      <c r="N30" s="2332"/>
      <c r="O30" s="2333"/>
      <c r="P30" s="3594"/>
      <c r="Q30" s="2725"/>
      <c r="R30" s="1309"/>
      <c r="S30" s="1310"/>
      <c r="T30" s="1309"/>
      <c r="U30" s="1310"/>
      <c r="V30" s="1309"/>
      <c r="W30" s="1310"/>
      <c r="X30" s="1311"/>
      <c r="Y30" s="3594"/>
      <c r="Z30" s="342"/>
      <c r="AA30" s="1317">
        <v>1</v>
      </c>
      <c r="AB30" s="1317">
        <v>1</v>
      </c>
      <c r="AC30" s="1317">
        <v>1</v>
      </c>
    </row>
    <row r="31" spans="1:29" ht="15">
      <c r="A31" s="764"/>
      <c r="B31" s="792" t="s">
        <v>434</v>
      </c>
      <c r="C31" s="180" t="s">
        <v>3083</v>
      </c>
      <c r="D31" s="771">
        <v>100</v>
      </c>
      <c r="E31" s="969" t="s">
        <v>3083</v>
      </c>
      <c r="F31" s="771">
        <f>SUMIF(104:104,E31,105:105)-SUMIF(104:104,C31,105:105)+100</f>
        <v>100</v>
      </c>
      <c r="G31" s="969" t="s">
        <v>3106</v>
      </c>
      <c r="H31" s="771">
        <f>SUMIF(104:104,G31,105:105)-SUMIF(104:104,C31,105:105)+100</f>
        <v>99</v>
      </c>
      <c r="I31" s="969" t="s">
        <v>3106</v>
      </c>
      <c r="J31" s="771">
        <f>SUMIF(104:104,I31,105:105)-SUMIF(104:104,C31,105:105)+100</f>
        <v>99</v>
      </c>
      <c r="K31" s="1072">
        <v>0.5</v>
      </c>
      <c r="L31" s="2339"/>
      <c r="M31" s="2330"/>
      <c r="N31" s="2330"/>
      <c r="O31" s="2338"/>
      <c r="P31" s="3594"/>
      <c r="Q31" s="1313" t="str">
        <f t="shared" si="8"/>
        <v>临街状况</v>
      </c>
      <c r="R31" s="1314" t="s">
        <v>65</v>
      </c>
      <c r="S31" s="1315">
        <f t="shared" ref="S31:S45" si="10">F31</f>
        <v>100</v>
      </c>
      <c r="T31" s="1314" t="s">
        <v>65</v>
      </c>
      <c r="U31" s="1315">
        <f t="shared" ref="U31:U45" si="11">H31</f>
        <v>99</v>
      </c>
      <c r="V31" s="1314" t="s">
        <v>65</v>
      </c>
      <c r="W31" s="1315">
        <f t="shared" ref="W31:W45" si="12">J31</f>
        <v>99</v>
      </c>
      <c r="X31" s="1308"/>
      <c r="Y31" s="3594"/>
      <c r="Z31" s="1316" t="str">
        <f t="shared" ref="Z31:Z45" si="13">Q31</f>
        <v>临街状况</v>
      </c>
      <c r="AA31" s="1317">
        <f t="shared" si="3"/>
        <v>1</v>
      </c>
      <c r="AB31" s="1317">
        <f t="shared" si="4"/>
        <v>1.0101010101010102</v>
      </c>
      <c r="AC31" s="1317">
        <f t="shared" si="5"/>
        <v>1.0101010101010102</v>
      </c>
    </row>
    <row r="32" spans="1:29" ht="27.75" thickBot="1">
      <c r="A32" s="764"/>
      <c r="B32" s="2750" t="s">
        <v>439</v>
      </c>
      <c r="C32" s="3353" t="s">
        <v>3079</v>
      </c>
      <c r="D32" s="786">
        <v>100</v>
      </c>
      <c r="E32" s="788" t="s">
        <v>3161</v>
      </c>
      <c r="F32" s="786">
        <f>SUMIF(106:106,E33,107:107)-SUMIF(106:106,C33,107:107)+100</f>
        <v>100</v>
      </c>
      <c r="G32" s="3371" t="s">
        <v>3164</v>
      </c>
      <c r="H32" s="786">
        <f>SUMIF(106:106,G33,107:107)-SUMIF(106:106,C33,107:107)+100</f>
        <v>98</v>
      </c>
      <c r="I32" s="3371" t="s">
        <v>3164</v>
      </c>
      <c r="J32" s="786">
        <f>SUMIF(106:106,I33,107:107)-SUMIF(106:106,C33,107:107)+100</f>
        <v>98</v>
      </c>
      <c r="K32" s="1072">
        <v>2</v>
      </c>
      <c r="L32" s="2339"/>
      <c r="M32" s="2330"/>
      <c r="N32" s="2330"/>
      <c r="O32" s="2338"/>
      <c r="P32" s="3594"/>
      <c r="Q32" s="1313" t="str">
        <f t="shared" si="8"/>
        <v>毗邻道路的类型与等级</v>
      </c>
      <c r="R32" s="1314" t="s">
        <v>65</v>
      </c>
      <c r="S32" s="1315">
        <f t="shared" si="10"/>
        <v>100</v>
      </c>
      <c r="T32" s="1314" t="s">
        <v>65</v>
      </c>
      <c r="U32" s="1315">
        <f t="shared" si="11"/>
        <v>98</v>
      </c>
      <c r="V32" s="1314" t="s">
        <v>65</v>
      </c>
      <c r="W32" s="1315">
        <f t="shared" si="12"/>
        <v>98</v>
      </c>
      <c r="X32" s="1308"/>
      <c r="Y32" s="3594"/>
      <c r="Z32" s="1316" t="str">
        <f t="shared" si="13"/>
        <v>毗邻道路的类型与等级</v>
      </c>
      <c r="AA32" s="1317">
        <f t="shared" si="3"/>
        <v>1</v>
      </c>
      <c r="AB32" s="1317">
        <f t="shared" si="4"/>
        <v>1.0204081632653061</v>
      </c>
      <c r="AC32" s="1317">
        <f t="shared" si="5"/>
        <v>1.0204081632653061</v>
      </c>
    </row>
    <row r="33" spans="1:29" ht="15">
      <c r="A33" s="764"/>
      <c r="B33" s="792"/>
      <c r="C33" s="97" t="s">
        <v>3087</v>
      </c>
      <c r="D33" s="784"/>
      <c r="E33" s="3368" t="s">
        <v>3087</v>
      </c>
      <c r="F33" s="784"/>
      <c r="G33" s="783" t="s">
        <v>3089</v>
      </c>
      <c r="H33" s="784"/>
      <c r="I33" s="783" t="s">
        <v>3089</v>
      </c>
      <c r="J33" s="784"/>
      <c r="K33" s="948"/>
      <c r="L33" s="2339"/>
      <c r="M33" s="2330"/>
      <c r="N33" s="2330"/>
      <c r="O33" s="2338"/>
      <c r="P33" s="3594"/>
      <c r="Q33" s="1313"/>
      <c r="R33" s="1314"/>
      <c r="S33" s="1315"/>
      <c r="T33" s="1314"/>
      <c r="U33" s="1315"/>
      <c r="V33" s="1314"/>
      <c r="W33" s="1315"/>
      <c r="X33" s="1308"/>
      <c r="Y33" s="3594"/>
      <c r="Z33" s="1316"/>
      <c r="AA33" s="1317">
        <v>1</v>
      </c>
      <c r="AB33" s="1317">
        <v>1</v>
      </c>
      <c r="AC33" s="1317">
        <v>1</v>
      </c>
    </row>
    <row r="34" spans="1:29" ht="15">
      <c r="A34" s="764"/>
      <c r="B34" s="759" t="s">
        <v>482</v>
      </c>
      <c r="C34" s="180"/>
      <c r="D34" s="771">
        <v>100</v>
      </c>
      <c r="E34" s="193"/>
      <c r="F34" s="771">
        <f>SUMIF(108:108,E34,109:109)-SUMIF(108:108,C34,109:109)+100</f>
        <v>100</v>
      </c>
      <c r="G34" s="193"/>
      <c r="H34" s="771">
        <f>SUMIF(108:108,G34,109:109)-SUMIF(108:108,C34,109:109)+100</f>
        <v>100</v>
      </c>
      <c r="I34" s="180"/>
      <c r="J34" s="771">
        <f>SUMIF(108:108,I34,109:109)-SUMIF(108:108,C34,109:109)+100</f>
        <v>100</v>
      </c>
      <c r="K34" s="947"/>
      <c r="L34" s="2339"/>
      <c r="M34" s="2330"/>
      <c r="N34" s="2330"/>
      <c r="O34" s="2338"/>
      <c r="P34" s="3594"/>
      <c r="Q34" s="1313" t="str">
        <f t="shared" si="8"/>
        <v>土地级别</v>
      </c>
      <c r="R34" s="1314" t="s">
        <v>65</v>
      </c>
      <c r="S34" s="1315">
        <f t="shared" si="10"/>
        <v>100</v>
      </c>
      <c r="T34" s="1314" t="s">
        <v>65</v>
      </c>
      <c r="U34" s="1315">
        <f t="shared" si="11"/>
        <v>100</v>
      </c>
      <c r="V34" s="1314" t="s">
        <v>65</v>
      </c>
      <c r="W34" s="1315">
        <f t="shared" si="12"/>
        <v>100</v>
      </c>
      <c r="X34" s="1308"/>
      <c r="Y34" s="3594"/>
      <c r="Z34" s="1316" t="str">
        <f t="shared" si="13"/>
        <v>土地级别</v>
      </c>
      <c r="AA34" s="1317">
        <f t="shared" si="3"/>
        <v>1</v>
      </c>
      <c r="AB34" s="1317">
        <f t="shared" si="4"/>
        <v>1</v>
      </c>
      <c r="AC34" s="1317">
        <f t="shared" si="5"/>
        <v>1</v>
      </c>
    </row>
    <row r="35" spans="1:29" ht="15">
      <c r="A35" s="743"/>
      <c r="B35" s="2752"/>
      <c r="C35" s="1073"/>
      <c r="D35" s="771">
        <v>100</v>
      </c>
      <c r="E35" s="812"/>
      <c r="F35" s="771">
        <f>SUMIF(110:110,E35,111:111)-SUMIF(110:110,C35,111:111)+100</f>
        <v>100</v>
      </c>
      <c r="G35" s="812"/>
      <c r="H35" s="771">
        <f>SUMIF(110:110,G35,111:111)-SUMIF(110:110,C35,111:111)+100</f>
        <v>100</v>
      </c>
      <c r="I35" s="1073"/>
      <c r="J35" s="771">
        <f>SUMIF(110:110,I35,111:111)-SUMIF(110:110,C35,111:111)+100</f>
        <v>100</v>
      </c>
      <c r="K35" s="948"/>
      <c r="L35" s="2339"/>
      <c r="M35" s="2330"/>
      <c r="N35" s="2330"/>
      <c r="O35" s="2338"/>
      <c r="P35" s="3594"/>
      <c r="Q35" s="1313">
        <f t="shared" si="8"/>
        <v>0</v>
      </c>
      <c r="R35" s="1314" t="s">
        <v>65</v>
      </c>
      <c r="S35" s="1315">
        <f t="shared" si="10"/>
        <v>100</v>
      </c>
      <c r="T35" s="1314" t="s">
        <v>65</v>
      </c>
      <c r="U35" s="1315">
        <f t="shared" si="11"/>
        <v>100</v>
      </c>
      <c r="V35" s="1314" t="s">
        <v>65</v>
      </c>
      <c r="W35" s="1315">
        <f t="shared" si="12"/>
        <v>100</v>
      </c>
      <c r="X35" s="1308"/>
      <c r="Y35" s="3594"/>
      <c r="Z35" s="1316">
        <f t="shared" si="13"/>
        <v>0</v>
      </c>
      <c r="AA35" s="1317">
        <f t="shared" si="3"/>
        <v>1</v>
      </c>
      <c r="AB35" s="1317">
        <f t="shared" si="4"/>
        <v>1</v>
      </c>
      <c r="AC35" s="1317">
        <f t="shared" si="5"/>
        <v>1</v>
      </c>
    </row>
    <row r="36" spans="1:29" ht="15">
      <c r="A36" s="1074"/>
      <c r="B36" s="2753"/>
      <c r="C36" s="1073"/>
      <c r="D36" s="771">
        <v>100</v>
      </c>
      <c r="E36" s="812"/>
      <c r="F36" s="771">
        <f>SUMIF(112:112,E37,113:113)-SUMIF(112:112,C37,113:113)+100</f>
        <v>100</v>
      </c>
      <c r="G36" s="812"/>
      <c r="H36" s="771">
        <f>SUMIF(112:112,G36,113:113)-SUMIF(112:112,C36,113:113)+100</f>
        <v>100</v>
      </c>
      <c r="I36" s="1073"/>
      <c r="J36" s="771">
        <f>SUMIF(112:112,I36,113:113)-SUMIF(112:112,C36,113:113)+100</f>
        <v>100</v>
      </c>
      <c r="K36" s="948"/>
      <c r="L36" s="2339"/>
      <c r="M36" s="2330"/>
      <c r="N36" s="2330"/>
      <c r="O36" s="2338"/>
      <c r="P36" s="3595" t="s">
        <v>406</v>
      </c>
      <c r="Q36" s="1313">
        <f t="shared" si="8"/>
        <v>0</v>
      </c>
      <c r="R36" s="1314" t="s">
        <v>65</v>
      </c>
      <c r="S36" s="1315">
        <f t="shared" si="10"/>
        <v>100</v>
      </c>
      <c r="T36" s="1314" t="s">
        <v>65</v>
      </c>
      <c r="U36" s="1315">
        <f t="shared" si="11"/>
        <v>100</v>
      </c>
      <c r="V36" s="1314" t="s">
        <v>65</v>
      </c>
      <c r="W36" s="1315">
        <f t="shared" si="12"/>
        <v>100</v>
      </c>
      <c r="X36" s="1308"/>
      <c r="Y36" s="3596" t="s">
        <v>406</v>
      </c>
      <c r="Z36" s="1316">
        <f t="shared" si="13"/>
        <v>0</v>
      </c>
      <c r="AA36" s="1317">
        <f t="shared" si="3"/>
        <v>1</v>
      </c>
      <c r="AB36" s="1317">
        <f t="shared" si="4"/>
        <v>1</v>
      </c>
      <c r="AC36" s="1317">
        <f t="shared" si="5"/>
        <v>1</v>
      </c>
    </row>
    <row r="37" spans="1:29" s="806" customFormat="1" ht="15.75" thickBot="1">
      <c r="A37" s="1075"/>
      <c r="B37" s="2754"/>
      <c r="C37" s="1077"/>
      <c r="D37" s="423">
        <v>100</v>
      </c>
      <c r="E37" s="1100"/>
      <c r="F37" s="774">
        <f>SUMIF(114:114,E37,115:115)-SUMIF(114:114,C37,115:115)+100</f>
        <v>100</v>
      </c>
      <c r="G37" s="1100"/>
      <c r="H37" s="774">
        <f>SUMIF(114:114,G37,115:115)-SUMIF(114:114,C37,115:115)+100</f>
        <v>100</v>
      </c>
      <c r="I37" s="1077"/>
      <c r="J37" s="774">
        <f>SUMIF(114:114,I37,115:115)-SUMIF(114:114,C37,115:115)+100</f>
        <v>100</v>
      </c>
      <c r="K37" s="948"/>
      <c r="L37" s="2337"/>
      <c r="M37" s="2340"/>
      <c r="N37" s="2340"/>
      <c r="O37" s="2341"/>
      <c r="P37" s="3596"/>
      <c r="Q37" s="1313">
        <f t="shared" si="8"/>
        <v>0</v>
      </c>
      <c r="R37" s="1319" t="s">
        <v>65</v>
      </c>
      <c r="S37" s="1320">
        <f t="shared" si="10"/>
        <v>100</v>
      </c>
      <c r="T37" s="1319" t="s">
        <v>65</v>
      </c>
      <c r="U37" s="1320">
        <f t="shared" si="11"/>
        <v>100</v>
      </c>
      <c r="V37" s="1319" t="s">
        <v>65</v>
      </c>
      <c r="W37" s="1320">
        <f t="shared" si="12"/>
        <v>100</v>
      </c>
      <c r="X37" s="1321"/>
      <c r="Y37" s="3596"/>
      <c r="Z37" s="1322">
        <f t="shared" si="13"/>
        <v>0</v>
      </c>
      <c r="AA37" s="1317">
        <f t="shared" si="3"/>
        <v>1</v>
      </c>
      <c r="AB37" s="1317">
        <f t="shared" si="4"/>
        <v>1</v>
      </c>
      <c r="AC37" s="1317">
        <f t="shared" si="5"/>
        <v>1</v>
      </c>
    </row>
    <row r="38" spans="1:29" ht="15">
      <c r="A38" s="807" t="s">
        <v>405</v>
      </c>
      <c r="B38" s="792" t="s">
        <v>483</v>
      </c>
      <c r="C38" s="1078">
        <f>'数据-基础表'!A3</f>
        <v>32834.559999999998</v>
      </c>
      <c r="D38" s="802">
        <v>100</v>
      </c>
      <c r="E38" s="1078">
        <v>61030.67</v>
      </c>
      <c r="F38" s="802">
        <f>LOOKUP(E38,117:117,118:118)-LOOKUP(C38,117:117,118:118)+100</f>
        <v>101</v>
      </c>
      <c r="G38" s="1078">
        <v>132433.29999999999</v>
      </c>
      <c r="H38" s="802">
        <f>LOOKUP(G38,117:117,118:118)-LOOKUP(C38,117:117,118:118)+100</f>
        <v>103</v>
      </c>
      <c r="I38" s="865">
        <v>117633.1</v>
      </c>
      <c r="J38" s="802">
        <f>LOOKUP(I38,117:117,118:118)-LOOKUP(C38,117:117,118:118)+100</f>
        <v>102</v>
      </c>
      <c r="K38" s="948"/>
      <c r="L38" s="2339"/>
      <c r="M38" s="2330"/>
      <c r="N38" s="2330"/>
      <c r="O38" s="2338"/>
      <c r="P38" s="3596"/>
      <c r="Q38" s="1313" t="str">
        <f>B38</f>
        <v>宗地面积</v>
      </c>
      <c r="R38" s="1314" t="s">
        <v>65</v>
      </c>
      <c r="S38" s="1315">
        <f t="shared" si="10"/>
        <v>101</v>
      </c>
      <c r="T38" s="1314" t="s">
        <v>65</v>
      </c>
      <c r="U38" s="1315">
        <f t="shared" si="11"/>
        <v>103</v>
      </c>
      <c r="V38" s="1314" t="s">
        <v>65</v>
      </c>
      <c r="W38" s="1315">
        <f t="shared" si="12"/>
        <v>102</v>
      </c>
      <c r="X38" s="1308"/>
      <c r="Y38" s="3596"/>
      <c r="Z38" s="1316" t="str">
        <f t="shared" si="13"/>
        <v>宗地面积</v>
      </c>
      <c r="AA38" s="1317">
        <f t="shared" si="3"/>
        <v>0.99009900990099009</v>
      </c>
      <c r="AB38" s="1317">
        <f t="shared" si="4"/>
        <v>0.970873786407767</v>
      </c>
      <c r="AC38" s="1317">
        <f t="shared" si="5"/>
        <v>0.98039215686274506</v>
      </c>
    </row>
    <row r="39" spans="1:29" ht="15">
      <c r="A39" s="807"/>
      <c r="B39" s="759" t="s">
        <v>484</v>
      </c>
      <c r="C39" s="109" t="s">
        <v>3092</v>
      </c>
      <c r="D39" s="771">
        <v>100</v>
      </c>
      <c r="E39" s="3369" t="s">
        <v>3092</v>
      </c>
      <c r="F39" s="771">
        <f>SUMIF(119:119,E39,120:120)-SUMIF(119:119,C39,120:120)+100</f>
        <v>100</v>
      </c>
      <c r="G39" s="3369" t="s">
        <v>3092</v>
      </c>
      <c r="H39" s="771">
        <f>SUMIF(119:119,G39,120:120)-SUMIF(119:119,C39,120:120)+100</f>
        <v>100</v>
      </c>
      <c r="I39" s="3369" t="s">
        <v>3092</v>
      </c>
      <c r="J39" s="771">
        <f>SUMIF(119:119,I39,120:120)-SUMIF(119:119,C39,120:120)+100</f>
        <v>100</v>
      </c>
      <c r="K39" s="947">
        <v>1</v>
      </c>
      <c r="L39" s="2339"/>
      <c r="M39" s="2330"/>
      <c r="N39" s="2330"/>
      <c r="O39" s="2338"/>
      <c r="P39" s="3596"/>
      <c r="Q39" s="1313" t="str">
        <f t="shared" ref="Q39:Q45" si="14">B39</f>
        <v>宗地形状</v>
      </c>
      <c r="R39" s="1314" t="s">
        <v>65</v>
      </c>
      <c r="S39" s="1315">
        <f t="shared" si="10"/>
        <v>100</v>
      </c>
      <c r="T39" s="1314" t="s">
        <v>65</v>
      </c>
      <c r="U39" s="1315">
        <f t="shared" si="11"/>
        <v>100</v>
      </c>
      <c r="V39" s="1314" t="s">
        <v>65</v>
      </c>
      <c r="W39" s="1315">
        <f t="shared" si="12"/>
        <v>100</v>
      </c>
      <c r="X39" s="1308"/>
      <c r="Y39" s="3596"/>
      <c r="Z39" s="1316" t="str">
        <f t="shared" si="13"/>
        <v>宗地形状</v>
      </c>
      <c r="AA39" s="1317">
        <f t="shared" si="3"/>
        <v>1</v>
      </c>
      <c r="AB39" s="1317">
        <f t="shared" si="4"/>
        <v>1</v>
      </c>
      <c r="AC39" s="1317">
        <f t="shared" si="5"/>
        <v>1</v>
      </c>
    </row>
    <row r="40" spans="1:29" ht="15">
      <c r="A40" s="807"/>
      <c r="B40" s="759" t="s">
        <v>485</v>
      </c>
      <c r="C40" s="109"/>
      <c r="D40" s="771">
        <v>100</v>
      </c>
      <c r="E40" s="3369"/>
      <c r="F40" s="771">
        <f>SUMIF(121:121,E40,122:122)-SUMIF(121:121,C40,122:122)+100</f>
        <v>100</v>
      </c>
      <c r="G40" s="3369"/>
      <c r="H40" s="771">
        <f>SUMIF(121:121,G40,122:122)-SUMIF(121:121,C40,122:122)+100</f>
        <v>100</v>
      </c>
      <c r="I40" s="3369"/>
      <c r="J40" s="771">
        <f>SUMIF(121:121,I40,122:122)-SUMIF(121:121,C40,122:122)+100</f>
        <v>100</v>
      </c>
      <c r="K40" s="947"/>
      <c r="L40" s="2339"/>
      <c r="M40" s="2330"/>
      <c r="N40" s="2330"/>
      <c r="O40" s="2338"/>
      <c r="P40" s="3596"/>
      <c r="Q40" s="1313" t="str">
        <f t="shared" si="14"/>
        <v>临街宽度及深度</v>
      </c>
      <c r="R40" s="1314" t="s">
        <v>65</v>
      </c>
      <c r="S40" s="1315">
        <f t="shared" si="10"/>
        <v>100</v>
      </c>
      <c r="T40" s="1314" t="s">
        <v>65</v>
      </c>
      <c r="U40" s="1315">
        <f t="shared" si="11"/>
        <v>100</v>
      </c>
      <c r="V40" s="1314" t="s">
        <v>65</v>
      </c>
      <c r="W40" s="1315">
        <f t="shared" si="12"/>
        <v>100</v>
      </c>
      <c r="X40" s="1308"/>
      <c r="Y40" s="3596"/>
      <c r="Z40" s="1316" t="str">
        <f t="shared" si="13"/>
        <v>临街宽度及深度</v>
      </c>
      <c r="AA40" s="1317">
        <f t="shared" si="3"/>
        <v>1</v>
      </c>
      <c r="AB40" s="1317">
        <f t="shared" si="4"/>
        <v>1</v>
      </c>
      <c r="AC40" s="1317">
        <f t="shared" si="5"/>
        <v>1</v>
      </c>
    </row>
    <row r="41" spans="1:29" s="404" customFormat="1" ht="15">
      <c r="A41" s="808"/>
      <c r="B41" s="2591" t="s">
        <v>2492</v>
      </c>
      <c r="C41" s="1032" t="s">
        <v>3098</v>
      </c>
      <c r="D41" s="422">
        <v>100</v>
      </c>
      <c r="E41" s="3370" t="s">
        <v>3098</v>
      </c>
      <c r="F41" s="771">
        <f>SUMIF(123:123,E41,124:124)-SUMIF(123:123,C41,124:124)+100</f>
        <v>100</v>
      </c>
      <c r="G41" s="3370" t="s">
        <v>3102</v>
      </c>
      <c r="H41" s="771">
        <f>SUMIF(123:123,G41,124:124)-SUMIF(123:123,C41,124:124)+100</f>
        <v>98.5</v>
      </c>
      <c r="I41" s="3370" t="s">
        <v>3102</v>
      </c>
      <c r="J41" s="771">
        <f>SUMIF(123:123,I41,124:124)-SUMIF(123:123,C41,124:124)+100</f>
        <v>98.5</v>
      </c>
      <c r="K41" s="947">
        <v>0.5</v>
      </c>
      <c r="L41" s="2331"/>
      <c r="M41" s="2332"/>
      <c r="N41" s="2332"/>
      <c r="O41" s="2333"/>
      <c r="P41" s="3596"/>
      <c r="Q41" s="1313" t="str">
        <f t="shared" si="14"/>
        <v>宗地开发程度</v>
      </c>
      <c r="R41" s="1309" t="s">
        <v>65</v>
      </c>
      <c r="S41" s="1310">
        <f t="shared" si="10"/>
        <v>100</v>
      </c>
      <c r="T41" s="1309" t="s">
        <v>65</v>
      </c>
      <c r="U41" s="1310">
        <f t="shared" si="11"/>
        <v>98.5</v>
      </c>
      <c r="V41" s="1309" t="s">
        <v>65</v>
      </c>
      <c r="W41" s="1310">
        <f t="shared" si="12"/>
        <v>98.5</v>
      </c>
      <c r="X41" s="1311"/>
      <c r="Y41" s="3596"/>
      <c r="Z41" s="342" t="str">
        <f t="shared" si="13"/>
        <v>宗地开发程度</v>
      </c>
      <c r="AA41" s="1312">
        <f t="shared" si="3"/>
        <v>1</v>
      </c>
      <c r="AB41" s="1312">
        <f t="shared" si="4"/>
        <v>1.015228426395939</v>
      </c>
      <c r="AC41" s="1312">
        <f t="shared" si="5"/>
        <v>1.015228426395939</v>
      </c>
    </row>
    <row r="42" spans="1:29" ht="15">
      <c r="A42" s="807"/>
      <c r="B42" s="759" t="s">
        <v>486</v>
      </c>
      <c r="C42" s="109" t="s">
        <v>3081</v>
      </c>
      <c r="D42" s="771">
        <v>100</v>
      </c>
      <c r="E42" s="3369" t="s">
        <v>3081</v>
      </c>
      <c r="F42" s="771">
        <f>SUMIF(125:125,E42,126:126)-SUMIF(125:125,C42,126:126)+100</f>
        <v>100</v>
      </c>
      <c r="G42" s="3369" t="s">
        <v>3081</v>
      </c>
      <c r="H42" s="771">
        <f>SUMIF(125:125,G42,126:126)-SUMIF(125:125,C42,126:126)+100</f>
        <v>100</v>
      </c>
      <c r="I42" s="3369" t="s">
        <v>3081</v>
      </c>
      <c r="J42" s="771">
        <f>SUMIF(125:125,I42,126:126)-SUMIF(125:125,C42,126:126)+100</f>
        <v>100</v>
      </c>
      <c r="K42" s="947">
        <v>1</v>
      </c>
      <c r="L42" s="2339"/>
      <c r="M42" s="2330"/>
      <c r="N42" s="2330"/>
      <c r="O42" s="2338"/>
      <c r="P42" s="3596" t="s">
        <v>406</v>
      </c>
      <c r="Q42" s="1313" t="str">
        <f t="shared" si="14"/>
        <v>工程地质条件</v>
      </c>
      <c r="R42" s="1314" t="s">
        <v>65</v>
      </c>
      <c r="S42" s="1315">
        <f t="shared" si="10"/>
        <v>100</v>
      </c>
      <c r="T42" s="1314" t="s">
        <v>65</v>
      </c>
      <c r="U42" s="1315">
        <f t="shared" si="11"/>
        <v>100</v>
      </c>
      <c r="V42" s="1314" t="s">
        <v>65</v>
      </c>
      <c r="W42" s="1315">
        <f t="shared" si="12"/>
        <v>100</v>
      </c>
      <c r="X42" s="1308"/>
      <c r="Y42" s="3596" t="s">
        <v>406</v>
      </c>
      <c r="Z42" s="1316" t="str">
        <f t="shared" si="13"/>
        <v>工程地质条件</v>
      </c>
      <c r="AA42" s="1317">
        <f t="shared" si="3"/>
        <v>1</v>
      </c>
      <c r="AB42" s="1317">
        <f t="shared" si="4"/>
        <v>1</v>
      </c>
      <c r="AC42" s="1317">
        <f t="shared" si="5"/>
        <v>1</v>
      </c>
    </row>
    <row r="43" spans="1:29" ht="15">
      <c r="A43" s="807"/>
      <c r="B43" s="204"/>
      <c r="C43" s="201"/>
      <c r="D43" s="771">
        <v>100</v>
      </c>
      <c r="E43" s="201"/>
      <c r="F43" s="771">
        <f>SUMIF(127:127,E43,128:128)-SUMIF(127:127,C43,128:128)+100</f>
        <v>100</v>
      </c>
      <c r="G43" s="201"/>
      <c r="H43" s="771">
        <f>SUMIF(127:127,G43,128:128)-SUMIF(127:127,C43,128:128)+100</f>
        <v>100</v>
      </c>
      <c r="I43" s="124"/>
      <c r="J43" s="771">
        <f>SUMIF(127:127,I43,128:128)-SUMIF(127:127,C43,128:128)+100</f>
        <v>100</v>
      </c>
      <c r="K43" s="948"/>
      <c r="L43" s="2339"/>
      <c r="M43" s="2330"/>
      <c r="N43" s="2330"/>
      <c r="O43" s="2338"/>
      <c r="P43" s="3596"/>
      <c r="Q43" s="1313">
        <f t="shared" si="14"/>
        <v>0</v>
      </c>
      <c r="R43" s="1314" t="s">
        <v>65</v>
      </c>
      <c r="S43" s="1315">
        <f t="shared" si="10"/>
        <v>100</v>
      </c>
      <c r="T43" s="1314" t="s">
        <v>65</v>
      </c>
      <c r="U43" s="1315">
        <f t="shared" si="11"/>
        <v>100</v>
      </c>
      <c r="V43" s="1314" t="s">
        <v>65</v>
      </c>
      <c r="W43" s="1315">
        <f t="shared" si="12"/>
        <v>100</v>
      </c>
      <c r="X43" s="1308"/>
      <c r="Y43" s="3596"/>
      <c r="Z43" s="1316">
        <f t="shared" si="13"/>
        <v>0</v>
      </c>
      <c r="AA43" s="1317">
        <f t="shared" si="3"/>
        <v>1</v>
      </c>
      <c r="AB43" s="1317">
        <f t="shared" si="4"/>
        <v>1</v>
      </c>
      <c r="AC43" s="1317">
        <f t="shared" si="5"/>
        <v>1</v>
      </c>
    </row>
    <row r="44" spans="1:29" ht="15">
      <c r="A44" s="807"/>
      <c r="B44" s="204"/>
      <c r="C44" s="201"/>
      <c r="D44" s="771">
        <v>100</v>
      </c>
      <c r="E44" s="201"/>
      <c r="F44" s="771">
        <f>SUMIF(129:129,E44,130:130)-SUMIF(129:129,C44,130:130)+100</f>
        <v>100</v>
      </c>
      <c r="G44" s="201"/>
      <c r="H44" s="771">
        <f>SUMIF(129:129,G44,130:130)-SUMIF(129:129,C44,130:130)+100</f>
        <v>100</v>
      </c>
      <c r="I44" s="124"/>
      <c r="J44" s="771">
        <f>SUMIF(129:129,I44,130:130)-SUMIF(129:129,C44,130:130)+100</f>
        <v>100</v>
      </c>
      <c r="K44" s="948"/>
      <c r="L44" s="2339"/>
      <c r="M44" s="2330"/>
      <c r="N44" s="2330"/>
      <c r="O44" s="2338"/>
      <c r="P44" s="3596"/>
      <c r="Q44" s="1313">
        <f t="shared" si="14"/>
        <v>0</v>
      </c>
      <c r="R44" s="1314" t="s">
        <v>65</v>
      </c>
      <c r="S44" s="1315">
        <f t="shared" si="10"/>
        <v>100</v>
      </c>
      <c r="T44" s="1314" t="s">
        <v>65</v>
      </c>
      <c r="U44" s="1315">
        <f t="shared" si="11"/>
        <v>100</v>
      </c>
      <c r="V44" s="1314" t="s">
        <v>65</v>
      </c>
      <c r="W44" s="1315">
        <f t="shared" si="12"/>
        <v>100</v>
      </c>
      <c r="X44" s="1308"/>
      <c r="Y44" s="3596"/>
      <c r="Z44" s="1316">
        <f t="shared" si="13"/>
        <v>0</v>
      </c>
      <c r="AA44" s="1317">
        <f t="shared" si="3"/>
        <v>1</v>
      </c>
      <c r="AB44" s="1317">
        <f t="shared" si="4"/>
        <v>1</v>
      </c>
      <c r="AC44" s="1317">
        <f t="shared" si="5"/>
        <v>1</v>
      </c>
    </row>
    <row r="45" spans="1:29" s="806" customFormat="1" ht="15.75" thickBot="1">
      <c r="A45" s="803"/>
      <c r="B45" s="204"/>
      <c r="C45" s="1034"/>
      <c r="D45" s="1079">
        <v>100</v>
      </c>
      <c r="E45" s="201"/>
      <c r="F45" s="774">
        <f>SUMIF(131:131,E45,132:132)-SUMIF(131:131,C45,132:132)+100</f>
        <v>100</v>
      </c>
      <c r="G45" s="201"/>
      <c r="H45" s="774">
        <f>SUMIF(131:131,G45,132:132)-SUMIF(131:131,C45,132:132)+100</f>
        <v>100</v>
      </c>
      <c r="I45" s="201"/>
      <c r="J45" s="774">
        <f>SUMIF(131:131,I45,132:132)-SUMIF(131:131,C45,132:132)+100</f>
        <v>100</v>
      </c>
      <c r="K45" s="1080"/>
      <c r="L45" s="2337"/>
      <c r="M45" s="2340"/>
      <c r="N45" s="2340"/>
      <c r="O45" s="2341"/>
      <c r="P45" s="3596"/>
      <c r="Q45" s="1313">
        <f t="shared" si="14"/>
        <v>0</v>
      </c>
      <c r="R45" s="1319" t="s">
        <v>65</v>
      </c>
      <c r="S45" s="1320">
        <f t="shared" si="10"/>
        <v>100</v>
      </c>
      <c r="T45" s="1319" t="s">
        <v>65</v>
      </c>
      <c r="U45" s="1320">
        <f t="shared" si="11"/>
        <v>100</v>
      </c>
      <c r="V45" s="1319" t="s">
        <v>65</v>
      </c>
      <c r="W45" s="1320">
        <f t="shared" si="12"/>
        <v>100</v>
      </c>
      <c r="X45" s="1321"/>
      <c r="Y45" s="3596"/>
      <c r="Z45" s="1322">
        <f t="shared" si="13"/>
        <v>0</v>
      </c>
      <c r="AA45" s="1317">
        <f t="shared" si="3"/>
        <v>1</v>
      </c>
      <c r="AB45" s="1317">
        <f t="shared" si="4"/>
        <v>1</v>
      </c>
      <c r="AC45" s="1317">
        <f t="shared" si="5"/>
        <v>1</v>
      </c>
    </row>
    <row r="46" spans="1:29" ht="15">
      <c r="A46" s="814" t="s">
        <v>487</v>
      </c>
      <c r="B46" s="205" t="s">
        <v>158</v>
      </c>
      <c r="C46" s="1081" t="s">
        <v>23</v>
      </c>
      <c r="D46" s="816"/>
      <c r="E46" s="817">
        <v>41403</v>
      </c>
      <c r="F46" s="818"/>
      <c r="G46" s="819">
        <v>43366</v>
      </c>
      <c r="H46" s="820"/>
      <c r="I46" s="817">
        <v>45730</v>
      </c>
      <c r="J46" s="820"/>
      <c r="K46" s="1389"/>
      <c r="L46" s="2342"/>
      <c r="M46" s="2343"/>
      <c r="N46" s="2330"/>
      <c r="O46" s="2343"/>
      <c r="P46" s="3592" t="str">
        <f>A46</f>
        <v>成交单价</v>
      </c>
      <c r="Q46" s="3592"/>
      <c r="R46" s="3597">
        <f>E46</f>
        <v>41403</v>
      </c>
      <c r="S46" s="3597"/>
      <c r="T46" s="3597">
        <f>G46</f>
        <v>43366</v>
      </c>
      <c r="U46" s="3597"/>
      <c r="V46" s="3597">
        <f>I46</f>
        <v>45730</v>
      </c>
      <c r="W46" s="3597"/>
      <c r="X46" s="1297"/>
      <c r="Y46" s="1323"/>
      <c r="Z46" s="1297"/>
      <c r="AA46" s="1297"/>
      <c r="AB46" s="1297"/>
      <c r="AC46" s="1297"/>
    </row>
    <row r="47" spans="1:29" ht="15.75" thickBot="1">
      <c r="A47" s="821" t="s">
        <v>408</v>
      </c>
      <c r="B47" s="1082"/>
      <c r="C47" s="825">
        <f>R48</f>
        <v>40907</v>
      </c>
      <c r="D47" s="824"/>
      <c r="E47" s="825">
        <f>R47</f>
        <v>40290</v>
      </c>
      <c r="F47" s="826"/>
      <c r="G47" s="823">
        <f>T47</f>
        <v>39716</v>
      </c>
      <c r="H47" s="824"/>
      <c r="I47" s="825">
        <f>V47</f>
        <v>42714</v>
      </c>
      <c r="J47" s="824"/>
      <c r="K47" s="1390"/>
      <c r="L47" s="2342"/>
      <c r="M47" s="2343"/>
      <c r="N47" s="2343"/>
      <c r="O47" s="2343"/>
      <c r="P47" s="3592" t="str">
        <f>A47</f>
        <v>比较价值（元/平方米）</v>
      </c>
      <c r="Q47" s="3592"/>
      <c r="R47" s="3583">
        <f>ROUND(PRODUCT(R46,AA7:AA45),0)</f>
        <v>40290</v>
      </c>
      <c r="S47" s="3583"/>
      <c r="T47" s="3583">
        <f>ROUND(PRODUCT(T46,AB7:AB45),0)</f>
        <v>39716</v>
      </c>
      <c r="U47" s="3583"/>
      <c r="V47" s="3583">
        <f>ROUND(PRODUCT(V46,AC7:AC45),0)</f>
        <v>42714</v>
      </c>
      <c r="W47" s="3583"/>
      <c r="X47" s="1297"/>
      <c r="Y47" s="1297"/>
      <c r="Z47" s="1297"/>
      <c r="AA47" s="1297"/>
      <c r="AB47" s="1297"/>
      <c r="AC47" s="1297"/>
    </row>
    <row r="48" spans="1:29" ht="15.75" thickBot="1">
      <c r="A48" s="113" t="s">
        <v>513</v>
      </c>
      <c r="B48" s="828"/>
      <c r="C48" s="829">
        <f>R48</f>
        <v>40907</v>
      </c>
      <c r="D48" s="829"/>
      <c r="E48" s="829"/>
      <c r="F48" s="829"/>
      <c r="G48" s="829"/>
      <c r="H48" s="829"/>
      <c r="I48" s="829"/>
      <c r="J48" s="829"/>
      <c r="K48" s="1391"/>
      <c r="L48" s="2342"/>
      <c r="M48" s="2343"/>
      <c r="N48" s="2343"/>
      <c r="O48" s="2343"/>
      <c r="P48" s="3584" t="str">
        <f>A48</f>
        <v>估价对象XX用房的比较价值（楼面单价，元/平方米）</v>
      </c>
      <c r="Q48" s="3585"/>
      <c r="R48" s="3586">
        <f>ROUND(AVERAGE(R47:V47),0)</f>
        <v>40907</v>
      </c>
      <c r="S48" s="3586"/>
      <c r="T48" s="3586"/>
      <c r="U48" s="3586"/>
      <c r="V48" s="3586"/>
      <c r="W48" s="3586"/>
      <c r="X48" s="1297"/>
      <c r="Y48" s="1297"/>
      <c r="Z48" s="1297"/>
      <c r="AA48" s="1297"/>
      <c r="AB48" s="1297"/>
      <c r="AC48" s="1297"/>
    </row>
    <row r="49" spans="1:15">
      <c r="A49" s="2343"/>
      <c r="B49" s="2343"/>
      <c r="C49" s="2343"/>
      <c r="D49" s="2343"/>
      <c r="E49" s="2343"/>
      <c r="F49" s="2343"/>
      <c r="G49" s="2346"/>
      <c r="H49" s="2343"/>
      <c r="I49" s="2343"/>
      <c r="J49" s="2343"/>
      <c r="K49" s="2169"/>
      <c r="L49" s="2170"/>
      <c r="M49" s="2343"/>
      <c r="N49" s="2343"/>
      <c r="O49" s="2343"/>
    </row>
    <row r="50" spans="1:15">
      <c r="A50" s="2343"/>
      <c r="B50" s="2343"/>
      <c r="C50" s="2343"/>
      <c r="D50" s="2343"/>
      <c r="E50" s="2343"/>
      <c r="F50" s="2343"/>
      <c r="G50" s="2343"/>
      <c r="H50" s="2343"/>
      <c r="I50" s="2343"/>
      <c r="J50" s="2343"/>
      <c r="K50" s="2169"/>
      <c r="L50" s="2170"/>
      <c r="M50" s="2343"/>
      <c r="N50" s="2343"/>
      <c r="O50" s="2343"/>
    </row>
    <row r="51" spans="1:15" ht="13.5" customHeight="1">
      <c r="A51" s="2343"/>
      <c r="B51" s="2343"/>
      <c r="C51" s="832" t="s">
        <v>409</v>
      </c>
      <c r="D51" s="833"/>
      <c r="E51" s="834">
        <f>IF(E46&lt;E47,E47/E46-1,E46/E47-1)</f>
        <v>2.7624720774385603E-2</v>
      </c>
      <c r="F51" s="835" t="str">
        <f>IF(OR(E51&gt;=0.3,E51&lt;=-0.3),"超过30%","")</f>
        <v/>
      </c>
      <c r="G51" s="834">
        <f>IF(G46&lt;G47,G47/G46-1,G46/G47-1)</f>
        <v>9.1902507805418532E-2</v>
      </c>
      <c r="H51" s="835" t="str">
        <f>IF(OR(G51&gt;=0.3,G51&lt;=-0.3),"超过30%","")</f>
        <v/>
      </c>
      <c r="I51" s="834">
        <f>IF(I46&lt;I47,I47/I46-1,I46/I47-1)</f>
        <v>7.0609167954300611E-2</v>
      </c>
      <c r="J51" s="835" t="str">
        <f>IF(OR(I51&gt;=0.3,I51&lt;=-0.3),"超过30%","")</f>
        <v/>
      </c>
      <c r="K51" s="2169"/>
      <c r="L51" s="2170"/>
      <c r="M51" s="2343"/>
      <c r="N51" s="2343"/>
      <c r="O51" s="2343"/>
    </row>
    <row r="52" spans="1:15" ht="13.5" customHeight="1">
      <c r="A52" s="2343"/>
      <c r="B52" s="2343"/>
      <c r="C52" s="832" t="s">
        <v>410</v>
      </c>
      <c r="D52" s="836"/>
      <c r="E52" s="834">
        <f>IF(E47&lt;G47,G47/E47-1,E47/G47-1)</f>
        <v>1.4452613556249272E-2</v>
      </c>
      <c r="F52" s="835" t="str">
        <f>IF(OR(E52&gt;=0.2,E52&lt;=-0.2),"超过20%","")</f>
        <v/>
      </c>
      <c r="G52" s="834">
        <f>IF(G47&lt;I47,I47/G47-1,G47/I47-1)</f>
        <v>7.5485950246751976E-2</v>
      </c>
      <c r="H52" s="835" t="str">
        <f>IF(OR(G52&gt;=0.2,G52&lt;=-0.2),"超过20%","")</f>
        <v/>
      </c>
      <c r="I52" s="834">
        <f>IF(I47&lt;E47,E47/I47-1,I47/E47-1)</f>
        <v>6.0163812360387148E-2</v>
      </c>
      <c r="J52" s="835" t="str">
        <f>IF(OR(I52&gt;=0.2,I52&lt;=-0.2),"超过20%","")</f>
        <v/>
      </c>
      <c r="K52" s="2169"/>
      <c r="L52" s="2170"/>
      <c r="M52" s="2343"/>
      <c r="N52" s="2343"/>
      <c r="O52" s="2343"/>
    </row>
    <row r="53" spans="1:15" s="837" customFormat="1" ht="13.5" customHeight="1">
      <c r="A53" s="2344"/>
      <c r="B53" s="2344"/>
      <c r="C53" s="832" t="s">
        <v>411</v>
      </c>
      <c r="D53" s="836"/>
      <c r="E53" s="834">
        <f>IF(E46&lt;G46,G46/E46-1,E46/G46-1)</f>
        <v>4.7412023283337046E-2</v>
      </c>
      <c r="F53" s="835" t="str">
        <f>IF(OR(E53&gt;=0.3,E53&lt;=-0.3),"超过30%","")</f>
        <v/>
      </c>
      <c r="G53" s="834">
        <f>IF(G46&lt;I46,I46/G46-1,G46/I46-1)</f>
        <v>5.4512751925471559E-2</v>
      </c>
      <c r="H53" s="835" t="str">
        <f>IF(OR(G53&gt;=0.3,G53&lt;=-0.3),"超过30%","")</f>
        <v/>
      </c>
      <c r="I53" s="834">
        <f>IF(I46&lt;E46,E46/I46-1,I46/E46-1)</f>
        <v>0.10450933507233784</v>
      </c>
      <c r="J53" s="835" t="str">
        <f>IF(OR(I53&gt;=0.3,I53&lt;=-0.3),"超过30%","")</f>
        <v/>
      </c>
      <c r="K53" s="2347"/>
      <c r="L53" s="2348"/>
      <c r="M53" s="2344"/>
      <c r="N53" s="2344"/>
      <c r="O53" s="2344"/>
    </row>
    <row r="54" spans="1:15" s="837" customFormat="1" ht="15" thickBot="1">
      <c r="A54" s="2344"/>
      <c r="B54" s="2345"/>
      <c r="C54" s="1300"/>
      <c r="D54" s="1298"/>
      <c r="E54" s="1298"/>
      <c r="F54" s="1298"/>
      <c r="G54" s="1298"/>
      <c r="H54" s="1298"/>
      <c r="I54" s="1298"/>
      <c r="J54" s="1298"/>
      <c r="K54" s="2347"/>
      <c r="L54" s="2348"/>
      <c r="M54" s="2344"/>
      <c r="N54" s="2344"/>
      <c r="O54" s="2344"/>
    </row>
    <row r="55" spans="1:15" ht="27" customHeight="1">
      <c r="A55" s="1083" t="s">
        <v>488</v>
      </c>
      <c r="B55" s="1084" t="s">
        <v>489</v>
      </c>
      <c r="C55" s="1759" t="s">
        <v>1881</v>
      </c>
      <c r="D55" s="2374" t="s">
        <v>2316</v>
      </c>
      <c r="E55" s="1085" t="s">
        <v>490</v>
      </c>
      <c r="F55" s="2171" t="s">
        <v>491</v>
      </c>
      <c r="G55" s="3587" t="s">
        <v>2309</v>
      </c>
      <c r="H55" s="3588"/>
      <c r="I55" s="2172" t="s">
        <v>1880</v>
      </c>
      <c r="J55" s="2176">
        <f>项目基本情况!F35</f>
        <v>0</v>
      </c>
      <c r="K55" s="2357" t="s">
        <v>1882</v>
      </c>
      <c r="L55" s="2170"/>
      <c r="M55" s="2343"/>
      <c r="N55" s="2343"/>
      <c r="O55" s="2343"/>
    </row>
    <row r="56" spans="1:15" s="1091" customFormat="1">
      <c r="A56" s="1087" t="s">
        <v>492</v>
      </c>
      <c r="B56" s="1088">
        <f>C48</f>
        <v>40907</v>
      </c>
      <c r="C56" s="1089">
        <v>1</v>
      </c>
      <c r="D56" s="2375">
        <v>1</v>
      </c>
      <c r="E56" s="1089">
        <f>'数据-汇总表'!E8+'数据-汇总表'!E9</f>
        <v>33306.36</v>
      </c>
      <c r="F56" s="2167">
        <f t="shared" ref="F56:F65" si="15">ROUND(B56*E56/10000,0)</f>
        <v>136246</v>
      </c>
      <c r="G56" s="3589"/>
      <c r="H56" s="3590"/>
      <c r="I56" s="2173">
        <v>1</v>
      </c>
      <c r="J56" s="2177">
        <v>1</v>
      </c>
      <c r="K56" s="2344"/>
      <c r="L56" s="1756"/>
      <c r="M56" s="1756"/>
      <c r="N56" s="1756"/>
      <c r="O56" s="1756"/>
    </row>
    <row r="57" spans="1:15" s="1091" customFormat="1">
      <c r="A57" s="1092" t="s">
        <v>493</v>
      </c>
      <c r="B57" s="590">
        <f>ROUND($C$48*C57*D57,0)</f>
        <v>6136</v>
      </c>
      <c r="C57" s="528">
        <f t="shared" ref="C57:C65" si="16">IF($C$55="北京市系数",I57,J57)</f>
        <v>0.6</v>
      </c>
      <c r="D57" s="2376">
        <v>0.25</v>
      </c>
      <c r="E57" s="1093"/>
      <c r="F57" s="2167">
        <f t="shared" si="15"/>
        <v>0</v>
      </c>
      <c r="G57" s="3591" t="s">
        <v>2310</v>
      </c>
      <c r="H57" s="2168" t="str">
        <f>项目基本情况!B37</f>
        <v>八级</v>
      </c>
      <c r="I57" s="2173">
        <f>SUMIF(修正!A45:A56,H57,修正!B45:B56)</f>
        <v>0.6</v>
      </c>
      <c r="J57" s="2178"/>
      <c r="K57" s="2343"/>
      <c r="L57" s="1756"/>
      <c r="M57" s="1756"/>
      <c r="N57" s="1756"/>
      <c r="O57" s="1756"/>
    </row>
    <row r="58" spans="1:15" s="1091" customFormat="1">
      <c r="A58" s="1092" t="s">
        <v>494</v>
      </c>
      <c r="B58" s="590">
        <f t="shared" ref="B58:B65" si="17">ROUND($C$48*C58*D58,0)</f>
        <v>3068</v>
      </c>
      <c r="C58" s="528">
        <f t="shared" si="16"/>
        <v>0.3</v>
      </c>
      <c r="D58" s="2376">
        <v>0.25</v>
      </c>
      <c r="E58" s="1093"/>
      <c r="F58" s="2167">
        <f t="shared" si="15"/>
        <v>0</v>
      </c>
      <c r="G58" s="3591"/>
      <c r="H58" s="2168" t="str">
        <f>项目基本情况!B37</f>
        <v>八级</v>
      </c>
      <c r="I58" s="2173">
        <f>SUMIF(修正!A45:A56,H58,修正!C45:C56)</f>
        <v>0.3</v>
      </c>
      <c r="J58" s="2178"/>
      <c r="K58" s="2344"/>
      <c r="L58" s="1756"/>
      <c r="M58" s="1756"/>
      <c r="N58" s="1756"/>
      <c r="O58" s="1756"/>
    </row>
    <row r="59" spans="1:15" s="1091" customFormat="1">
      <c r="A59" s="1092" t="s">
        <v>495</v>
      </c>
      <c r="B59" s="590">
        <f t="shared" si="17"/>
        <v>2045</v>
      </c>
      <c r="C59" s="528">
        <f t="shared" si="16"/>
        <v>0.2</v>
      </c>
      <c r="D59" s="2376">
        <v>0.25</v>
      </c>
      <c r="E59" s="1093"/>
      <c r="F59" s="2167">
        <f t="shared" si="15"/>
        <v>0</v>
      </c>
      <c r="G59" s="3591"/>
      <c r="H59" s="2168" t="str">
        <f>项目基本情况!B37</f>
        <v>八级</v>
      </c>
      <c r="I59" s="2173">
        <f>SUMIF(修正!A45:A56,H59,修正!D45:D56)</f>
        <v>0.2</v>
      </c>
      <c r="J59" s="2178"/>
      <c r="K59" s="2343"/>
      <c r="L59" s="1756"/>
      <c r="M59" s="1756"/>
      <c r="N59" s="1756"/>
      <c r="O59" s="1756"/>
    </row>
    <row r="60" spans="1:15" s="1091" customFormat="1">
      <c r="A60" s="1092" t="s">
        <v>496</v>
      </c>
      <c r="B60" s="590">
        <f t="shared" si="17"/>
        <v>2045</v>
      </c>
      <c r="C60" s="528">
        <f t="shared" si="16"/>
        <v>0.2</v>
      </c>
      <c r="D60" s="2376">
        <v>0.25</v>
      </c>
      <c r="E60" s="1093"/>
      <c r="F60" s="2167">
        <f t="shared" si="15"/>
        <v>0</v>
      </c>
      <c r="G60" s="3591"/>
      <c r="H60" s="2168" t="str">
        <f>项目基本情况!B37</f>
        <v>八级</v>
      </c>
      <c r="I60" s="2173">
        <f>SUMIF(修正!A45:A56,H60,修正!E45:E56)</f>
        <v>0.2</v>
      </c>
      <c r="J60" s="2178"/>
      <c r="K60" s="2344"/>
      <c r="L60" s="1756"/>
      <c r="M60" s="1756"/>
      <c r="N60" s="1756"/>
      <c r="O60" s="1756"/>
    </row>
    <row r="61" spans="1:15" s="1091" customFormat="1">
      <c r="A61" s="2496" t="s">
        <v>2391</v>
      </c>
      <c r="B61" s="590">
        <f t="shared" si="17"/>
        <v>2045</v>
      </c>
      <c r="C61" s="528">
        <f t="shared" si="16"/>
        <v>0.2</v>
      </c>
      <c r="D61" s="2376">
        <v>0.25</v>
      </c>
      <c r="E61" s="589">
        <f>'数据-汇总表'!E11</f>
        <v>0</v>
      </c>
      <c r="F61" s="2167">
        <f t="shared" si="15"/>
        <v>0</v>
      </c>
      <c r="G61" s="2180" t="s">
        <v>2311</v>
      </c>
      <c r="H61" s="2168" t="str">
        <f>项目基本情况!C37</f>
        <v>八级</v>
      </c>
      <c r="I61" s="2173">
        <f>SUMIF(修正!A45:A56,H61,修正!F45:F56)</f>
        <v>0.2</v>
      </c>
      <c r="J61" s="2178"/>
      <c r="K61" s="2343"/>
      <c r="L61" s="1756"/>
      <c r="M61" s="1756"/>
      <c r="N61" s="1756"/>
      <c r="O61" s="1756"/>
    </row>
    <row r="62" spans="1:15" s="1091" customFormat="1">
      <c r="A62" s="1092" t="s">
        <v>497</v>
      </c>
      <c r="B62" s="590">
        <f t="shared" si="17"/>
        <v>2045</v>
      </c>
      <c r="C62" s="528">
        <f t="shared" si="16"/>
        <v>0.2</v>
      </c>
      <c r="D62" s="2376">
        <v>0.25</v>
      </c>
      <c r="E62" s="589">
        <f>'数据-汇总表'!E12</f>
        <v>0</v>
      </c>
      <c r="F62" s="2167">
        <f t="shared" si="15"/>
        <v>0</v>
      </c>
      <c r="G62" s="2174" t="s">
        <v>141</v>
      </c>
      <c r="H62" s="2168" t="str">
        <f>IF(G62="商业",项目基本情况!B37,IF(G62="办公",项目基本情况!C37,IF(G62="住宅",项目基本情况!D37,项目基本情况!E37)))</f>
        <v>八级</v>
      </c>
      <c r="I62" s="2173">
        <f>SUMIF(修正!A45:A56,H62,修正!G45:G56)</f>
        <v>0.2</v>
      </c>
      <c r="J62" s="2178"/>
      <c r="K62" s="2344"/>
      <c r="L62" s="1756"/>
      <c r="M62" s="1756"/>
      <c r="N62" s="1756"/>
      <c r="O62" s="1756"/>
    </row>
    <row r="63" spans="1:15" s="1091" customFormat="1">
      <c r="A63" s="1092" t="s">
        <v>498</v>
      </c>
      <c r="B63" s="590">
        <f t="shared" si="17"/>
        <v>1534</v>
      </c>
      <c r="C63" s="528">
        <f t="shared" si="16"/>
        <v>0.15</v>
      </c>
      <c r="D63" s="2376">
        <v>0.25</v>
      </c>
      <c r="E63" s="589">
        <f>'数据-汇总表'!E13</f>
        <v>10312.16</v>
      </c>
      <c r="F63" s="2167">
        <f t="shared" si="15"/>
        <v>1582</v>
      </c>
      <c r="G63" s="2174" t="s">
        <v>40</v>
      </c>
      <c r="H63" s="2168" t="str">
        <f>IF(G63="商业",项目基本情况!B37,IF(G63="办公",项目基本情况!C37,IF(G63="住宅",项目基本情况!D37,项目基本情况!E37)))</f>
        <v>八级</v>
      </c>
      <c r="I63" s="2173">
        <f>SUMIF(修正!A45:A56,H63,修正!H45:H56)</f>
        <v>0.15</v>
      </c>
      <c r="J63" s="2178"/>
      <c r="K63" s="2343"/>
      <c r="L63" s="1756"/>
      <c r="M63" s="1756"/>
      <c r="N63" s="1756"/>
      <c r="O63" s="1756"/>
    </row>
    <row r="64" spans="1:15" s="1091" customFormat="1">
      <c r="A64" s="1092" t="s">
        <v>499</v>
      </c>
      <c r="B64" s="590">
        <f t="shared" si="17"/>
        <v>1534</v>
      </c>
      <c r="C64" s="528">
        <f t="shared" si="16"/>
        <v>0.15</v>
      </c>
      <c r="D64" s="2376">
        <v>0.25</v>
      </c>
      <c r="E64" s="589">
        <f>'数据-汇总表'!E14</f>
        <v>0</v>
      </c>
      <c r="F64" s="2167">
        <f t="shared" si="15"/>
        <v>0</v>
      </c>
      <c r="G64" s="2180" t="s">
        <v>2312</v>
      </c>
      <c r="H64" s="2168" t="str">
        <f>项目基本情况!B37</f>
        <v>八级</v>
      </c>
      <c r="I64" s="2173">
        <f>SUMIF(修正!A45:A56,H64,修正!H45:H56)</f>
        <v>0.15</v>
      </c>
      <c r="J64" s="2178"/>
      <c r="K64" s="2344"/>
      <c r="L64" s="1756"/>
      <c r="M64" s="1756"/>
      <c r="N64" s="1756"/>
      <c r="O64" s="1756"/>
    </row>
    <row r="65" spans="1:17" s="1091" customFormat="1" ht="15" thickBot="1">
      <c r="A65" s="1092" t="s">
        <v>500</v>
      </c>
      <c r="B65" s="590">
        <f t="shared" si="17"/>
        <v>1534</v>
      </c>
      <c r="C65" s="528">
        <f t="shared" si="16"/>
        <v>0.15</v>
      </c>
      <c r="D65" s="2376">
        <v>0.25</v>
      </c>
      <c r="E65" s="589">
        <f>'数据-汇总表'!E15</f>
        <v>0</v>
      </c>
      <c r="F65" s="2167">
        <f t="shared" si="15"/>
        <v>0</v>
      </c>
      <c r="G65" s="2181" t="s">
        <v>2311</v>
      </c>
      <c r="H65" s="2182" t="str">
        <f>项目基本情况!C37</f>
        <v>八级</v>
      </c>
      <c r="I65" s="2175">
        <f>SUMIF(修正!A45:A56,H65,修正!H45:H56)</f>
        <v>0.15</v>
      </c>
      <c r="J65" s="2179"/>
      <c r="K65" s="2343"/>
      <c r="L65" s="1756"/>
      <c r="M65" s="1756"/>
      <c r="N65" s="1756"/>
      <c r="O65" s="1756"/>
    </row>
    <row r="66" spans="1:17" s="1091" customFormat="1" ht="13.5" thickBot="1">
      <c r="A66" s="1094" t="s">
        <v>501</v>
      </c>
      <c r="B66" s="1095" t="s">
        <v>156</v>
      </c>
      <c r="C66" s="1095" t="s">
        <v>157</v>
      </c>
      <c r="D66" s="1095" t="s">
        <v>2317</v>
      </c>
      <c r="E66" s="1095">
        <f>IF(B46="楼面地价",SUM(E56:E65),'数据-汇总表'!D3)</f>
        <v>43618.520000000004</v>
      </c>
      <c r="F66" s="1096">
        <f>IF(B46="楼面地价",SUM(F56:F65),ROUND(C48*E66/10000,0))</f>
        <v>137828</v>
      </c>
      <c r="G66" s="1404"/>
      <c r="H66" s="1404"/>
      <c r="I66" s="1404"/>
      <c r="J66" s="1404"/>
      <c r="K66" s="2358"/>
      <c r="L66" s="1756"/>
      <c r="M66" s="1756"/>
      <c r="N66" s="1756"/>
      <c r="O66" s="1756"/>
    </row>
    <row r="67" spans="1:17">
      <c r="A67" s="1297"/>
      <c r="B67" s="1299"/>
      <c r="C67" s="1300"/>
      <c r="D67" s="1297"/>
      <c r="E67" s="1297"/>
      <c r="F67" s="1297"/>
      <c r="G67" s="1297"/>
      <c r="H67" s="1297"/>
      <c r="I67" s="1297"/>
      <c r="J67" s="2343"/>
      <c r="K67" s="2169"/>
      <c r="L67" s="2170"/>
      <c r="M67" s="2343"/>
      <c r="N67" s="2343"/>
      <c r="O67" s="2343"/>
    </row>
    <row r="68" spans="1:17">
      <c r="A68" s="1297"/>
      <c r="B68" s="1299"/>
      <c r="C68" s="1299" t="str">
        <f>YEAR(C7)&amp;"-"&amp;MONTH(C7)&amp;"-1"</f>
        <v>2017-9-1</v>
      </c>
      <c r="D68" s="1299">
        <f>EDATE(C68,-3)</f>
        <v>42887</v>
      </c>
      <c r="E68" s="1299">
        <f>EDATE(D68,-3)</f>
        <v>42795</v>
      </c>
      <c r="F68" s="1299">
        <f t="shared" ref="F68:O68" si="18">EDATE(E68,-3)</f>
        <v>42705</v>
      </c>
      <c r="G68" s="1299">
        <f t="shared" si="18"/>
        <v>42614</v>
      </c>
      <c r="H68" s="1299">
        <f t="shared" si="18"/>
        <v>42522</v>
      </c>
      <c r="I68" s="1299">
        <f t="shared" si="18"/>
        <v>42430</v>
      </c>
      <c r="J68" s="1299">
        <f t="shared" si="18"/>
        <v>42339</v>
      </c>
      <c r="K68" s="1299">
        <f t="shared" si="18"/>
        <v>42248</v>
      </c>
      <c r="L68" s="1299">
        <f t="shared" si="18"/>
        <v>42156</v>
      </c>
      <c r="M68" s="1299">
        <f t="shared" si="18"/>
        <v>42064</v>
      </c>
      <c r="N68" s="1299">
        <f t="shared" si="18"/>
        <v>41974</v>
      </c>
      <c r="O68" s="1299">
        <f t="shared" si="18"/>
        <v>41883</v>
      </c>
    </row>
    <row r="69" spans="1:17" ht="21.75" thickBot="1">
      <c r="A69" s="1301" t="s">
        <v>412</v>
      </c>
      <c r="B69" s="1297"/>
      <c r="C69" s="1302"/>
      <c r="D69" s="1302"/>
      <c r="E69" s="1302"/>
      <c r="F69" s="1303"/>
      <c r="G69" s="1303"/>
      <c r="H69" s="1302"/>
      <c r="I69" s="1302"/>
      <c r="J69" s="2359"/>
      <c r="K69" s="2360"/>
      <c r="L69" s="2361"/>
      <c r="M69" s="2359"/>
      <c r="N69" s="2359"/>
      <c r="O69" s="2359"/>
      <c r="P69" s="838"/>
      <c r="Q69" s="839"/>
    </row>
    <row r="70" spans="1:17" s="843" customFormat="1" ht="15">
      <c r="A70" s="2687" t="s">
        <v>2783</v>
      </c>
      <c r="B70" s="2688"/>
      <c r="C70" s="3018" t="str">
        <f>YEAR(C68)&amp;"-"&amp;ROUNDUP(MONTH(C68)/3,0)</f>
        <v>2017-3</v>
      </c>
      <c r="D70" s="3018" t="str">
        <f>YEAR(D68)&amp;"-"&amp;ROUNDUP(MONTH(D68)/3,0)</f>
        <v>2017-2</v>
      </c>
      <c r="E70" s="3018" t="str">
        <f t="shared" ref="E70:O70" si="19">YEAR(E68)&amp;"-"&amp;ROUNDUP(MONTH(E68)/3,0)</f>
        <v>2017-1</v>
      </c>
      <c r="F70" s="3018" t="str">
        <f t="shared" si="19"/>
        <v>2016-4</v>
      </c>
      <c r="G70" s="3018" t="str">
        <f t="shared" si="19"/>
        <v>2016-3</v>
      </c>
      <c r="H70" s="3018" t="str">
        <f t="shared" si="19"/>
        <v>2016-2</v>
      </c>
      <c r="I70" s="3018" t="str">
        <f t="shared" si="19"/>
        <v>2016-1</v>
      </c>
      <c r="J70" s="3018" t="str">
        <f t="shared" si="19"/>
        <v>2015-4</v>
      </c>
      <c r="K70" s="3018" t="str">
        <f t="shared" si="19"/>
        <v>2015-3</v>
      </c>
      <c r="L70" s="3018" t="str">
        <f t="shared" si="19"/>
        <v>2015-2</v>
      </c>
      <c r="M70" s="3018" t="str">
        <f t="shared" si="19"/>
        <v>2015-1</v>
      </c>
      <c r="N70" s="3018" t="str">
        <f t="shared" si="19"/>
        <v>2014-4</v>
      </c>
      <c r="O70" s="3018" t="str">
        <f t="shared" si="19"/>
        <v>2014-3</v>
      </c>
      <c r="P70" s="842"/>
    </row>
    <row r="71" spans="1:17" s="404" customFormat="1" ht="30" customHeight="1">
      <c r="A71" s="3021" t="s">
        <v>40</v>
      </c>
      <c r="B71" s="660" t="str">
        <f>"北京市平均增长率"&amp;TEXT(SUMIF(基准地价修正!N21:N25,A71,基准地价修正!P21:P25),"0.00%")</f>
        <v>北京市平均增长率2.75%</v>
      </c>
      <c r="C71" s="938">
        <v>100</v>
      </c>
      <c r="D71" s="930">
        <v>99.5</v>
      </c>
      <c r="E71" s="930">
        <v>99</v>
      </c>
      <c r="F71" s="930">
        <v>98.5</v>
      </c>
      <c r="G71" s="930">
        <v>98</v>
      </c>
      <c r="H71" s="930">
        <v>97.5</v>
      </c>
      <c r="I71" s="930">
        <v>97</v>
      </c>
      <c r="J71" s="930">
        <v>96.5</v>
      </c>
      <c r="K71" s="930">
        <v>96</v>
      </c>
      <c r="L71" s="930">
        <v>95.5</v>
      </c>
      <c r="M71" s="3012">
        <v>95</v>
      </c>
      <c r="N71" s="930"/>
      <c r="O71" s="3013"/>
      <c r="P71" s="839"/>
    </row>
    <row r="72" spans="1:17" s="404" customFormat="1" ht="15.75" thickBot="1">
      <c r="A72" s="850" t="s">
        <v>413</v>
      </c>
      <c r="B72" s="851"/>
      <c r="C72" s="852"/>
      <c r="D72" s="853"/>
      <c r="E72" s="853"/>
      <c r="F72" s="853"/>
      <c r="G72" s="853"/>
      <c r="H72" s="853"/>
      <c r="I72" s="853"/>
      <c r="J72" s="853"/>
      <c r="K72" s="853"/>
      <c r="L72" s="853"/>
      <c r="M72" s="854"/>
      <c r="N72" s="853"/>
      <c r="O72" s="2362"/>
      <c r="P72" s="839"/>
      <c r="Q72" s="839"/>
    </row>
    <row r="73" spans="1:17" s="404" customFormat="1" ht="15">
      <c r="A73" s="856" t="s">
        <v>397</v>
      </c>
      <c r="B73" s="845"/>
      <c r="C73" s="857" t="s">
        <v>414</v>
      </c>
      <c r="D73" s="138"/>
      <c r="E73" s="138"/>
      <c r="F73" s="138"/>
      <c r="G73" s="138"/>
      <c r="H73" s="138"/>
      <c r="I73" s="138"/>
      <c r="J73" s="138"/>
      <c r="K73" s="138"/>
      <c r="L73" s="139"/>
      <c r="M73" s="1041"/>
      <c r="N73" s="2350"/>
      <c r="O73" s="2350"/>
      <c r="P73" s="861"/>
      <c r="Q73" s="839"/>
    </row>
    <row r="74" spans="1:17" s="404" customFormat="1" ht="15.75" thickBot="1">
      <c r="A74" s="856"/>
      <c r="B74" s="845"/>
      <c r="C74" s="974">
        <v>100</v>
      </c>
      <c r="D74" s="847"/>
      <c r="E74" s="847"/>
      <c r="F74" s="847"/>
      <c r="G74" s="847"/>
      <c r="H74" s="847"/>
      <c r="I74" s="847"/>
      <c r="J74" s="847"/>
      <c r="K74" s="847"/>
      <c r="L74" s="847"/>
      <c r="M74" s="849"/>
      <c r="N74" s="2350"/>
      <c r="O74" s="2350"/>
      <c r="P74" s="839"/>
      <c r="Q74" s="839"/>
    </row>
    <row r="75" spans="1:17" ht="27">
      <c r="A75" s="862" t="s">
        <v>415</v>
      </c>
      <c r="B75" s="863" t="s">
        <v>416</v>
      </c>
      <c r="C75" s="120" t="s">
        <v>3148</v>
      </c>
      <c r="D75" s="120" t="s">
        <v>3150</v>
      </c>
      <c r="E75" s="120"/>
      <c r="F75" s="120"/>
      <c r="G75" s="120"/>
      <c r="H75" s="120"/>
      <c r="I75" s="120"/>
      <c r="J75" s="120"/>
      <c r="K75" s="121"/>
      <c r="L75" s="122"/>
      <c r="M75" s="123"/>
      <c r="N75" s="2351"/>
      <c r="O75" s="2351"/>
      <c r="P75" s="332"/>
      <c r="Q75" s="839"/>
    </row>
    <row r="76" spans="1:17" ht="15.75" thickBot="1">
      <c r="A76" s="869"/>
      <c r="B76" s="870"/>
      <c r="C76" s="871">
        <v>100</v>
      </c>
      <c r="D76" s="871">
        <v>95</v>
      </c>
      <c r="E76" s="871"/>
      <c r="F76" s="871"/>
      <c r="G76" s="871"/>
      <c r="H76" s="871"/>
      <c r="I76" s="871"/>
      <c r="J76" s="871"/>
      <c r="K76" s="871"/>
      <c r="L76" s="871"/>
      <c r="M76" s="872"/>
      <c r="N76" s="2352"/>
      <c r="O76" s="2352"/>
      <c r="P76" s="332"/>
      <c r="Q76" s="839"/>
    </row>
    <row r="77" spans="1:17" ht="27.75" thickTop="1">
      <c r="A77" s="869"/>
      <c r="B77" s="873" t="s">
        <v>401</v>
      </c>
      <c r="C77" s="874"/>
      <c r="D77" s="874"/>
      <c r="E77" s="874"/>
      <c r="F77" s="874"/>
      <c r="G77" s="874"/>
      <c r="H77" s="874"/>
      <c r="I77" s="874"/>
      <c r="J77" s="874"/>
      <c r="K77" s="875"/>
      <c r="L77" s="876"/>
      <c r="M77" s="877"/>
      <c r="N77" s="2351"/>
      <c r="O77" s="2351"/>
      <c r="P77" s="332"/>
      <c r="Q77" s="839"/>
    </row>
    <row r="78" spans="1:17" ht="15.75" thickBot="1">
      <c r="A78" s="869"/>
      <c r="B78" s="878"/>
      <c r="C78" s="879"/>
      <c r="D78" s="879"/>
      <c r="E78" s="879"/>
      <c r="F78" s="879"/>
      <c r="G78" s="879"/>
      <c r="H78" s="879"/>
      <c r="I78" s="879"/>
      <c r="J78" s="879"/>
      <c r="K78" s="879"/>
      <c r="L78" s="879"/>
      <c r="M78" s="880"/>
      <c r="N78" s="2352"/>
      <c r="O78" s="2352"/>
      <c r="P78" s="332"/>
      <c r="Q78" s="839"/>
    </row>
    <row r="79" spans="1:17" ht="15.75" thickTop="1">
      <c r="A79" s="869"/>
      <c r="B79" s="881" t="s">
        <v>402</v>
      </c>
      <c r="C79" s="882" t="str">
        <f>C80&amp;"（含）"&amp;"-"&amp;D80</f>
        <v>0（含）-1</v>
      </c>
      <c r="D79" s="882" t="str">
        <f t="shared" ref="D79:L79" si="20">D80&amp;"（含）"&amp;"-"&amp;E80</f>
        <v>1（含）-2</v>
      </c>
      <c r="E79" s="882" t="str">
        <f t="shared" si="20"/>
        <v>2（含）-3</v>
      </c>
      <c r="F79" s="882" t="str">
        <f t="shared" si="20"/>
        <v>3（含）-4</v>
      </c>
      <c r="G79" s="882" t="str">
        <f t="shared" si="20"/>
        <v>4（含）-5</v>
      </c>
      <c r="H79" s="882" t="str">
        <f t="shared" si="20"/>
        <v>5（含）-</v>
      </c>
      <c r="I79" s="882" t="str">
        <f t="shared" si="20"/>
        <v>（含）-</v>
      </c>
      <c r="J79" s="882" t="str">
        <f t="shared" si="20"/>
        <v>（含）-</v>
      </c>
      <c r="K79" s="882" t="str">
        <f t="shared" si="20"/>
        <v>（含）-</v>
      </c>
      <c r="L79" s="882" t="str">
        <f t="shared" si="20"/>
        <v>（含）-</v>
      </c>
      <c r="M79" s="784" t="str">
        <f>M80&amp;"（含）"&amp;"-"&amp;P80</f>
        <v>（含）-</v>
      </c>
      <c r="N79" s="2352"/>
      <c r="O79" s="2352"/>
      <c r="P79" s="332"/>
      <c r="Q79" s="839"/>
    </row>
    <row r="80" spans="1:17" ht="15">
      <c r="A80" s="869"/>
      <c r="B80" s="883"/>
      <c r="C80" s="884">
        <v>0</v>
      </c>
      <c r="D80" s="884">
        <v>1</v>
      </c>
      <c r="E80" s="884">
        <v>2</v>
      </c>
      <c r="F80" s="884">
        <v>3</v>
      </c>
      <c r="G80" s="884">
        <v>4</v>
      </c>
      <c r="H80" s="884">
        <v>5</v>
      </c>
      <c r="I80" s="884"/>
      <c r="J80" s="884"/>
      <c r="K80" s="885"/>
      <c r="L80" s="886"/>
      <c r="M80" s="887"/>
      <c r="N80" s="2351"/>
      <c r="O80" s="2351"/>
      <c r="P80" s="332"/>
      <c r="Q80" s="839"/>
    </row>
    <row r="81" spans="1:17" ht="15.75" thickBot="1">
      <c r="A81" s="869"/>
      <c r="B81" s="870"/>
      <c r="C81" s="879">
        <v>100</v>
      </c>
      <c r="D81" s="879">
        <f t="shared" ref="D81:M81" si="21">IF($B$46="单位面积地价",C81+$K11,C81-$K11)</f>
        <v>99</v>
      </c>
      <c r="E81" s="879">
        <f t="shared" si="21"/>
        <v>98</v>
      </c>
      <c r="F81" s="879">
        <f t="shared" si="21"/>
        <v>97</v>
      </c>
      <c r="G81" s="879">
        <f t="shared" si="21"/>
        <v>96</v>
      </c>
      <c r="H81" s="879">
        <f t="shared" si="21"/>
        <v>95</v>
      </c>
      <c r="I81" s="879">
        <f t="shared" si="21"/>
        <v>94</v>
      </c>
      <c r="J81" s="879">
        <f t="shared" si="21"/>
        <v>93</v>
      </c>
      <c r="K81" s="879">
        <f t="shared" si="21"/>
        <v>92</v>
      </c>
      <c r="L81" s="879">
        <f t="shared" si="21"/>
        <v>91</v>
      </c>
      <c r="M81" s="879">
        <f t="shared" si="21"/>
        <v>90</v>
      </c>
      <c r="N81" s="2352"/>
      <c r="O81" s="2352"/>
      <c r="P81" s="332"/>
      <c r="Q81" s="839"/>
    </row>
    <row r="82" spans="1:17" s="806" customFormat="1" ht="15.75" thickTop="1">
      <c r="A82" s="888"/>
      <c r="B82" s="873" t="str">
        <f>B12</f>
        <v>配建</v>
      </c>
      <c r="C82" s="889" t="s">
        <v>3167</v>
      </c>
      <c r="D82" s="3372" t="s">
        <v>3168</v>
      </c>
      <c r="E82" s="137"/>
      <c r="F82" s="137"/>
      <c r="G82" s="137"/>
      <c r="H82" s="1049"/>
      <c r="I82" s="1049"/>
      <c r="J82" s="1049"/>
      <c r="K82" s="1049"/>
      <c r="L82" s="1050"/>
      <c r="M82" s="1051"/>
      <c r="N82" s="2353"/>
      <c r="O82" s="2353"/>
      <c r="P82" s="893"/>
      <c r="Q82" s="894"/>
    </row>
    <row r="83" spans="1:17" s="806" customFormat="1" ht="15.75" thickBot="1">
      <c r="A83" s="888"/>
      <c r="B83" s="878"/>
      <c r="C83" s="895">
        <v>100</v>
      </c>
      <c r="D83" s="871">
        <v>85</v>
      </c>
      <c r="E83" s="871"/>
      <c r="F83" s="871"/>
      <c r="G83" s="871"/>
      <c r="H83" s="871"/>
      <c r="I83" s="871"/>
      <c r="J83" s="871"/>
      <c r="K83" s="871"/>
      <c r="L83" s="871"/>
      <c r="M83" s="872"/>
      <c r="N83" s="2352"/>
      <c r="O83" s="2352"/>
      <c r="P83" s="893"/>
      <c r="Q83" s="894"/>
    </row>
    <row r="84" spans="1:17" s="806" customFormat="1" ht="15.75" thickTop="1">
      <c r="A84" s="888"/>
      <c r="B84" s="873">
        <f>B13</f>
        <v>0</v>
      </c>
      <c r="C84" s="137"/>
      <c r="D84" s="137"/>
      <c r="E84" s="137"/>
      <c r="F84" s="137"/>
      <c r="G84" s="137"/>
      <c r="H84" s="1049"/>
      <c r="I84" s="1049"/>
      <c r="J84" s="1049"/>
      <c r="K84" s="1049"/>
      <c r="L84" s="1050"/>
      <c r="M84" s="1051"/>
      <c r="N84" s="2353"/>
      <c r="O84" s="2353"/>
      <c r="P84" s="805"/>
      <c r="Q84" s="896"/>
    </row>
    <row r="85" spans="1:17" s="806" customFormat="1" ht="15.75" thickBot="1">
      <c r="A85" s="888"/>
      <c r="B85" s="878"/>
      <c r="C85" s="895"/>
      <c r="D85" s="895"/>
      <c r="E85" s="895"/>
      <c r="F85" s="895"/>
      <c r="G85" s="895"/>
      <c r="H85" s="897"/>
      <c r="I85" s="897"/>
      <c r="J85" s="897"/>
      <c r="K85" s="897"/>
      <c r="L85" s="897"/>
      <c r="M85" s="898"/>
      <c r="N85" s="2353"/>
      <c r="O85" s="2353"/>
      <c r="P85" s="893"/>
      <c r="Q85" s="894"/>
    </row>
    <row r="86" spans="1:17" s="806" customFormat="1" ht="15.75" thickTop="1">
      <c r="A86" s="888"/>
      <c r="B86" s="881">
        <f>B14</f>
        <v>0</v>
      </c>
      <c r="C86" s="138"/>
      <c r="D86" s="138"/>
      <c r="E86" s="138"/>
      <c r="F86" s="138"/>
      <c r="G86" s="138"/>
      <c r="H86" s="1056"/>
      <c r="I86" s="1056"/>
      <c r="J86" s="1056"/>
      <c r="K86" s="1056"/>
      <c r="L86" s="1057"/>
      <c r="M86" s="1058"/>
      <c r="N86" s="2353"/>
      <c r="O86" s="2353"/>
      <c r="P86" s="902"/>
      <c r="Q86" s="894"/>
    </row>
    <row r="87" spans="1:17" s="806" customFormat="1" ht="15.75" thickBot="1">
      <c r="A87" s="903"/>
      <c r="B87" s="904"/>
      <c r="C87" s="905"/>
      <c r="D87" s="905"/>
      <c r="E87" s="905"/>
      <c r="F87" s="905"/>
      <c r="G87" s="905"/>
      <c r="H87" s="906"/>
      <c r="I87" s="906"/>
      <c r="J87" s="906"/>
      <c r="K87" s="906"/>
      <c r="L87" s="906"/>
      <c r="M87" s="907"/>
      <c r="N87" s="2353"/>
      <c r="O87" s="2353"/>
      <c r="P87" s="893"/>
      <c r="Q87" s="894"/>
    </row>
    <row r="88" spans="1:17">
      <c r="A88" s="862" t="s">
        <v>403</v>
      </c>
      <c r="B88" s="863" t="s">
        <v>421</v>
      </c>
      <c r="C88" s="908" t="s">
        <v>422</v>
      </c>
      <c r="D88" s="908" t="s">
        <v>423</v>
      </c>
      <c r="E88" s="908" t="s">
        <v>424</v>
      </c>
      <c r="F88" s="908" t="s">
        <v>425</v>
      </c>
      <c r="G88" s="908" t="s">
        <v>426</v>
      </c>
      <c r="H88" s="864"/>
      <c r="I88" s="864"/>
      <c r="J88" s="864"/>
      <c r="K88" s="909"/>
      <c r="L88" s="910"/>
      <c r="M88" s="911"/>
      <c r="N88" s="2351"/>
      <c r="O88" s="2351"/>
      <c r="P88" s="912"/>
      <c r="Q88" s="839"/>
    </row>
    <row r="89" spans="1:17" ht="15.75" thickBot="1">
      <c r="A89" s="869"/>
      <c r="B89" s="878"/>
      <c r="C89" s="879">
        <v>100</v>
      </c>
      <c r="D89" s="879">
        <f>C89-$K15</f>
        <v>98</v>
      </c>
      <c r="E89" s="879">
        <f>D89-$K15</f>
        <v>96</v>
      </c>
      <c r="F89" s="879">
        <f>E89-$K15</f>
        <v>94</v>
      </c>
      <c r="G89" s="879">
        <f>F89-$K15</f>
        <v>92</v>
      </c>
      <c r="H89" s="879"/>
      <c r="I89" s="879"/>
      <c r="J89" s="879"/>
      <c r="K89" s="879"/>
      <c r="L89" s="879"/>
      <c r="M89" s="880"/>
      <c r="N89" s="2352"/>
      <c r="O89" s="2352"/>
      <c r="P89" s="332"/>
      <c r="Q89" s="839"/>
    </row>
    <row r="90" spans="1:17" ht="15.75" thickTop="1">
      <c r="A90" s="869"/>
      <c r="B90" s="873" t="s">
        <v>502</v>
      </c>
      <c r="C90" s="913" t="s">
        <v>422</v>
      </c>
      <c r="D90" s="913" t="s">
        <v>423</v>
      </c>
      <c r="E90" s="913" t="s">
        <v>424</v>
      </c>
      <c r="F90" s="913" t="s">
        <v>425</v>
      </c>
      <c r="G90" s="913" t="s">
        <v>426</v>
      </c>
      <c r="H90" s="874"/>
      <c r="I90" s="874"/>
      <c r="J90" s="874"/>
      <c r="K90" s="875"/>
      <c r="L90" s="876"/>
      <c r="M90" s="877"/>
      <c r="N90" s="2351"/>
      <c r="O90" s="2351"/>
      <c r="P90" s="332"/>
      <c r="Q90" s="839"/>
    </row>
    <row r="91" spans="1:17" ht="15.75" thickBot="1">
      <c r="A91" s="869"/>
      <c r="B91" s="878"/>
      <c r="C91" s="879">
        <v>100</v>
      </c>
      <c r="D91" s="879">
        <f>C91-$K17</f>
        <v>98</v>
      </c>
      <c r="E91" s="879">
        <f>D91-$K17</f>
        <v>96</v>
      </c>
      <c r="F91" s="879">
        <f>E91-$K17</f>
        <v>94</v>
      </c>
      <c r="G91" s="879">
        <f>F91-$K17</f>
        <v>92</v>
      </c>
      <c r="H91" s="879"/>
      <c r="I91" s="879"/>
      <c r="J91" s="879"/>
      <c r="K91" s="879"/>
      <c r="L91" s="879"/>
      <c r="M91" s="880"/>
      <c r="N91" s="2352"/>
      <c r="O91" s="2352"/>
      <c r="P91" s="332"/>
      <c r="Q91" s="839"/>
    </row>
    <row r="92" spans="1:17" ht="15.75" thickTop="1">
      <c r="A92" s="869"/>
      <c r="B92" s="873" t="s">
        <v>440</v>
      </c>
      <c r="C92" s="913" t="s">
        <v>422</v>
      </c>
      <c r="D92" s="913" t="s">
        <v>423</v>
      </c>
      <c r="E92" s="913" t="s">
        <v>424</v>
      </c>
      <c r="F92" s="913" t="s">
        <v>425</v>
      </c>
      <c r="G92" s="913" t="s">
        <v>426</v>
      </c>
      <c r="H92" s="874"/>
      <c r="I92" s="874"/>
      <c r="J92" s="874"/>
      <c r="K92" s="875"/>
      <c r="L92" s="876"/>
      <c r="M92" s="877"/>
      <c r="N92" s="2351"/>
      <c r="O92" s="2351"/>
      <c r="P92" s="332"/>
      <c r="Q92" s="839"/>
    </row>
    <row r="93" spans="1:17" ht="15.75" thickBot="1">
      <c r="A93" s="869"/>
      <c r="B93" s="878"/>
      <c r="C93" s="879">
        <v>100</v>
      </c>
      <c r="D93" s="879">
        <f>C93-$K19</f>
        <v>98</v>
      </c>
      <c r="E93" s="879">
        <f>D93-$K19</f>
        <v>96</v>
      </c>
      <c r="F93" s="879">
        <f>E93-$K19</f>
        <v>94</v>
      </c>
      <c r="G93" s="879">
        <f>F93-$K19</f>
        <v>92</v>
      </c>
      <c r="H93" s="879"/>
      <c r="I93" s="879"/>
      <c r="J93" s="879"/>
      <c r="K93" s="879"/>
      <c r="L93" s="879"/>
      <c r="M93" s="880"/>
      <c r="N93" s="2352"/>
      <c r="O93" s="2352"/>
      <c r="P93" s="332"/>
      <c r="Q93" s="839"/>
    </row>
    <row r="94" spans="1:17" ht="15.75" thickTop="1">
      <c r="A94" s="869"/>
      <c r="B94" s="873" t="s">
        <v>427</v>
      </c>
      <c r="C94" s="913" t="s">
        <v>422</v>
      </c>
      <c r="D94" s="913" t="s">
        <v>423</v>
      </c>
      <c r="E94" s="913" t="s">
        <v>424</v>
      </c>
      <c r="F94" s="913" t="s">
        <v>425</v>
      </c>
      <c r="G94" s="913" t="s">
        <v>426</v>
      </c>
      <c r="H94" s="874"/>
      <c r="I94" s="874"/>
      <c r="J94" s="874"/>
      <c r="K94" s="875"/>
      <c r="L94" s="876"/>
      <c r="M94" s="877"/>
      <c r="N94" s="2351"/>
      <c r="O94" s="2351"/>
      <c r="P94" s="332"/>
      <c r="Q94" s="839"/>
    </row>
    <row r="95" spans="1:17" ht="15.75" thickBot="1">
      <c r="A95" s="869"/>
      <c r="B95" s="878"/>
      <c r="C95" s="879">
        <v>100</v>
      </c>
      <c r="D95" s="879">
        <f>C95-$K21</f>
        <v>99</v>
      </c>
      <c r="E95" s="879">
        <f>D95-$K21</f>
        <v>98</v>
      </c>
      <c r="F95" s="879">
        <f>E95-$K21</f>
        <v>97</v>
      </c>
      <c r="G95" s="879">
        <f>F95-$K21</f>
        <v>96</v>
      </c>
      <c r="H95" s="879"/>
      <c r="I95" s="879"/>
      <c r="J95" s="879"/>
      <c r="K95" s="879"/>
      <c r="L95" s="879"/>
      <c r="M95" s="880"/>
      <c r="N95" s="2352"/>
      <c r="O95" s="2352"/>
      <c r="P95" s="332"/>
      <c r="Q95" s="839"/>
    </row>
    <row r="96" spans="1:17" s="404" customFormat="1" ht="27.75" thickTop="1">
      <c r="A96" s="914"/>
      <c r="B96" s="873" t="s">
        <v>503</v>
      </c>
      <c r="C96" s="913" t="s">
        <v>422</v>
      </c>
      <c r="D96" s="913" t="s">
        <v>423</v>
      </c>
      <c r="E96" s="913" t="s">
        <v>424</v>
      </c>
      <c r="F96" s="913" t="s">
        <v>425</v>
      </c>
      <c r="G96" s="913" t="s">
        <v>426</v>
      </c>
      <c r="H96" s="913"/>
      <c r="I96" s="913"/>
      <c r="J96" s="913"/>
      <c r="K96" s="913"/>
      <c r="L96" s="1097"/>
      <c r="M96" s="957"/>
      <c r="N96" s="2350"/>
      <c r="O96" s="2350"/>
      <c r="P96" s="332"/>
      <c r="Q96" s="839"/>
    </row>
    <row r="97" spans="1:17" s="404" customFormat="1" ht="15.75" thickBot="1">
      <c r="A97" s="914"/>
      <c r="B97" s="878"/>
      <c r="C97" s="917">
        <v>100</v>
      </c>
      <c r="D97" s="879">
        <f>C97-$K23</f>
        <v>99</v>
      </c>
      <c r="E97" s="879">
        <f>D97-$K23</f>
        <v>98</v>
      </c>
      <c r="F97" s="879">
        <f>E97-$K23</f>
        <v>97</v>
      </c>
      <c r="G97" s="879">
        <f>F97-$K23</f>
        <v>96</v>
      </c>
      <c r="H97" s="879"/>
      <c r="I97" s="879"/>
      <c r="J97" s="879"/>
      <c r="K97" s="879"/>
      <c r="L97" s="879"/>
      <c r="M97" s="880"/>
      <c r="N97" s="2352"/>
      <c r="O97" s="2352"/>
      <c r="P97" s="332"/>
      <c r="Q97" s="839"/>
    </row>
    <row r="98" spans="1:17" s="404" customFormat="1" ht="27.75" thickTop="1">
      <c r="A98" s="914"/>
      <c r="B98" s="873" t="s">
        <v>504</v>
      </c>
      <c r="C98" s="908" t="s">
        <v>422</v>
      </c>
      <c r="D98" s="908" t="s">
        <v>423</v>
      </c>
      <c r="E98" s="908" t="s">
        <v>424</v>
      </c>
      <c r="F98" s="908" t="s">
        <v>425</v>
      </c>
      <c r="G98" s="908" t="s">
        <v>426</v>
      </c>
      <c r="H98" s="913"/>
      <c r="I98" s="913"/>
      <c r="J98" s="913"/>
      <c r="K98" s="913"/>
      <c r="L98" s="913"/>
      <c r="M98" s="957"/>
      <c r="N98" s="2350"/>
      <c r="O98" s="2350"/>
      <c r="P98" s="332"/>
      <c r="Q98" s="839"/>
    </row>
    <row r="99" spans="1:17" s="404" customFormat="1" ht="15.75" thickBot="1">
      <c r="A99" s="914"/>
      <c r="B99" s="878"/>
      <c r="C99" s="879">
        <v>100</v>
      </c>
      <c r="D99" s="879">
        <f>C99-$K25</f>
        <v>99</v>
      </c>
      <c r="E99" s="879">
        <f>D99-$K25</f>
        <v>98</v>
      </c>
      <c r="F99" s="879">
        <f>E99-$K25</f>
        <v>97</v>
      </c>
      <c r="G99" s="879">
        <f>F99-$K25</f>
        <v>96</v>
      </c>
      <c r="H99" s="879"/>
      <c r="I99" s="879"/>
      <c r="J99" s="879"/>
      <c r="K99" s="879"/>
      <c r="L99" s="879"/>
      <c r="M99" s="880"/>
      <c r="N99" s="2352"/>
      <c r="O99" s="2352"/>
      <c r="P99" s="332"/>
      <c r="Q99" s="839"/>
    </row>
    <row r="100" spans="1:17" s="806" customFormat="1" ht="15.75" thickTop="1">
      <c r="A100" s="888"/>
      <c r="B100" s="1044" t="s">
        <v>2660</v>
      </c>
      <c r="C100" s="908" t="s">
        <v>422</v>
      </c>
      <c r="D100" s="908" t="s">
        <v>423</v>
      </c>
      <c r="E100" s="908" t="s">
        <v>424</v>
      </c>
      <c r="F100" s="908" t="s">
        <v>425</v>
      </c>
      <c r="G100" s="908" t="s">
        <v>426</v>
      </c>
      <c r="H100" s="935"/>
      <c r="I100" s="935"/>
      <c r="J100" s="935"/>
      <c r="K100" s="935"/>
      <c r="L100" s="936"/>
      <c r="M100" s="937"/>
      <c r="N100" s="2353"/>
      <c r="O100" s="2353"/>
      <c r="P100" s="893"/>
      <c r="Q100" s="894"/>
    </row>
    <row r="101" spans="1:17" s="806" customFormat="1" ht="15.75" thickBot="1">
      <c r="A101" s="888"/>
      <c r="B101" s="878"/>
      <c r="C101" s="879">
        <v>100</v>
      </c>
      <c r="D101" s="879">
        <f>C101-$K27</f>
        <v>99</v>
      </c>
      <c r="E101" s="879">
        <f>D101-$K27</f>
        <v>98</v>
      </c>
      <c r="F101" s="879">
        <f>E101-$K27</f>
        <v>97</v>
      </c>
      <c r="G101" s="879">
        <f>F101-$K27</f>
        <v>96</v>
      </c>
      <c r="H101" s="942"/>
      <c r="I101" s="942"/>
      <c r="J101" s="942"/>
      <c r="K101" s="942"/>
      <c r="L101" s="942"/>
      <c r="M101" s="943"/>
      <c r="N101" s="2353"/>
      <c r="O101" s="2353"/>
      <c r="P101" s="893"/>
      <c r="Q101" s="894"/>
    </row>
    <row r="102" spans="1:17" s="806" customFormat="1" ht="15.75" thickTop="1">
      <c r="A102" s="888"/>
      <c r="B102" s="1046" t="s">
        <v>2647</v>
      </c>
      <c r="C102" s="211" t="s">
        <v>2648</v>
      </c>
      <c r="D102" s="211" t="s">
        <v>2649</v>
      </c>
      <c r="E102" s="211" t="s">
        <v>2650</v>
      </c>
      <c r="F102" s="211" t="s">
        <v>2651</v>
      </c>
      <c r="G102" s="211" t="s">
        <v>2652</v>
      </c>
      <c r="H102" s="935"/>
      <c r="I102" s="935"/>
      <c r="J102" s="935"/>
      <c r="K102" s="935"/>
      <c r="L102" s="935"/>
      <c r="M102" s="2751"/>
      <c r="N102" s="2353"/>
      <c r="O102" s="2353"/>
      <c r="P102" s="893"/>
      <c r="Q102" s="894"/>
    </row>
    <row r="103" spans="1:17" s="806" customFormat="1" ht="15.75" thickBot="1">
      <c r="A103" s="888"/>
      <c r="B103" s="1046"/>
      <c r="C103" s="879">
        <v>100</v>
      </c>
      <c r="D103" s="879">
        <f>C103-$K29</f>
        <v>99</v>
      </c>
      <c r="E103" s="879">
        <f>D103-$K29</f>
        <v>98</v>
      </c>
      <c r="F103" s="879">
        <f>E103-$K29</f>
        <v>97</v>
      </c>
      <c r="G103" s="879">
        <f>F103-$K29</f>
        <v>96</v>
      </c>
      <c r="H103" s="883"/>
      <c r="I103" s="883"/>
      <c r="J103" s="883"/>
      <c r="K103" s="883"/>
      <c r="L103" s="883"/>
      <c r="M103" s="2751"/>
      <c r="N103" s="2353"/>
      <c r="O103" s="2353"/>
      <c r="P103" s="893"/>
      <c r="Q103" s="894"/>
    </row>
    <row r="104" spans="1:17" ht="15.75" thickTop="1">
      <c r="A104" s="869"/>
      <c r="B104" s="1044" t="str">
        <f>B31</f>
        <v>临街状况</v>
      </c>
      <c r="C104" s="874" t="s">
        <v>505</v>
      </c>
      <c r="D104" s="874" t="s">
        <v>506</v>
      </c>
      <c r="E104" s="874" t="s">
        <v>507</v>
      </c>
      <c r="F104" s="874" t="s">
        <v>508</v>
      </c>
      <c r="G104" s="874"/>
      <c r="H104" s="874"/>
      <c r="I104" s="874"/>
      <c r="J104" s="874"/>
      <c r="K104" s="875"/>
      <c r="L104" s="876"/>
      <c r="M104" s="877"/>
      <c r="N104" s="2351"/>
      <c r="O104" s="2351"/>
      <c r="P104" s="332"/>
      <c r="Q104" s="839"/>
    </row>
    <row r="105" spans="1:17" ht="15.75" thickBot="1">
      <c r="A105" s="869"/>
      <c r="B105" s="878"/>
      <c r="C105" s="879">
        <v>100</v>
      </c>
      <c r="D105" s="879">
        <f>C105-$K31</f>
        <v>99.5</v>
      </c>
      <c r="E105" s="879">
        <f t="shared" ref="E105:M105" si="22">D105-$K31</f>
        <v>99</v>
      </c>
      <c r="F105" s="879">
        <f t="shared" si="22"/>
        <v>98.5</v>
      </c>
      <c r="G105" s="879">
        <f t="shared" si="22"/>
        <v>98</v>
      </c>
      <c r="H105" s="879">
        <f t="shared" si="22"/>
        <v>97.5</v>
      </c>
      <c r="I105" s="879">
        <f t="shared" si="22"/>
        <v>97</v>
      </c>
      <c r="J105" s="879">
        <f t="shared" si="22"/>
        <v>96.5</v>
      </c>
      <c r="K105" s="879">
        <f t="shared" si="22"/>
        <v>96</v>
      </c>
      <c r="L105" s="879">
        <f t="shared" si="22"/>
        <v>95.5</v>
      </c>
      <c r="M105" s="879">
        <f t="shared" si="22"/>
        <v>95</v>
      </c>
      <c r="N105" s="2352"/>
      <c r="O105" s="2352"/>
      <c r="P105" s="332"/>
      <c r="Q105" s="839"/>
    </row>
    <row r="106" spans="1:17" ht="27.75" thickTop="1">
      <c r="A106" s="869"/>
      <c r="B106" s="873" t="s">
        <v>439</v>
      </c>
      <c r="C106" s="137" t="s">
        <v>3084</v>
      </c>
      <c r="D106" s="137" t="s">
        <v>3085</v>
      </c>
      <c r="E106" s="137" t="s">
        <v>3086</v>
      </c>
      <c r="F106" s="137" t="s">
        <v>3088</v>
      </c>
      <c r="G106" s="137" t="s">
        <v>3090</v>
      </c>
      <c r="H106" s="129"/>
      <c r="I106" s="129"/>
      <c r="J106" s="129"/>
      <c r="K106" s="130"/>
      <c r="L106" s="131"/>
      <c r="M106" s="132"/>
      <c r="N106" s="2351"/>
      <c r="O106" s="2351"/>
      <c r="P106" s="332"/>
      <c r="Q106" s="839"/>
    </row>
    <row r="107" spans="1:17" ht="15.75" thickBot="1">
      <c r="A107" s="869"/>
      <c r="B107" s="878"/>
      <c r="C107" s="879">
        <v>100</v>
      </c>
      <c r="D107" s="879">
        <f>C107-$K32</f>
        <v>98</v>
      </c>
      <c r="E107" s="879">
        <f t="shared" ref="E107:M107" si="23">D107-$K32</f>
        <v>96</v>
      </c>
      <c r="F107" s="879">
        <f t="shared" si="23"/>
        <v>94</v>
      </c>
      <c r="G107" s="879">
        <f t="shared" si="23"/>
        <v>92</v>
      </c>
      <c r="H107" s="879">
        <f t="shared" si="23"/>
        <v>90</v>
      </c>
      <c r="I107" s="879">
        <f t="shared" si="23"/>
        <v>88</v>
      </c>
      <c r="J107" s="879">
        <f t="shared" si="23"/>
        <v>86</v>
      </c>
      <c r="K107" s="879">
        <f t="shared" si="23"/>
        <v>84</v>
      </c>
      <c r="L107" s="879">
        <f t="shared" si="23"/>
        <v>82</v>
      </c>
      <c r="M107" s="879">
        <f t="shared" si="23"/>
        <v>80</v>
      </c>
      <c r="N107" s="2352"/>
      <c r="O107" s="2352"/>
      <c r="P107" s="332"/>
      <c r="Q107" s="839"/>
    </row>
    <row r="108" spans="1:17" ht="15.75" thickTop="1">
      <c r="A108" s="869"/>
      <c r="B108" s="873" t="s">
        <v>482</v>
      </c>
      <c r="C108" s="129"/>
      <c r="D108" s="129"/>
      <c r="E108" s="129"/>
      <c r="F108" s="129"/>
      <c r="G108" s="129"/>
      <c r="H108" s="129"/>
      <c r="I108" s="129"/>
      <c r="J108" s="129"/>
      <c r="K108" s="130"/>
      <c r="L108" s="131"/>
      <c r="M108" s="132"/>
      <c r="N108" s="2351"/>
      <c r="O108" s="2351"/>
      <c r="P108" s="332"/>
      <c r="Q108" s="839"/>
    </row>
    <row r="109" spans="1:17" ht="15.75" thickBot="1">
      <c r="A109" s="869"/>
      <c r="B109" s="878"/>
      <c r="C109" s="879">
        <v>100</v>
      </c>
      <c r="D109" s="879">
        <f>C109-$K34</f>
        <v>100</v>
      </c>
      <c r="E109" s="879">
        <f t="shared" ref="E109:M109" si="24">D109-$K34</f>
        <v>100</v>
      </c>
      <c r="F109" s="879">
        <f t="shared" si="24"/>
        <v>100</v>
      </c>
      <c r="G109" s="879">
        <f t="shared" si="24"/>
        <v>100</v>
      </c>
      <c r="H109" s="879">
        <f t="shared" si="24"/>
        <v>100</v>
      </c>
      <c r="I109" s="879">
        <f t="shared" si="24"/>
        <v>100</v>
      </c>
      <c r="J109" s="879">
        <f t="shared" si="24"/>
        <v>100</v>
      </c>
      <c r="K109" s="879">
        <f t="shared" si="24"/>
        <v>100</v>
      </c>
      <c r="L109" s="879">
        <f t="shared" si="24"/>
        <v>100</v>
      </c>
      <c r="M109" s="879">
        <f t="shared" si="24"/>
        <v>100</v>
      </c>
      <c r="N109" s="2352"/>
      <c r="O109" s="2352"/>
      <c r="P109" s="332"/>
      <c r="Q109" s="839"/>
    </row>
    <row r="110" spans="1:17" ht="15.75" thickTop="1">
      <c r="A110" s="869"/>
      <c r="B110" s="881">
        <f>B35</f>
        <v>0</v>
      </c>
      <c r="C110" s="137"/>
      <c r="D110" s="137"/>
      <c r="E110" s="137"/>
      <c r="F110" s="137"/>
      <c r="G110" s="133"/>
      <c r="H110" s="133"/>
      <c r="I110" s="133"/>
      <c r="J110" s="133"/>
      <c r="K110" s="134"/>
      <c r="L110" s="135"/>
      <c r="M110" s="136"/>
      <c r="N110" s="2351"/>
      <c r="O110" s="2351"/>
      <c r="P110" s="332"/>
      <c r="Q110" s="839"/>
    </row>
    <row r="111" spans="1:17" ht="15.75" thickBot="1">
      <c r="A111" s="869"/>
      <c r="B111" s="904"/>
      <c r="C111" s="895"/>
      <c r="D111" s="895"/>
      <c r="E111" s="895"/>
      <c r="F111" s="895"/>
      <c r="G111" s="926"/>
      <c r="H111" s="926"/>
      <c r="I111" s="926"/>
      <c r="J111" s="926"/>
      <c r="K111" s="926"/>
      <c r="L111" s="926"/>
      <c r="M111" s="927"/>
      <c r="N111" s="2352"/>
      <c r="O111" s="2352"/>
      <c r="P111" s="332"/>
      <c r="Q111" s="839"/>
    </row>
    <row r="112" spans="1:17" ht="15" thickTop="1">
      <c r="A112" s="1074"/>
      <c r="B112" s="873">
        <f>B36</f>
        <v>0</v>
      </c>
      <c r="C112" s="138"/>
      <c r="D112" s="138"/>
      <c r="E112" s="138"/>
      <c r="F112" s="138"/>
      <c r="G112" s="129"/>
      <c r="H112" s="129"/>
      <c r="I112" s="129"/>
      <c r="J112" s="129"/>
      <c r="K112" s="130"/>
      <c r="L112" s="131"/>
      <c r="M112" s="132"/>
      <c r="N112" s="2351"/>
      <c r="O112" s="2351"/>
      <c r="P112" s="332"/>
      <c r="Q112" s="839"/>
    </row>
    <row r="113" spans="1:17" ht="15.75" thickBot="1">
      <c r="A113" s="869"/>
      <c r="B113" s="878"/>
      <c r="C113" s="905"/>
      <c r="D113" s="905"/>
      <c r="E113" s="905"/>
      <c r="F113" s="905"/>
      <c r="G113" s="871"/>
      <c r="H113" s="871"/>
      <c r="I113" s="871"/>
      <c r="J113" s="871"/>
      <c r="K113" s="871"/>
      <c r="L113" s="871"/>
      <c r="M113" s="872"/>
      <c r="N113" s="2352"/>
      <c r="O113" s="2352"/>
      <c r="P113" s="332"/>
      <c r="Q113" s="839"/>
    </row>
    <row r="114" spans="1:17" s="806" customFormat="1" ht="15" thickTop="1">
      <c r="A114" s="928"/>
      <c r="B114" s="929">
        <f>B37</f>
        <v>0</v>
      </c>
      <c r="C114" s="1065"/>
      <c r="D114" s="1065"/>
      <c r="E114" s="1065"/>
      <c r="F114" s="1065"/>
      <c r="G114" s="1065"/>
      <c r="H114" s="1065"/>
      <c r="I114" s="1065"/>
      <c r="J114" s="1066"/>
      <c r="K114" s="1066"/>
      <c r="L114" s="1067"/>
      <c r="M114" s="1068"/>
      <c r="N114" s="2353"/>
      <c r="O114" s="2353"/>
      <c r="P114" s="893"/>
      <c r="Q114" s="894"/>
    </row>
    <row r="115" spans="1:17" s="806" customFormat="1" ht="15.75" thickBot="1">
      <c r="A115" s="888"/>
      <c r="B115" s="881"/>
      <c r="C115" s="847"/>
      <c r="D115" s="1076"/>
      <c r="E115" s="1076"/>
      <c r="F115" s="1076"/>
      <c r="G115" s="1076"/>
      <c r="H115" s="1076"/>
      <c r="I115" s="1076"/>
      <c r="J115" s="1076"/>
      <c r="K115" s="1076"/>
      <c r="L115" s="1076"/>
      <c r="M115" s="1098"/>
      <c r="N115" s="2352"/>
      <c r="O115" s="2352"/>
      <c r="P115" s="893"/>
      <c r="Q115" s="894"/>
    </row>
    <row r="116" spans="1:17" ht="28.5">
      <c r="A116" s="862" t="s">
        <v>405</v>
      </c>
      <c r="B116" s="863" t="s">
        <v>509</v>
      </c>
      <c r="C116" s="864" t="str">
        <f>C117&amp;"(含)"&amp;"-"&amp;D117</f>
        <v>0(含)-10000</v>
      </c>
      <c r="D116" s="864" t="str">
        <f t="shared" ref="D116:M116" si="25">D117&amp;"(含)"&amp;"-"&amp;E117</f>
        <v>10000(含)-20000</v>
      </c>
      <c r="E116" s="864" t="str">
        <f t="shared" si="25"/>
        <v>20000(含)-30000</v>
      </c>
      <c r="F116" s="864" t="str">
        <f t="shared" si="25"/>
        <v>30000(含)-40000</v>
      </c>
      <c r="G116" s="864" t="str">
        <f t="shared" si="25"/>
        <v>40000(含)-80000</v>
      </c>
      <c r="H116" s="864" t="str">
        <f t="shared" si="25"/>
        <v>80000(含)-120000</v>
      </c>
      <c r="I116" s="864" t="str">
        <f t="shared" si="25"/>
        <v>120000(含)-160000</v>
      </c>
      <c r="J116" s="864" t="str">
        <f t="shared" si="25"/>
        <v>160000(含)-</v>
      </c>
      <c r="K116" s="864" t="str">
        <f t="shared" si="25"/>
        <v>(含)-</v>
      </c>
      <c r="L116" s="864" t="str">
        <f t="shared" si="25"/>
        <v>(含)-</v>
      </c>
      <c r="M116" s="864" t="str">
        <f t="shared" si="25"/>
        <v>(含)-</v>
      </c>
      <c r="N116" s="2351"/>
      <c r="O116" s="2351"/>
      <c r="P116" s="332"/>
      <c r="Q116" s="839"/>
    </row>
    <row r="117" spans="1:17" ht="15">
      <c r="A117" s="869"/>
      <c r="B117" s="881"/>
      <c r="C117" s="930">
        <v>0</v>
      </c>
      <c r="D117" s="930">
        <v>10000</v>
      </c>
      <c r="E117" s="930">
        <v>20000</v>
      </c>
      <c r="F117" s="930">
        <v>30000</v>
      </c>
      <c r="G117" s="930">
        <v>40000</v>
      </c>
      <c r="H117" s="930">
        <v>80000</v>
      </c>
      <c r="I117" s="930">
        <v>120000</v>
      </c>
      <c r="J117" s="931">
        <v>160000</v>
      </c>
      <c r="K117" s="931"/>
      <c r="L117" s="932"/>
      <c r="M117" s="933"/>
      <c r="N117" s="2351"/>
      <c r="O117" s="2351"/>
      <c r="P117" s="332"/>
      <c r="Q117" s="839"/>
    </row>
    <row r="118" spans="1:17" ht="15.75" thickBot="1">
      <c r="A118" s="869"/>
      <c r="B118" s="878"/>
      <c r="C118" s="905">
        <v>100</v>
      </c>
      <c r="D118" s="926">
        <v>101</v>
      </c>
      <c r="E118" s="926">
        <v>102</v>
      </c>
      <c r="F118" s="926">
        <v>103</v>
      </c>
      <c r="G118" s="926">
        <v>104</v>
      </c>
      <c r="H118" s="926">
        <v>105</v>
      </c>
      <c r="I118" s="926">
        <v>106</v>
      </c>
      <c r="J118" s="926">
        <v>107</v>
      </c>
      <c r="K118" s="926"/>
      <c r="L118" s="926"/>
      <c r="M118" s="927"/>
      <c r="N118" s="2352"/>
      <c r="O118" s="2352"/>
      <c r="P118" s="332"/>
      <c r="Q118" s="839"/>
    </row>
    <row r="119" spans="1:17" ht="15" thickTop="1">
      <c r="A119" s="934"/>
      <c r="B119" s="873" t="s">
        <v>510</v>
      </c>
      <c r="C119" s="129" t="s">
        <v>3091</v>
      </c>
      <c r="D119" s="129" t="s">
        <v>3093</v>
      </c>
      <c r="E119" s="129" t="s">
        <v>3094</v>
      </c>
      <c r="F119" s="129" t="s">
        <v>3095</v>
      </c>
      <c r="G119" s="129" t="s">
        <v>3096</v>
      </c>
      <c r="H119" s="129"/>
      <c r="I119" s="129"/>
      <c r="J119" s="129"/>
      <c r="K119" s="130"/>
      <c r="L119" s="131"/>
      <c r="M119" s="132"/>
      <c r="N119" s="2351"/>
      <c r="O119" s="2351"/>
      <c r="P119" s="332"/>
      <c r="Q119" s="839"/>
    </row>
    <row r="120" spans="1:17" ht="15.75" thickBot="1">
      <c r="A120" s="869"/>
      <c r="B120" s="878"/>
      <c r="C120" s="879">
        <v>100</v>
      </c>
      <c r="D120" s="879">
        <f t="shared" ref="D120:M120" si="26">C120-$K39</f>
        <v>99</v>
      </c>
      <c r="E120" s="879">
        <f t="shared" si="26"/>
        <v>98</v>
      </c>
      <c r="F120" s="879">
        <f t="shared" si="26"/>
        <v>97</v>
      </c>
      <c r="G120" s="879">
        <f t="shared" si="26"/>
        <v>96</v>
      </c>
      <c r="H120" s="879">
        <f t="shared" si="26"/>
        <v>95</v>
      </c>
      <c r="I120" s="879">
        <f t="shared" si="26"/>
        <v>94</v>
      </c>
      <c r="J120" s="879">
        <f t="shared" si="26"/>
        <v>93</v>
      </c>
      <c r="K120" s="879">
        <f t="shared" si="26"/>
        <v>92</v>
      </c>
      <c r="L120" s="879">
        <f t="shared" si="26"/>
        <v>91</v>
      </c>
      <c r="M120" s="880">
        <f t="shared" si="26"/>
        <v>90</v>
      </c>
      <c r="N120" s="2352"/>
      <c r="O120" s="2352"/>
      <c r="P120" s="332"/>
      <c r="Q120" s="839"/>
    </row>
    <row r="121" spans="1:17" ht="15" thickTop="1">
      <c r="A121" s="934"/>
      <c r="B121" s="873" t="s">
        <v>511</v>
      </c>
      <c r="C121" s="137"/>
      <c r="D121" s="137"/>
      <c r="E121" s="137"/>
      <c r="F121" s="129"/>
      <c r="G121" s="129"/>
      <c r="H121" s="129"/>
      <c r="I121" s="129"/>
      <c r="J121" s="129"/>
      <c r="K121" s="130"/>
      <c r="L121" s="131"/>
      <c r="M121" s="132"/>
      <c r="N121" s="2351"/>
      <c r="O121" s="2351"/>
      <c r="P121" s="332"/>
      <c r="Q121" s="839"/>
    </row>
    <row r="122" spans="1:17" ht="15.75" thickBot="1">
      <c r="A122" s="869"/>
      <c r="B122" s="878"/>
      <c r="C122" s="879">
        <v>100</v>
      </c>
      <c r="D122" s="879">
        <f t="shared" ref="D122:M122" si="27">C122-$K40</f>
        <v>100</v>
      </c>
      <c r="E122" s="879">
        <f t="shared" si="27"/>
        <v>100</v>
      </c>
      <c r="F122" s="879">
        <f t="shared" si="27"/>
        <v>100</v>
      </c>
      <c r="G122" s="879">
        <f t="shared" si="27"/>
        <v>100</v>
      </c>
      <c r="H122" s="879">
        <f t="shared" si="27"/>
        <v>100</v>
      </c>
      <c r="I122" s="879">
        <f t="shared" si="27"/>
        <v>100</v>
      </c>
      <c r="J122" s="879">
        <f t="shared" si="27"/>
        <v>100</v>
      </c>
      <c r="K122" s="879">
        <f t="shared" si="27"/>
        <v>100</v>
      </c>
      <c r="L122" s="879">
        <f t="shared" si="27"/>
        <v>100</v>
      </c>
      <c r="M122" s="880">
        <f t="shared" si="27"/>
        <v>100</v>
      </c>
      <c r="N122" s="2352"/>
      <c r="O122" s="2352"/>
      <c r="P122" s="332"/>
      <c r="Q122" s="839"/>
    </row>
    <row r="123" spans="1:17" s="806" customFormat="1" ht="15" thickTop="1">
      <c r="A123" s="928"/>
      <c r="B123" s="1044" t="s">
        <v>2491</v>
      </c>
      <c r="C123" s="137" t="s">
        <v>3097</v>
      </c>
      <c r="D123" s="137" t="s">
        <v>3099</v>
      </c>
      <c r="E123" s="137" t="s">
        <v>3100</v>
      </c>
      <c r="F123" s="137" t="s">
        <v>3101</v>
      </c>
      <c r="G123" s="137" t="s">
        <v>3103</v>
      </c>
      <c r="H123" s="129"/>
      <c r="I123" s="129"/>
      <c r="J123" s="129"/>
      <c r="K123" s="130"/>
      <c r="L123" s="131"/>
      <c r="M123" s="132"/>
      <c r="N123" s="2353"/>
      <c r="O123" s="2353"/>
      <c r="P123" s="893"/>
      <c r="Q123" s="894"/>
    </row>
    <row r="124" spans="1:17" s="806" customFormat="1" ht="15.75" thickBot="1">
      <c r="A124" s="888"/>
      <c r="B124" s="878"/>
      <c r="C124" s="879">
        <v>100</v>
      </c>
      <c r="D124" s="879">
        <f>C124-$K41</f>
        <v>99.5</v>
      </c>
      <c r="E124" s="879">
        <f t="shared" ref="E124:M124" si="28">D124-$K41</f>
        <v>99</v>
      </c>
      <c r="F124" s="879">
        <f t="shared" si="28"/>
        <v>98.5</v>
      </c>
      <c r="G124" s="879">
        <f t="shared" si="28"/>
        <v>98</v>
      </c>
      <c r="H124" s="879">
        <f t="shared" si="28"/>
        <v>97.5</v>
      </c>
      <c r="I124" s="879">
        <f t="shared" si="28"/>
        <v>97</v>
      </c>
      <c r="J124" s="879">
        <f t="shared" si="28"/>
        <v>96.5</v>
      </c>
      <c r="K124" s="879">
        <f t="shared" si="28"/>
        <v>96</v>
      </c>
      <c r="L124" s="879">
        <f t="shared" si="28"/>
        <v>95.5</v>
      </c>
      <c r="M124" s="880">
        <f t="shared" si="28"/>
        <v>95</v>
      </c>
      <c r="N124" s="2353"/>
      <c r="O124" s="2353"/>
      <c r="P124" s="893"/>
      <c r="Q124" s="894"/>
    </row>
    <row r="125" spans="1:17" ht="15" thickTop="1">
      <c r="A125" s="934"/>
      <c r="B125" s="873" t="s">
        <v>512</v>
      </c>
      <c r="C125" s="137" t="s">
        <v>3104</v>
      </c>
      <c r="D125" s="137" t="s">
        <v>3105</v>
      </c>
      <c r="E125" s="129"/>
      <c r="F125" s="129"/>
      <c r="G125" s="129"/>
      <c r="H125" s="129"/>
      <c r="I125" s="129"/>
      <c r="J125" s="129"/>
      <c r="K125" s="130"/>
      <c r="L125" s="131"/>
      <c r="M125" s="132"/>
      <c r="N125" s="2351"/>
      <c r="O125" s="2351"/>
      <c r="P125" s="332"/>
      <c r="Q125" s="839"/>
    </row>
    <row r="126" spans="1:17" ht="15.75" thickBot="1">
      <c r="A126" s="869"/>
      <c r="B126" s="878"/>
      <c r="C126" s="879">
        <v>100</v>
      </c>
      <c r="D126" s="879">
        <f t="shared" ref="D126:M126" si="29">C126-$K42</f>
        <v>99</v>
      </c>
      <c r="E126" s="879">
        <f t="shared" si="29"/>
        <v>98</v>
      </c>
      <c r="F126" s="879">
        <f t="shared" si="29"/>
        <v>97</v>
      </c>
      <c r="G126" s="879">
        <f t="shared" si="29"/>
        <v>96</v>
      </c>
      <c r="H126" s="879">
        <f t="shared" si="29"/>
        <v>95</v>
      </c>
      <c r="I126" s="879">
        <f t="shared" si="29"/>
        <v>94</v>
      </c>
      <c r="J126" s="879">
        <f t="shared" si="29"/>
        <v>93</v>
      </c>
      <c r="K126" s="879">
        <f t="shared" si="29"/>
        <v>92</v>
      </c>
      <c r="L126" s="879">
        <f t="shared" si="29"/>
        <v>91</v>
      </c>
      <c r="M126" s="880">
        <f t="shared" si="29"/>
        <v>90</v>
      </c>
      <c r="N126" s="2352"/>
      <c r="O126" s="2352"/>
      <c r="P126" s="332"/>
      <c r="Q126" s="839"/>
    </row>
    <row r="127" spans="1:17" ht="15" thickTop="1">
      <c r="A127" s="934"/>
      <c r="B127" s="873">
        <f>B43</f>
        <v>0</v>
      </c>
      <c r="C127" s="137"/>
      <c r="D127" s="137"/>
      <c r="E127" s="137"/>
      <c r="F127" s="137"/>
      <c r="G127" s="137"/>
      <c r="H127" s="129"/>
      <c r="I127" s="129"/>
      <c r="J127" s="129"/>
      <c r="K127" s="130"/>
      <c r="L127" s="131"/>
      <c r="M127" s="132"/>
      <c r="N127" s="2351"/>
      <c r="O127" s="2351"/>
      <c r="P127" s="332"/>
      <c r="Q127" s="839"/>
    </row>
    <row r="128" spans="1:17" ht="15.75" thickBot="1">
      <c r="A128" s="869"/>
      <c r="B128" s="878"/>
      <c r="C128" s="895"/>
      <c r="D128" s="895"/>
      <c r="E128" s="895"/>
      <c r="F128" s="895"/>
      <c r="G128" s="871"/>
      <c r="H128" s="871"/>
      <c r="I128" s="871"/>
      <c r="J128" s="871"/>
      <c r="K128" s="871"/>
      <c r="L128" s="871"/>
      <c r="M128" s="872"/>
      <c r="N128" s="2352"/>
      <c r="O128" s="2352"/>
      <c r="P128" s="332"/>
      <c r="Q128" s="839"/>
    </row>
    <row r="129" spans="1:17" ht="15" thickTop="1">
      <c r="A129" s="934"/>
      <c r="B129" s="873">
        <f>B44</f>
        <v>0</v>
      </c>
      <c r="C129" s="138"/>
      <c r="D129" s="138"/>
      <c r="E129" s="138"/>
      <c r="F129" s="138"/>
      <c r="G129" s="129"/>
      <c r="H129" s="129"/>
      <c r="I129" s="129"/>
      <c r="J129" s="129"/>
      <c r="K129" s="130"/>
      <c r="L129" s="131"/>
      <c r="M129" s="132"/>
      <c r="N129" s="2351"/>
      <c r="O129" s="2351"/>
      <c r="P129" s="332"/>
      <c r="Q129" s="839"/>
    </row>
    <row r="130" spans="1:17" ht="15.75" thickBot="1">
      <c r="A130" s="869"/>
      <c r="B130" s="878"/>
      <c r="C130" s="905"/>
      <c r="D130" s="905"/>
      <c r="E130" s="905"/>
      <c r="F130" s="905"/>
      <c r="G130" s="871"/>
      <c r="H130" s="871"/>
      <c r="I130" s="871"/>
      <c r="J130" s="871"/>
      <c r="K130" s="871"/>
      <c r="L130" s="871"/>
      <c r="M130" s="872"/>
      <c r="N130" s="2352"/>
      <c r="O130" s="2352"/>
      <c r="P130" s="332"/>
      <c r="Q130" s="839"/>
    </row>
    <row r="131" spans="1:17" s="806" customFormat="1" ht="15" thickTop="1">
      <c r="A131" s="928"/>
      <c r="B131" s="873">
        <f>B45</f>
        <v>0</v>
      </c>
      <c r="C131" s="138"/>
      <c r="D131" s="138"/>
      <c r="E131" s="138"/>
      <c r="F131" s="138"/>
      <c r="G131" s="1049"/>
      <c r="H131" s="1049"/>
      <c r="I131" s="1049"/>
      <c r="J131" s="1049"/>
      <c r="K131" s="1049"/>
      <c r="L131" s="1050"/>
      <c r="M131" s="1051"/>
      <c r="N131" s="2353"/>
      <c r="O131" s="2353"/>
      <c r="P131" s="893"/>
      <c r="Q131" s="894"/>
    </row>
    <row r="132" spans="1:17" s="806" customFormat="1" ht="15.75" thickBot="1">
      <c r="A132" s="903"/>
      <c r="B132" s="1099"/>
      <c r="C132" s="905"/>
      <c r="D132" s="905"/>
      <c r="E132" s="905"/>
      <c r="F132" s="905"/>
      <c r="G132" s="926"/>
      <c r="H132" s="926"/>
      <c r="I132" s="926"/>
      <c r="J132" s="926"/>
      <c r="K132" s="926"/>
      <c r="L132" s="926"/>
      <c r="M132" s="927"/>
      <c r="N132" s="2353"/>
      <c r="O132" s="2353"/>
      <c r="P132" s="893"/>
      <c r="Q132" s="894"/>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8" sqref="E8"/>
    </sheetView>
  </sheetViews>
  <sheetFormatPr defaultColWidth="6.625" defaultRowHeight="12.75"/>
  <cols>
    <col min="1" max="1" width="9.75" style="1455" customWidth="1"/>
    <col min="2" max="2" width="25.75" style="1789" customWidth="1"/>
    <col min="3" max="3" width="10.375" style="1833" customWidth="1"/>
    <col min="4" max="4" width="9.875" style="1789" customWidth="1"/>
    <col min="5" max="5" width="9.5" style="1455" customWidth="1"/>
    <col min="6" max="6" width="10.125" style="1789" customWidth="1"/>
    <col min="7" max="7" width="10.75" style="1789" customWidth="1"/>
    <col min="8" max="8" width="10" style="1789" customWidth="1"/>
    <col min="9" max="11" width="9.5" style="1789" customWidth="1"/>
    <col min="12" max="12" width="9" style="1789" customWidth="1"/>
    <col min="13" max="13" width="10.5" style="1789" bestFit="1" customWidth="1"/>
    <col min="14" max="254" width="9" style="1789" customWidth="1"/>
    <col min="255" max="16384" width="6.625" style="1789"/>
  </cols>
  <sheetData>
    <row r="1" spans="1:33" ht="20.25">
      <c r="A1" s="568" t="s">
        <v>865</v>
      </c>
      <c r="B1" s="3031"/>
      <c r="C1" s="3032"/>
      <c r="D1" s="3030"/>
      <c r="E1" s="648"/>
      <c r="F1" s="648"/>
      <c r="G1" s="3031"/>
      <c r="H1" s="648"/>
      <c r="I1" s="648"/>
      <c r="J1" s="648"/>
      <c r="K1" s="648">
        <f>MATCH(C1,'数据-取费表'!A6:A16,0)+5</f>
        <v>9</v>
      </c>
    </row>
    <row r="2" spans="1:33" ht="18" customHeight="1">
      <c r="A2" s="573" t="s">
        <v>814</v>
      </c>
      <c r="B2" s="576">
        <f ca="1">C32</f>
        <v>124495</v>
      </c>
      <c r="C2" s="88" t="s">
        <v>1092</v>
      </c>
      <c r="D2" s="648"/>
      <c r="E2" s="648"/>
      <c r="F2" s="648"/>
      <c r="G2" s="648"/>
      <c r="H2" s="648"/>
      <c r="I2" s="648"/>
      <c r="J2" s="648"/>
      <c r="K2" s="648"/>
    </row>
    <row r="3" spans="1:33" ht="18" customHeight="1" thickBot="1">
      <c r="A3" s="575" t="s">
        <v>815</v>
      </c>
      <c r="B3" s="576">
        <f ca="1">ROUND(B2*10000/IF(C1="",'数据-汇总表'!E3,INDIRECT("'数据-取费表'!K"&amp;$K$1)),0)</f>
        <v>28450</v>
      </c>
      <c r="C3" s="88" t="s">
        <v>864</v>
      </c>
      <c r="D3" s="648"/>
      <c r="E3" s="648"/>
      <c r="F3" s="648"/>
      <c r="G3" s="648"/>
      <c r="H3" s="648"/>
      <c r="I3" s="648"/>
      <c r="J3" s="648"/>
      <c r="K3" s="648"/>
    </row>
    <row r="4" spans="1:33" s="1793" customFormat="1" ht="16.5" customHeight="1">
      <c r="A4" s="1790" t="s">
        <v>866</v>
      </c>
      <c r="B4" s="1791"/>
      <c r="C4" s="1834">
        <f>SUM(C8:K8)</f>
        <v>173930</v>
      </c>
      <c r="D4" s="1791"/>
      <c r="E4" s="1791"/>
      <c r="F4" s="1791"/>
      <c r="G4" s="1791"/>
      <c r="H4" s="1791"/>
      <c r="I4" s="1791"/>
      <c r="J4" s="1791"/>
      <c r="K4" s="1792"/>
    </row>
    <row r="5" spans="1:33" s="1797" customFormat="1" ht="24">
      <c r="A5" s="1794" t="s">
        <v>867</v>
      </c>
      <c r="B5" s="1795" t="s">
        <v>868</v>
      </c>
      <c r="C5" s="1263" t="s">
        <v>3128</v>
      </c>
      <c r="D5" s="1263" t="s">
        <v>3138</v>
      </c>
      <c r="E5" s="1263" t="s">
        <v>3069</v>
      </c>
      <c r="F5" s="1263"/>
      <c r="G5" s="1263"/>
      <c r="H5" s="1263"/>
      <c r="I5" s="1263"/>
      <c r="J5" s="1263"/>
      <c r="K5" s="1263"/>
      <c r="L5" s="1796"/>
      <c r="M5" s="1796"/>
      <c r="N5" s="1796"/>
      <c r="O5" s="1796"/>
      <c r="P5" s="1796"/>
      <c r="Q5" s="1796"/>
      <c r="R5" s="1796"/>
      <c r="S5" s="1796"/>
      <c r="T5" s="1796"/>
      <c r="U5" s="1796"/>
      <c r="V5" s="1796"/>
      <c r="W5" s="1796"/>
      <c r="X5" s="1796"/>
      <c r="Y5" s="1796"/>
      <c r="Z5" s="1796"/>
      <c r="AA5" s="1796"/>
      <c r="AB5" s="1796"/>
      <c r="AC5" s="1796"/>
      <c r="AD5" s="1796"/>
      <c r="AE5" s="1796"/>
      <c r="AF5" s="1796"/>
      <c r="AG5" s="1796"/>
    </row>
    <row r="6" spans="1:33" s="1802" customFormat="1" ht="13.5" customHeight="1">
      <c r="A6" s="1798" t="s">
        <v>1925</v>
      </c>
      <c r="B6" s="467" t="s">
        <v>869</v>
      </c>
      <c r="C6" s="1799">
        <v>17500</v>
      </c>
      <c r="D6" s="1799">
        <f>'比较法-住宅'!C48</f>
        <v>75503</v>
      </c>
      <c r="E6" s="1799">
        <f>'比较法-车位'!B3</f>
        <v>8079</v>
      </c>
      <c r="F6" s="1799"/>
      <c r="G6" s="1799"/>
      <c r="H6" s="1799"/>
      <c r="I6" s="1799"/>
      <c r="J6" s="1799"/>
      <c r="K6" s="1800"/>
      <c r="L6" s="1801"/>
      <c r="M6" s="1801"/>
      <c r="N6" s="1801"/>
      <c r="O6" s="1801"/>
      <c r="P6" s="1801"/>
      <c r="Q6" s="1801"/>
      <c r="R6" s="1801"/>
      <c r="S6" s="1801"/>
      <c r="T6" s="1801"/>
      <c r="U6" s="1801"/>
      <c r="V6" s="1801"/>
      <c r="W6" s="1801"/>
      <c r="X6" s="1801"/>
      <c r="Y6" s="1801"/>
      <c r="Z6" s="1801"/>
      <c r="AA6" s="1801"/>
      <c r="AB6" s="1801"/>
      <c r="AC6" s="1801"/>
      <c r="AD6" s="1801"/>
      <c r="AE6" s="1801"/>
      <c r="AF6" s="1801"/>
      <c r="AG6" s="1801"/>
    </row>
    <row r="7" spans="1:33" s="1802" customFormat="1" ht="13.5" customHeight="1">
      <c r="A7" s="1803" t="s">
        <v>1906</v>
      </c>
      <c r="B7" s="467" t="s">
        <v>870</v>
      </c>
      <c r="C7" s="649">
        <f>SUMIF('数据-汇总表'!$C19:$C33,假设开发法!C5,'数据-汇总表'!$E19:$E33)</f>
        <v>14740.03</v>
      </c>
      <c r="D7" s="649">
        <f>SUMIF('数据-汇总表'!$C19:$C33,假设开发法!D5,'数据-汇总表'!$E19:$E33)</f>
        <v>18516.330000000002</v>
      </c>
      <c r="E7" s="649">
        <f>SUMIF('数据-汇总表'!$C19:$C33,假设开发法!E5,'数据-汇总表'!$E19:$E33)</f>
        <v>10312.16</v>
      </c>
      <c r="F7" s="649">
        <f>SUMIF('数据-汇总表'!$C19:$C33,假设开发法!F5,'数据-汇总表'!$E19:$E33)</f>
        <v>0</v>
      </c>
      <c r="G7" s="649">
        <f>SUMIF('数据-汇总表'!$C19:$C33,假设开发法!G5,'数据-汇总表'!$E19:$E33)</f>
        <v>0</v>
      </c>
      <c r="H7" s="649">
        <f>SUMIF('数据-汇总表'!$C19:$C33,假设开发法!H5,'数据-汇总表'!$E19:$E33)</f>
        <v>0</v>
      </c>
      <c r="I7" s="649">
        <f>SUMIF('数据-汇总表'!$C19:$C33,假设开发法!I5,'数据-汇总表'!$E19:$E33)</f>
        <v>0</v>
      </c>
      <c r="J7" s="649">
        <f>SUMIF('数据-汇总表'!$C19:$C33,假设开发法!J5,'数据-汇总表'!$E19:$E33)</f>
        <v>0</v>
      </c>
      <c r="K7" s="650">
        <f>SUMIF('数据-汇总表'!$C19:$C33,假设开发法!K5,'数据-汇总表'!$E19:$E33)</f>
        <v>0</v>
      </c>
      <c r="L7" s="1801"/>
      <c r="M7" s="1801"/>
      <c r="N7" s="1801"/>
      <c r="O7" s="1801"/>
      <c r="P7" s="1801"/>
      <c r="Q7" s="1801"/>
      <c r="R7" s="1801"/>
      <c r="S7" s="1801"/>
      <c r="T7" s="1801"/>
      <c r="U7" s="1801"/>
      <c r="V7" s="1801"/>
      <c r="W7" s="1801"/>
      <c r="X7" s="1801"/>
      <c r="Y7" s="1801"/>
      <c r="Z7" s="1801"/>
      <c r="AA7" s="1801"/>
      <c r="AB7" s="1801"/>
      <c r="AC7" s="1801"/>
      <c r="AD7" s="1801"/>
      <c r="AE7" s="1801"/>
      <c r="AF7" s="1801"/>
      <c r="AG7" s="1801"/>
    </row>
    <row r="8" spans="1:33" s="1802" customFormat="1" ht="13.5" customHeight="1" thickBot="1">
      <c r="A8" s="1835" t="s">
        <v>1907</v>
      </c>
      <c r="B8" s="505" t="s">
        <v>871</v>
      </c>
      <c r="C8" s="1836">
        <f>ROUND(C6*C7/10000,0)</f>
        <v>25795</v>
      </c>
      <c r="D8" s="1836">
        <f>ROUND(D6*D7/10000,0)</f>
        <v>139804</v>
      </c>
      <c r="E8" s="1836">
        <f>'比较法-车位'!B2</f>
        <v>8331</v>
      </c>
      <c r="F8" s="1837"/>
      <c r="G8" s="1837"/>
      <c r="H8" s="1837"/>
      <c r="I8" s="1837"/>
      <c r="J8" s="1837"/>
      <c r="K8" s="1838"/>
      <c r="L8" s="1801"/>
      <c r="M8" s="1801"/>
      <c r="N8" s="1801"/>
      <c r="O8" s="1801"/>
      <c r="P8" s="1801"/>
      <c r="Q8" s="1801"/>
      <c r="R8" s="1801"/>
      <c r="S8" s="1801"/>
      <c r="T8" s="1801"/>
      <c r="U8" s="1801"/>
      <c r="V8" s="1801"/>
      <c r="W8" s="1801"/>
      <c r="X8" s="1801"/>
      <c r="Y8" s="1801"/>
      <c r="Z8" s="1801"/>
      <c r="AA8" s="1801"/>
      <c r="AB8" s="1801"/>
      <c r="AC8" s="1801"/>
      <c r="AD8" s="1801"/>
      <c r="AE8" s="1801"/>
      <c r="AF8" s="1801"/>
      <c r="AG8" s="1801"/>
    </row>
    <row r="9" spans="1:33" s="1793" customFormat="1" ht="16.5" customHeight="1">
      <c r="A9" s="1790" t="s">
        <v>872</v>
      </c>
      <c r="B9" s="1791"/>
      <c r="C9" s="1791"/>
      <c r="D9" s="1791"/>
      <c r="E9" s="1791"/>
      <c r="F9" s="1791"/>
      <c r="G9" s="1791"/>
      <c r="H9" s="1791"/>
      <c r="I9" s="1791"/>
      <c r="J9" s="1791"/>
      <c r="K9" s="1792"/>
    </row>
    <row r="10" spans="1:33" s="1808" customFormat="1" ht="13.5" customHeight="1">
      <c r="A10" s="1794" t="s">
        <v>867</v>
      </c>
      <c r="B10" s="293" t="s">
        <v>868</v>
      </c>
      <c r="C10" s="1804" t="s">
        <v>873</v>
      </c>
      <c r="D10" s="1805" t="s">
        <v>874</v>
      </c>
      <c r="E10" s="1805" t="s">
        <v>875</v>
      </c>
      <c r="F10" s="1805" t="s">
        <v>876</v>
      </c>
      <c r="G10" s="293"/>
      <c r="H10" s="1806"/>
      <c r="I10" s="1806"/>
      <c r="J10" s="1806"/>
      <c r="K10" s="1807"/>
    </row>
    <row r="11" spans="1:33" s="1813" customFormat="1" ht="13.5" customHeight="1">
      <c r="A11" s="1809" t="s">
        <v>2940</v>
      </c>
      <c r="B11" s="1810" t="s">
        <v>877</v>
      </c>
      <c r="C11" s="651">
        <f ca="1">IF(C1="",'数据-取费表'!P16,INDIRECT("'数据-取费表'!p"&amp;$K$1)+INDIRECT("'数据-取费表'!ar"&amp;$K$1))</f>
        <v>7925</v>
      </c>
      <c r="D11" s="1811"/>
      <c r="E11" s="711"/>
      <c r="F11" s="1812">
        <f ca="1">1-IF('数据-取费表'!B24=0,1,IF(C1="",'数据-取费表'!N16,INDIRECT("'数据-取费表'!n"&amp;$K$1)))</f>
        <v>0.50600000000000001</v>
      </c>
      <c r="G11" s="293"/>
      <c r="H11" s="1806"/>
      <c r="I11" s="1806"/>
      <c r="J11" s="1806"/>
      <c r="K11" s="1807"/>
    </row>
    <row r="12" spans="1:33" s="1813" customFormat="1" ht="13.5" customHeight="1">
      <c r="A12" s="1809" t="s">
        <v>2941</v>
      </c>
      <c r="B12" s="1810" t="s">
        <v>878</v>
      </c>
      <c r="C12" s="311">
        <f ca="1">ROUND(C11*F12,0)</f>
        <v>238</v>
      </c>
      <c r="D12" s="1811"/>
      <c r="E12" s="711"/>
      <c r="F12" s="1814">
        <f>'数据-取费表'!B33</f>
        <v>0.03</v>
      </c>
      <c r="G12" s="293" t="s">
        <v>879</v>
      </c>
      <c r="H12" s="1806"/>
      <c r="I12" s="1806"/>
      <c r="J12" s="1806"/>
      <c r="K12" s="1807"/>
    </row>
    <row r="13" spans="1:33" s="1813" customFormat="1" ht="13.5" customHeight="1">
      <c r="A13" s="1809" t="s">
        <v>2942</v>
      </c>
      <c r="B13" s="1810" t="s">
        <v>880</v>
      </c>
      <c r="C13" s="311">
        <f ca="1">ROUND(IF(C1="",SUMIF('数据-取费表'!C:C,"住宅",'数据-取费表'!P:P)*F13,IF(INDIRECT("'数据-取费表'!c"&amp;$K$1)="住宅",INDIRECT("'数据-取费表'!P"&amp;$K$1)*F13,0)),0)</f>
        <v>129</v>
      </c>
      <c r="D13" s="1892"/>
      <c r="E13" s="711"/>
      <c r="F13" s="1814">
        <f>'数据-取费表'!B34</f>
        <v>0.02</v>
      </c>
      <c r="G13" s="293" t="s">
        <v>881</v>
      </c>
      <c r="H13" s="1806"/>
      <c r="I13" s="1806"/>
      <c r="J13" s="1806"/>
      <c r="K13" s="1807"/>
    </row>
    <row r="14" spans="1:33" s="1815" customFormat="1" ht="13.5" customHeight="1">
      <c r="A14" s="1809" t="s">
        <v>2943</v>
      </c>
      <c r="B14" s="1810" t="s">
        <v>882</v>
      </c>
      <c r="C14" s="311">
        <f ca="1">ROUND(D14*E14*F11/10000,0)</f>
        <v>443</v>
      </c>
      <c r="D14" s="1892">
        <f ca="1">IF(C1="",'数据-汇总表'!E3,INDIRECT("'数据-取费表'!K"&amp;$K$1)+INDIRECT("'数据-取费表'!S"&amp;$K$1))</f>
        <v>43758.520000000004</v>
      </c>
      <c r="E14" s="311">
        <f>'数据-取费表'!B35</f>
        <v>200</v>
      </c>
      <c r="F14" s="1814"/>
      <c r="G14" s="293" t="s">
        <v>883</v>
      </c>
      <c r="H14" s="1806"/>
      <c r="I14" s="1806"/>
      <c r="J14" s="1806"/>
      <c r="K14" s="1807"/>
      <c r="L14" s="1813"/>
      <c r="M14" s="1813"/>
      <c r="N14" s="1813"/>
      <c r="O14" s="1813"/>
      <c r="P14" s="1813"/>
      <c r="Q14" s="1813"/>
      <c r="R14" s="1813"/>
      <c r="S14" s="1813"/>
      <c r="T14" s="1813"/>
      <c r="U14" s="1813"/>
      <c r="V14" s="1813"/>
      <c r="W14" s="1813"/>
      <c r="X14" s="1813"/>
      <c r="Y14" s="1813"/>
      <c r="Z14" s="1813"/>
      <c r="AA14" s="1813"/>
      <c r="AB14" s="1813"/>
      <c r="AC14" s="1813"/>
      <c r="AD14" s="1813"/>
      <c r="AE14" s="1813"/>
      <c r="AF14" s="1813"/>
      <c r="AG14" s="1813"/>
    </row>
    <row r="15" spans="1:33" s="1815" customFormat="1" ht="13.5" customHeight="1">
      <c r="A15" s="1809" t="s">
        <v>2944</v>
      </c>
      <c r="B15" s="1810" t="s">
        <v>889</v>
      </c>
      <c r="C15" s="1821">
        <f ca="1">ROUND(C11*F15,0)</f>
        <v>119</v>
      </c>
      <c r="D15" s="1816"/>
      <c r="E15" s="1821"/>
      <c r="F15" s="1822">
        <f>'数据-取费表'!B36</f>
        <v>1.4999999999999999E-2</v>
      </c>
      <c r="G15" s="467" t="s">
        <v>890</v>
      </c>
      <c r="H15" s="1817"/>
      <c r="I15" s="1817"/>
      <c r="J15" s="1817"/>
      <c r="K15" s="1818"/>
      <c r="L15" s="1813"/>
      <c r="M15" s="1813"/>
      <c r="N15" s="1813"/>
      <c r="O15" s="1813"/>
      <c r="P15" s="1813"/>
      <c r="Q15" s="1813"/>
      <c r="R15" s="1813"/>
      <c r="S15" s="1813"/>
      <c r="T15" s="1813"/>
      <c r="U15" s="1813"/>
      <c r="V15" s="1813"/>
      <c r="W15" s="1813"/>
      <c r="X15" s="1813"/>
      <c r="Y15" s="1813"/>
      <c r="Z15" s="1813"/>
      <c r="AA15" s="1813"/>
      <c r="AB15" s="1813"/>
      <c r="AC15" s="1813"/>
      <c r="AD15" s="1813"/>
      <c r="AE15" s="1813"/>
      <c r="AF15" s="1813"/>
      <c r="AG15" s="1813"/>
    </row>
    <row r="16" spans="1:33" s="1815" customFormat="1" ht="13.5" customHeight="1">
      <c r="A16" s="1809" t="s">
        <v>1926</v>
      </c>
      <c r="B16" s="3216" t="s">
        <v>2945</v>
      </c>
      <c r="C16" s="1821">
        <f ca="1">SUM(C11:C15)</f>
        <v>8854</v>
      </c>
      <c r="D16" s="1816"/>
      <c r="E16" s="1821"/>
      <c r="F16" s="1822"/>
      <c r="G16" s="467"/>
      <c r="H16" s="3028"/>
      <c r="I16" s="1817"/>
      <c r="J16" s="1817"/>
      <c r="K16" s="1818"/>
      <c r="L16" s="1813"/>
      <c r="M16" s="1813"/>
      <c r="N16" s="1813"/>
      <c r="O16" s="1813"/>
      <c r="P16" s="1813"/>
      <c r="Q16" s="1813"/>
      <c r="R16" s="1813"/>
      <c r="S16" s="1813"/>
      <c r="T16" s="1813"/>
      <c r="U16" s="1813"/>
      <c r="V16" s="1813"/>
      <c r="W16" s="1813"/>
      <c r="X16" s="1813"/>
      <c r="Y16" s="1813"/>
      <c r="Z16" s="1813"/>
      <c r="AA16" s="1813"/>
      <c r="AB16" s="1813"/>
      <c r="AC16" s="1813"/>
      <c r="AD16" s="1813"/>
      <c r="AE16" s="1813"/>
      <c r="AF16" s="1813"/>
      <c r="AG16" s="1813"/>
    </row>
    <row r="17" spans="1:33" s="1815" customFormat="1" ht="13.5" customHeight="1">
      <c r="A17" s="1809" t="s">
        <v>1927</v>
      </c>
      <c r="B17" s="1810" t="s">
        <v>884</v>
      </c>
      <c r="C17" s="311">
        <f ca="1">ROUND(D17*E17/10000,0)</f>
        <v>0</v>
      </c>
      <c r="D17" s="1892">
        <f ca="1">D14</f>
        <v>43758.520000000004</v>
      </c>
      <c r="E17" s="311">
        <f>'数据-取费表'!B32</f>
        <v>0</v>
      </c>
      <c r="F17" s="1816"/>
      <c r="G17" s="467" t="s">
        <v>885</v>
      </c>
      <c r="H17" s="3028"/>
      <c r="I17" s="1817"/>
      <c r="J17" s="1817"/>
      <c r="K17" s="1818"/>
      <c r="L17" s="1813"/>
      <c r="M17" s="1813"/>
      <c r="N17" s="1813"/>
      <c r="O17" s="1813"/>
      <c r="P17" s="1813"/>
      <c r="Q17" s="1813"/>
      <c r="R17" s="1813"/>
      <c r="S17" s="1813"/>
      <c r="T17" s="1813"/>
      <c r="U17" s="1813"/>
      <c r="V17" s="1813"/>
      <c r="W17" s="1813"/>
      <c r="X17" s="1813"/>
      <c r="Y17" s="1813"/>
      <c r="Z17" s="1813"/>
      <c r="AA17" s="1813"/>
      <c r="AB17" s="1813"/>
      <c r="AC17" s="1813"/>
      <c r="AD17" s="1813"/>
      <c r="AE17" s="1813"/>
      <c r="AF17" s="1813"/>
      <c r="AG17" s="1813"/>
    </row>
    <row r="18" spans="1:33" s="1813" customFormat="1" ht="13.5" customHeight="1">
      <c r="A18" s="1809" t="s">
        <v>2946</v>
      </c>
      <c r="B18" s="1810" t="s">
        <v>886</v>
      </c>
      <c r="C18" s="311">
        <f ca="1">C19+C20-IF(C1="",'数据-取费表'!B29,IF(G18="已全部缴纳",C19+C20,H18))</f>
        <v>0</v>
      </c>
      <c r="D18" s="1892"/>
      <c r="E18" s="311"/>
      <c r="F18" s="1814"/>
      <c r="G18" s="3027" t="s">
        <v>3173</v>
      </c>
      <c r="H18" s="3025"/>
      <c r="I18" s="3026" t="s">
        <v>2791</v>
      </c>
      <c r="J18" s="1817"/>
      <c r="K18" s="1818"/>
    </row>
    <row r="19" spans="1:33" s="1813" customFormat="1" ht="13.5" customHeight="1">
      <c r="A19" s="1809" t="s">
        <v>1928</v>
      </c>
      <c r="B19" s="1810" t="s">
        <v>887</v>
      </c>
      <c r="C19" s="311">
        <f ca="1">ROUND(D19*E19/10000,0)</f>
        <v>532</v>
      </c>
      <c r="D19" s="1892">
        <f ca="1">IF(C1="",'数据-汇总表'!E5,IF(INDIRECT("'数据-取费表'!c"&amp;$K$1)="住宅",INDIRECT("'数据-取费表'!k"&amp;$K$1),0))</f>
        <v>33256.36</v>
      </c>
      <c r="E19" s="311">
        <f>'数据-取费表'!B27</f>
        <v>160</v>
      </c>
      <c r="F19" s="1814"/>
      <c r="G19" s="301"/>
      <c r="H19" s="3029"/>
      <c r="I19" s="1819"/>
      <c r="J19" s="1819"/>
      <c r="K19" s="1820"/>
    </row>
    <row r="20" spans="1:33" s="1813" customFormat="1" ht="13.5" customHeight="1">
      <c r="A20" s="1809" t="s">
        <v>1929</v>
      </c>
      <c r="B20" s="1810" t="s">
        <v>888</v>
      </c>
      <c r="C20" s="311">
        <f ca="1">ROUND(D20*E20/10000,0)</f>
        <v>210</v>
      </c>
      <c r="D20" s="1892">
        <f ca="1">IF(C1="",'数据-汇总表'!E6,IF(INDIRECT("'数据-取费表'!c"&amp;$K$1)="住宅",INDIRECT("'数据-取费表'!s"&amp;$K$1),INDIRECT("'数据-取费表'!k"&amp;$K$1)+INDIRECT("'数据-取费表'!s"&amp;$K$1)))</f>
        <v>10502.160000000003</v>
      </c>
      <c r="E20" s="311">
        <f>'数据-取费表'!B28</f>
        <v>200</v>
      </c>
      <c r="F20" s="1814"/>
      <c r="G20" s="301"/>
      <c r="H20" s="1819"/>
      <c r="I20" s="1819"/>
      <c r="J20" s="1819"/>
      <c r="K20" s="1820"/>
    </row>
    <row r="21" spans="1:33" s="1813" customFormat="1" ht="13.5" customHeight="1">
      <c r="A21" s="1798" t="s">
        <v>1925</v>
      </c>
      <c r="B21" s="1823" t="s">
        <v>891</v>
      </c>
      <c r="C21" s="1824">
        <f ca="1">C16+C17+C18</f>
        <v>8854</v>
      </c>
      <c r="D21" s="1825"/>
      <c r="E21" s="653"/>
      <c r="F21" s="653"/>
      <c r="G21" s="467" t="s">
        <v>2518</v>
      </c>
      <c r="H21" s="1817"/>
      <c r="I21" s="1817"/>
      <c r="J21" s="1817"/>
      <c r="K21" s="1818"/>
    </row>
    <row r="22" spans="1:33" s="1813" customFormat="1" ht="13.5" customHeight="1">
      <c r="A22" s="1803" t="s">
        <v>1906</v>
      </c>
      <c r="B22" s="1823" t="s">
        <v>892</v>
      </c>
      <c r="C22" s="1824">
        <f ca="1">ROUND(C21*F22,0)</f>
        <v>177</v>
      </c>
      <c r="D22" s="653"/>
      <c r="E22" s="653"/>
      <c r="F22" s="1826">
        <f>'数据-取费表'!B37</f>
        <v>0.02</v>
      </c>
      <c r="G22" s="293" t="s">
        <v>893</v>
      </c>
      <c r="H22" s="1806"/>
      <c r="I22" s="1806"/>
      <c r="J22" s="1806"/>
      <c r="K22" s="1807"/>
    </row>
    <row r="23" spans="1:33" s="1813" customFormat="1" ht="13.5" customHeight="1">
      <c r="A23" s="1803" t="s">
        <v>1907</v>
      </c>
      <c r="B23" s="1823" t="s">
        <v>894</v>
      </c>
      <c r="C23" s="1824">
        <f ca="1">ROUND(C4*F23*F11,0)</f>
        <v>1760</v>
      </c>
      <c r="D23" s="653"/>
      <c r="E23" s="653"/>
      <c r="F23" s="1826">
        <f>'数据-取费表'!B38</f>
        <v>0.02</v>
      </c>
      <c r="G23" s="293" t="s">
        <v>895</v>
      </c>
      <c r="H23" s="1806"/>
      <c r="I23" s="1806"/>
      <c r="J23" s="1806"/>
      <c r="K23" s="1807"/>
    </row>
    <row r="24" spans="1:33" s="1813" customFormat="1" ht="13.5" customHeight="1">
      <c r="A24" s="1803" t="s">
        <v>1908</v>
      </c>
      <c r="B24" s="1823" t="s">
        <v>896</v>
      </c>
      <c r="C24" s="652">
        <f>ROUND(F24/(1+'数据-取费表'!C42),4)</f>
        <v>2.9000000000000001E-2</v>
      </c>
      <c r="D24" s="653" t="s">
        <v>50</v>
      </c>
      <c r="E24" s="653"/>
      <c r="F24" s="1826">
        <f>'数据-取费表'!B48+'数据-取费表'!B49</f>
        <v>3.0499999999999999E-2</v>
      </c>
      <c r="G24" s="2004" t="s">
        <v>2938</v>
      </c>
      <c r="H24" s="1828"/>
      <c r="I24" s="1828"/>
      <c r="J24" s="1828"/>
      <c r="K24" s="1829"/>
    </row>
    <row r="25" spans="1:33" s="1813" customFormat="1" ht="13.5" customHeight="1">
      <c r="A25" s="1803" t="s">
        <v>1909</v>
      </c>
      <c r="B25" s="1825" t="s">
        <v>897</v>
      </c>
      <c r="C25" s="2683">
        <f ca="1">C27</f>
        <v>592</v>
      </c>
      <c r="D25" s="652">
        <f ca="1">C26</f>
        <v>0.1159</v>
      </c>
      <c r="E25" s="654" t="s">
        <v>50</v>
      </c>
      <c r="F25" s="655">
        <f ca="1">'数据-取费表'!B40</f>
        <v>4.7500000000000001E-2</v>
      </c>
      <c r="G25" s="2682" t="str">
        <f>IF('数据-取费表'!B22&lt;=1,"单利计息。","复利计息。")&amp;"后续开发成本、管理费用及销售费用产生的利息。"</f>
        <v>复利计息。后续开发成本、管理费用及销售费用产生的利息。</v>
      </c>
      <c r="H25" s="1828"/>
      <c r="I25" s="1828"/>
      <c r="J25" s="1828"/>
      <c r="K25" s="1829"/>
    </row>
    <row r="26" spans="1:33" s="1831" customFormat="1" ht="13.5" customHeight="1">
      <c r="A26" s="1809" t="s">
        <v>1926</v>
      </c>
      <c r="B26" s="1830" t="s">
        <v>898</v>
      </c>
      <c r="C26" s="2684">
        <f ca="1">ROUND(IF('数据-取费表'!B22&lt;=1,(1+C24)*F25*'数据-取费表'!B24,(1+C24)*(POWER((1+F25),'数据-取费表'!B24)-1)),4)</f>
        <v>0.1159</v>
      </c>
      <c r="D26" s="656"/>
      <c r="E26" s="657"/>
      <c r="F26" s="658"/>
      <c r="G26" s="2689" t="str">
        <f>IF('数据-取费表'!B22&lt;=1,"（(1)+取得税费率/(1+5%)）×年利率×建设期","（(1)+取得税费率）/(1+5%)×((1+年利率)^建设期-1)")</f>
        <v>（(1)+取得税费率）/(1+5%)×((1+年利率)^建设期-1)</v>
      </c>
      <c r="H26" s="1817"/>
      <c r="I26" s="1817"/>
      <c r="J26" s="1817"/>
      <c r="K26" s="1818"/>
    </row>
    <row r="27" spans="1:33" s="1831" customFormat="1" ht="13.5" customHeight="1">
      <c r="A27" s="1809" t="s">
        <v>1927</v>
      </c>
      <c r="B27" s="1830" t="s">
        <v>2608</v>
      </c>
      <c r="C27" s="2685">
        <f ca="1">ROUND(IF('数据-取费表'!B22&lt;=1,(C21+C22+C23)*F25*'数据-取费表'!B24/2,(C21+C22+C23)*(POWER((1+F25),'数据-取费表'!B24/2)-1)),0)</f>
        <v>592</v>
      </c>
      <c r="D27" s="656"/>
      <c r="E27" s="657"/>
      <c r="F27" s="658"/>
      <c r="G27" s="2689" t="str">
        <f>IF('数据-取费表'!B22&lt;=1,"（1）-（3）项×年利率×建设期÷2","（1）-（3）项×((1+年利率)^(建设期÷2)-1)")</f>
        <v>（1）-（3）项×((1+年利率)^(建设期÷2)-1)</v>
      </c>
      <c r="H27" s="1817"/>
      <c r="I27" s="1817"/>
      <c r="J27" s="1817"/>
      <c r="K27" s="1818"/>
    </row>
    <row r="28" spans="1:33" s="661" customFormat="1" ht="13.5" customHeight="1">
      <c r="A28" s="1803" t="s">
        <v>1910</v>
      </c>
      <c r="B28" s="3217" t="s">
        <v>2947</v>
      </c>
      <c r="C28" s="659">
        <f ca="1">C30</f>
        <v>1079</v>
      </c>
      <c r="D28" s="652">
        <f ca="1">C29</f>
        <v>7.8899999999999998E-2</v>
      </c>
      <c r="E28" s="654" t="s">
        <v>50</v>
      </c>
      <c r="F28" s="660">
        <f ca="1">IF(C1="",'数据-取费表'!Q16,INDIRECT("'数据-取费表'!q"&amp;$K$1))</f>
        <v>0.1</v>
      </c>
      <c r="G28" s="1827"/>
      <c r="H28" s="1828"/>
      <c r="I28" s="1828"/>
      <c r="J28" s="1828"/>
      <c r="K28" s="1829"/>
    </row>
    <row r="29" spans="1:33" s="663" customFormat="1" ht="13.5" customHeight="1">
      <c r="A29" s="1809" t="s">
        <v>1926</v>
      </c>
      <c r="B29" s="1832" t="s">
        <v>899</v>
      </c>
      <c r="C29" s="656">
        <f ca="1">ROUND((1+C24)*F28*'数据-取费表'!B24/'数据-取费表'!B20,4)</f>
        <v>7.8899999999999998E-2</v>
      </c>
      <c r="D29" s="656"/>
      <c r="E29" s="657"/>
      <c r="F29" s="662"/>
      <c r="G29" s="467" t="s">
        <v>900</v>
      </c>
      <c r="H29" s="1817"/>
      <c r="I29" s="1817"/>
      <c r="J29" s="1817"/>
      <c r="K29" s="1818"/>
    </row>
    <row r="30" spans="1:33" s="663" customFormat="1" ht="13.5" customHeight="1">
      <c r="A30" s="1809" t="s">
        <v>1927</v>
      </c>
      <c r="B30" s="2690" t="s">
        <v>2609</v>
      </c>
      <c r="C30" s="664">
        <f ca="1">ROUND((C21+C22+C23)*F28,0)</f>
        <v>1079</v>
      </c>
      <c r="D30" s="656"/>
      <c r="E30" s="657"/>
      <c r="F30" s="662"/>
      <c r="G30" s="467"/>
      <c r="H30" s="1817"/>
      <c r="I30" s="1817"/>
      <c r="J30" s="1817"/>
      <c r="K30" s="1818"/>
    </row>
    <row r="31" spans="1:33" s="1813" customFormat="1" ht="13.5" customHeight="1" thickBot="1">
      <c r="A31" s="1844" t="s">
        <v>1911</v>
      </c>
      <c r="B31" s="1845" t="s">
        <v>901</v>
      </c>
      <c r="C31" s="1846">
        <f>ROUND(C4*F31/(1+'数据-取费表'!C42),0)</f>
        <v>9111</v>
      </c>
      <c r="D31" s="1847"/>
      <c r="E31" s="1848"/>
      <c r="F31" s="1849">
        <f>'数据-取费表'!B41</f>
        <v>5.5000000000000007E-2</v>
      </c>
      <c r="G31" s="1850" t="s">
        <v>902</v>
      </c>
      <c r="H31" s="1851"/>
      <c r="I31" s="1851"/>
      <c r="J31" s="1851"/>
      <c r="K31" s="1852"/>
    </row>
    <row r="32" spans="1:33" s="1808" customFormat="1" ht="13.5" customHeight="1" thickBot="1">
      <c r="A32" s="1839" t="s">
        <v>2939</v>
      </c>
      <c r="B32" s="1840"/>
      <c r="C32" s="1841">
        <f ca="1">ROUND((C4-C21-C22-C23-C25-C28-C31)/(1+C24+D25+D28),0)</f>
        <v>124495</v>
      </c>
      <c r="D32" s="1840"/>
      <c r="E32" s="1840"/>
      <c r="F32" s="1840"/>
      <c r="G32" s="1842" t="s">
        <v>903</v>
      </c>
      <c r="H32" s="1840"/>
      <c r="I32" s="1840"/>
      <c r="J32" s="1840"/>
      <c r="K32" s="184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0" zoomScaleNormal="80" zoomScaleSheetLayoutView="90" workbookViewId="0">
      <selection activeCell="F10" sqref="F10"/>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70"/>
  </cols>
  <sheetData>
    <row r="1" spans="1:37" s="667" customFormat="1" ht="21">
      <c r="A1" s="665" t="s">
        <v>904</v>
      </c>
      <c r="B1" s="666"/>
      <c r="C1" s="2373" t="s">
        <v>141</v>
      </c>
      <c r="D1" s="1264"/>
      <c r="E1" s="2566" t="s">
        <v>2436</v>
      </c>
      <c r="F1" s="2567" t="e">
        <f ca="1">J53</f>
        <v>#N/A</v>
      </c>
      <c r="G1" s="668" t="e">
        <f>MATCH(C1,'数据-取费表'!A6:A16,0)+5</f>
        <v>#N/A</v>
      </c>
      <c r="H1" s="1287"/>
      <c r="I1" s="672"/>
      <c r="J1" s="672"/>
      <c r="K1" s="1288"/>
      <c r="L1" s="672"/>
      <c r="M1" s="672"/>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73" t="s">
        <v>342</v>
      </c>
      <c r="B2" s="1396" t="e">
        <f ca="1">C40+J29+L46</f>
        <v>#N/A</v>
      </c>
      <c r="C2" s="1290" t="s">
        <v>1093</v>
      </c>
      <c r="D2" s="1266"/>
      <c r="E2" s="2556"/>
      <c r="F2" s="1267"/>
      <c r="G2" s="2268"/>
      <c r="H2" s="1265"/>
      <c r="I2" s="1265"/>
      <c r="J2" s="1265"/>
      <c r="K2" s="1289"/>
      <c r="L2" s="1265"/>
      <c r="M2" s="1265"/>
    </row>
    <row r="3" spans="1:37" ht="18" customHeight="1" thickBot="1">
      <c r="A3" s="671" t="s">
        <v>343</v>
      </c>
      <c r="B3" s="1397">
        <f ca="1">IF(ISERROR(B2*10000/F43),0,ROUND(B2*10000/F43,0))</f>
        <v>0</v>
      </c>
      <c r="C3" s="1290" t="s">
        <v>1094</v>
      </c>
      <c r="D3" s="1266"/>
      <c r="E3" s="2556"/>
      <c r="F3" s="1267"/>
      <c r="G3" s="2268"/>
      <c r="H3" s="672" t="s">
        <v>905</v>
      </c>
      <c r="I3" s="1265"/>
      <c r="J3" s="1265"/>
      <c r="K3" s="1289"/>
      <c r="L3" s="1265"/>
      <c r="M3" s="1265"/>
    </row>
    <row r="4" spans="1:37" ht="18" customHeight="1">
      <c r="A4" s="673" t="s">
        <v>906</v>
      </c>
      <c r="B4" s="674" t="s">
        <v>907</v>
      </c>
      <c r="C4" s="674" t="s">
        <v>908</v>
      </c>
      <c r="D4" s="674" t="s">
        <v>909</v>
      </c>
      <c r="E4" s="675" t="s">
        <v>910</v>
      </c>
      <c r="F4" s="676"/>
      <c r="G4" s="2269"/>
      <c r="H4" s="673" t="s">
        <v>906</v>
      </c>
      <c r="I4" s="674" t="s">
        <v>907</v>
      </c>
      <c r="J4" s="674" t="s">
        <v>908</v>
      </c>
      <c r="K4" s="674" t="s">
        <v>909</v>
      </c>
      <c r="L4" s="675" t="s">
        <v>910</v>
      </c>
      <c r="M4" s="676"/>
    </row>
    <row r="5" spans="1:37" ht="18" customHeight="1">
      <c r="A5" s="677">
        <v>1</v>
      </c>
      <c r="B5" s="678" t="s">
        <v>2325</v>
      </c>
      <c r="C5" s="2607" t="e">
        <f ca="1">C6+C10+C12</f>
        <v>#N/A</v>
      </c>
      <c r="D5" s="2617" t="s">
        <v>2528</v>
      </c>
      <c r="E5" s="2608"/>
      <c r="F5" s="2609"/>
      <c r="G5" s="2269"/>
      <c r="H5" s="677">
        <v>1</v>
      </c>
      <c r="I5" s="678" t="s">
        <v>2325</v>
      </c>
      <c r="J5" s="2607" t="e">
        <f ca="1">J6+J10+J12</f>
        <v>#N/A</v>
      </c>
      <c r="K5" s="2610" t="s">
        <v>2528</v>
      </c>
      <c r="L5" s="2608"/>
      <c r="M5" s="2609"/>
    </row>
    <row r="6" spans="1:37" ht="18" customHeight="1">
      <c r="A6" s="2603" t="s">
        <v>2366</v>
      </c>
      <c r="B6" s="3630" t="s">
        <v>2527</v>
      </c>
      <c r="C6" s="2612" t="e">
        <f ca="1">ROUND(F6*F8*F7*(1-F9)/10000,0)</f>
        <v>#N/A</v>
      </c>
      <c r="D6" s="2606" t="s">
        <v>2529</v>
      </c>
      <c r="E6" s="680" t="s">
        <v>911</v>
      </c>
      <c r="F6" s="681" t="e">
        <f ca="1">INDIRECT("'数据-取费表'!u"&amp;$G$1)</f>
        <v>#N/A</v>
      </c>
      <c r="G6" s="2269"/>
      <c r="H6" s="2603" t="s">
        <v>2366</v>
      </c>
      <c r="I6" s="3630" t="s">
        <v>2527</v>
      </c>
      <c r="J6" s="679" t="e">
        <f ca="1">ROUND(M6*M8*M7*(1-M9)/10000,0)</f>
        <v>#N/A</v>
      </c>
      <c r="K6" s="2606" t="s">
        <v>2529</v>
      </c>
      <c r="L6" s="680" t="s">
        <v>911</v>
      </c>
      <c r="M6" s="681" t="e">
        <f ca="1">INDIRECT("'数据-取费表'!z"&amp;$G$1)</f>
        <v>#N/A</v>
      </c>
    </row>
    <row r="7" spans="1:37" ht="18" customHeight="1">
      <c r="A7" s="2611"/>
      <c r="B7" s="3631"/>
      <c r="C7" s="2613"/>
      <c r="D7" s="2042"/>
      <c r="E7" s="2614" t="s">
        <v>912</v>
      </c>
      <c r="F7" s="681" t="e">
        <f ca="1">IF(INDIRECT("'数据-取费表'!ah"&amp;$G$1)="",INDIRECT("'数据-取费表'!k"&amp;$G$1),INDIRECT("'数据-取费表'!ah"&amp;$G$1))</f>
        <v>#N/A</v>
      </c>
      <c r="G7" s="2269"/>
      <c r="H7" s="682"/>
      <c r="I7" s="3631"/>
      <c r="J7" s="684"/>
      <c r="K7" s="685"/>
      <c r="L7" s="680" t="s">
        <v>912</v>
      </c>
      <c r="M7" s="681" t="e">
        <f ca="1">F7</f>
        <v>#N/A</v>
      </c>
    </row>
    <row r="8" spans="1:37" ht="18" customHeight="1">
      <c r="A8" s="682"/>
      <c r="B8" s="3631"/>
      <c r="C8" s="684"/>
      <c r="D8" s="685"/>
      <c r="E8" s="680" t="s">
        <v>913</v>
      </c>
      <c r="F8" s="681" t="e">
        <f ca="1">INDIRECT("'数据-取费表'!ai"&amp;$G$1)</f>
        <v>#N/A</v>
      </c>
      <c r="G8" s="2269"/>
      <c r="H8" s="682"/>
      <c r="I8" s="3631"/>
      <c r="J8" s="684"/>
      <c r="K8" s="685"/>
      <c r="L8" s="680" t="s">
        <v>913</v>
      </c>
      <c r="M8" s="681" t="e">
        <f ca="1">INDIRECT("'数据-取费表'!ai"&amp;$G$1)</f>
        <v>#N/A</v>
      </c>
    </row>
    <row r="9" spans="1:37" ht="18" customHeight="1">
      <c r="A9" s="682"/>
      <c r="B9" s="3632"/>
      <c r="C9" s="684"/>
      <c r="D9" s="685"/>
      <c r="E9" s="680" t="s">
        <v>914</v>
      </c>
      <c r="F9" s="690" t="e">
        <f ca="1">INDIRECT("'数据-取费表'!w"&amp;$G$1)</f>
        <v>#N/A</v>
      </c>
      <c r="G9" s="2269"/>
      <c r="H9" s="682"/>
      <c r="I9" s="3632"/>
      <c r="J9" s="684"/>
      <c r="K9" s="685"/>
      <c r="L9" s="691" t="s">
        <v>914</v>
      </c>
      <c r="M9" s="692" t="e">
        <f ca="1">INDIRECT("'数据-取费表'!ab"&amp;$G$1)</f>
        <v>#N/A</v>
      </c>
    </row>
    <row r="10" spans="1:37" ht="18" customHeight="1">
      <c r="A10" s="2603" t="s">
        <v>2373</v>
      </c>
      <c r="B10" s="2604" t="s">
        <v>2522</v>
      </c>
      <c r="C10" s="694" t="e">
        <f ca="1">ROUND(IF(F10="押一",F6*F8*F7/12*F11,IF(F10="押二",F6*F8*F7/12*2*F11,IF(F10="押三",F6*F8*F7/12*3*F11,C11*F11)))/10000,0)</f>
        <v>#N/A</v>
      </c>
      <c r="D10" s="2615" t="s">
        <v>2530</v>
      </c>
      <c r="E10" s="2078" t="s">
        <v>2524</v>
      </c>
      <c r="F10" s="2809" t="s">
        <v>3111</v>
      </c>
      <c r="G10" s="2269"/>
      <c r="H10" s="2603" t="s">
        <v>2373</v>
      </c>
      <c r="I10" s="2604" t="s">
        <v>2522</v>
      </c>
      <c r="J10" s="679" t="e">
        <f ca="1">ROUND(IF(M10="押一",M6*M8*M7/12*M11,IF(M10="押二",M6*M8*M7/12*2*M11,IF(M10="押三",M6*M8*M7/12*3*M11,J11*M11)))/10000,0)</f>
        <v>#N/A</v>
      </c>
      <c r="K10" s="2615" t="s">
        <v>2530</v>
      </c>
      <c r="L10" s="2078" t="s">
        <v>2524</v>
      </c>
      <c r="M10" s="2710" t="s">
        <v>2616</v>
      </c>
    </row>
    <row r="11" spans="1:37" ht="18" customHeight="1">
      <c r="A11" s="686"/>
      <c r="B11" s="2605" t="s">
        <v>2689</v>
      </c>
      <c r="C11" s="2396"/>
      <c r="D11" s="2848"/>
      <c r="E11" s="2078" t="s">
        <v>2525</v>
      </c>
      <c r="F11" s="692">
        <f ca="1">'数据-取费表'!B39</f>
        <v>1.4999999999999999E-2</v>
      </c>
      <c r="G11" s="2269"/>
      <c r="H11" s="2616"/>
      <c r="I11" s="2605" t="s">
        <v>2689</v>
      </c>
      <c r="J11" s="2396"/>
      <c r="K11" s="1271"/>
      <c r="L11" s="2078" t="s">
        <v>2525</v>
      </c>
      <c r="M11" s="2077">
        <f ca="1">'数据-取费表'!B39</f>
        <v>1.4999999999999999E-2</v>
      </c>
    </row>
    <row r="12" spans="1:37" ht="18" customHeight="1" thickBot="1">
      <c r="A12" s="2651" t="s">
        <v>2535</v>
      </c>
      <c r="B12" s="2652" t="s">
        <v>2523</v>
      </c>
      <c r="C12" s="2653"/>
      <c r="D12" s="2654"/>
      <c r="E12" s="2655"/>
      <c r="F12" s="2656"/>
      <c r="G12" s="2269"/>
      <c r="H12" s="2651" t="s">
        <v>2535</v>
      </c>
      <c r="I12" s="2652" t="s">
        <v>2523</v>
      </c>
      <c r="J12" s="2653"/>
      <c r="K12" s="2670"/>
      <c r="L12" s="2655"/>
      <c r="M12" s="2671"/>
    </row>
    <row r="13" spans="1:37" ht="18" customHeight="1" thickTop="1">
      <c r="A13" s="2647">
        <v>2</v>
      </c>
      <c r="B13" s="2648" t="s">
        <v>915</v>
      </c>
      <c r="C13" s="688" t="e">
        <f ca="1">ROUND(C29*F13,0)</f>
        <v>#N/A</v>
      </c>
      <c r="D13" s="2649" t="s">
        <v>916</v>
      </c>
      <c r="E13" s="2649" t="s">
        <v>917</v>
      </c>
      <c r="F13" s="2650" t="e">
        <f ca="1">INDIRECT("'数据-取费表'!y"&amp;$G$1)</f>
        <v>#N/A</v>
      </c>
      <c r="G13" s="2269"/>
      <c r="H13" s="2647">
        <v>2</v>
      </c>
      <c r="I13" s="2648" t="s">
        <v>915</v>
      </c>
      <c r="J13" s="2602" t="e">
        <f ca="1">ROUND(J14*J15,0)</f>
        <v>#N/A</v>
      </c>
      <c r="K13" s="2657" t="s">
        <v>916</v>
      </c>
      <c r="L13" s="2668"/>
      <c r="M13" s="2669"/>
    </row>
    <row r="14" spans="1:37" ht="18" customHeight="1">
      <c r="A14" s="2419" t="s">
        <v>2363</v>
      </c>
      <c r="B14" s="680" t="s">
        <v>356</v>
      </c>
      <c r="C14" s="698" t="e">
        <f ca="1">INDIRECT("'数据-取费表'!m"&amp;$G$1)+INDIRECT("'数据-取费表'!t"&amp;$G$1)</f>
        <v>#N/A</v>
      </c>
      <c r="D14" s="3338" t="s">
        <v>918</v>
      </c>
      <c r="E14" s="3336"/>
      <c r="F14" s="699"/>
      <c r="G14" s="2269"/>
      <c r="H14" s="2419" t="s">
        <v>2366</v>
      </c>
      <c r="I14" s="680" t="s">
        <v>919</v>
      </c>
      <c r="J14" s="311" t="e">
        <f ca="1">C29</f>
        <v>#N/A</v>
      </c>
      <c r="K14" s="301"/>
      <c r="L14" s="696"/>
      <c r="M14" s="697"/>
    </row>
    <row r="15" spans="1:37" s="702" customFormat="1" ht="18" customHeight="1" thickBot="1">
      <c r="A15" s="2419" t="s">
        <v>2599</v>
      </c>
      <c r="B15" s="680" t="s">
        <v>357</v>
      </c>
      <c r="C15" s="311" t="e">
        <f ca="1">ROUND(C14*F15,0)</f>
        <v>#N/A</v>
      </c>
      <c r="D15" s="700" t="s">
        <v>920</v>
      </c>
      <c r="E15" s="700" t="s">
        <v>367</v>
      </c>
      <c r="F15" s="701">
        <f>'数据-取费表'!B33</f>
        <v>0.03</v>
      </c>
      <c r="G15" s="2270"/>
      <c r="H15" s="2659" t="s">
        <v>2373</v>
      </c>
      <c r="I15" s="2660" t="s">
        <v>917</v>
      </c>
      <c r="J15" s="2671" t="e">
        <f ca="1">INDIRECT("'数据-取费表'!ad"&amp;$G$1)</f>
        <v>#N/A</v>
      </c>
      <c r="K15" s="2672"/>
      <c r="L15" s="2673"/>
      <c r="M15" s="2674"/>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19" t="s">
        <v>2600</v>
      </c>
      <c r="B16" s="680" t="s">
        <v>358</v>
      </c>
      <c r="C16" s="311" t="e">
        <f ca="1">ROUND(INDIRECT("'数据-取费表'!m"&amp;$G$1)*F16,0)</f>
        <v>#N/A</v>
      </c>
      <c r="D16" s="680" t="s">
        <v>920</v>
      </c>
      <c r="E16" s="680" t="s">
        <v>367</v>
      </c>
      <c r="F16" s="703" t="e">
        <f ca="1">IF(INDIRECT("'数据-取费表'!c"&amp;$G$1)="住宅",'数据-取费表'!B34,0)</f>
        <v>#N/A</v>
      </c>
      <c r="G16" s="2269"/>
      <c r="H16" s="2647" t="s">
        <v>2331</v>
      </c>
      <c r="I16" s="2648" t="s">
        <v>922</v>
      </c>
      <c r="J16" s="688" t="e">
        <f ca="1">ROUND(J17+J22+J23+J24,0)</f>
        <v>#N/A</v>
      </c>
      <c r="K16" s="2657" t="s">
        <v>923</v>
      </c>
      <c r="L16" s="2658"/>
      <c r="M16" s="2609"/>
    </row>
    <row r="17" spans="1:37" s="702" customFormat="1" ht="18" customHeight="1">
      <c r="A17" s="2419" t="s">
        <v>2601</v>
      </c>
      <c r="B17" s="680" t="s">
        <v>359</v>
      </c>
      <c r="C17" s="311" t="e">
        <f ca="1">ROUND(F17*(F43+INDIRECT("'数据-取费表'!S"&amp;$G$1))/10000,0)</f>
        <v>#N/A</v>
      </c>
      <c r="D17" s="680" t="s">
        <v>924</v>
      </c>
      <c r="E17" s="680" t="s">
        <v>925</v>
      </c>
      <c r="F17" s="313">
        <f>'数据-取费表'!B35</f>
        <v>200</v>
      </c>
      <c r="G17" s="2270"/>
      <c r="H17" s="2419" t="s">
        <v>2366</v>
      </c>
      <c r="I17" s="680" t="s">
        <v>360</v>
      </c>
      <c r="J17" s="311" t="e">
        <f ca="1">ROUND(IF(项目基本情况!B11="自然人",J5*M17,J18+J19+J20),1)</f>
        <v>#N/A</v>
      </c>
      <c r="K17" s="3338" t="s">
        <v>926</v>
      </c>
      <c r="L17" s="3337" t="s">
        <v>927</v>
      </c>
      <c r="M17" s="704"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702" customFormat="1" ht="18" customHeight="1">
      <c r="A18" s="2419" t="s">
        <v>2602</v>
      </c>
      <c r="B18" s="680" t="s">
        <v>361</v>
      </c>
      <c r="C18" s="311" t="e">
        <f ca="1">ROUND(C14*F18,0)</f>
        <v>#N/A</v>
      </c>
      <c r="D18" s="680" t="s">
        <v>920</v>
      </c>
      <c r="E18" s="680" t="s">
        <v>367</v>
      </c>
      <c r="F18" s="703">
        <f>'数据-取费表'!B36</f>
        <v>1.4999999999999999E-2</v>
      </c>
      <c r="G18" s="2270"/>
      <c r="H18" s="2419" t="s">
        <v>2363</v>
      </c>
      <c r="I18" s="680" t="s">
        <v>928</v>
      </c>
      <c r="J18" s="311" t="e">
        <f ca="1">ROUND(J5*M18/(1+'数据-取费表'!C42),2)</f>
        <v>#N/A</v>
      </c>
      <c r="K18" s="3337" t="s">
        <v>929</v>
      </c>
      <c r="L18" s="680" t="s">
        <v>367</v>
      </c>
      <c r="M18" s="703">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19" t="s">
        <v>2366</v>
      </c>
      <c r="B19" s="680" t="s">
        <v>363</v>
      </c>
      <c r="C19" s="311" t="e">
        <f ca="1">SUM(C14:C18)</f>
        <v>#N/A</v>
      </c>
      <c r="D19" s="467" t="s">
        <v>930</v>
      </c>
      <c r="E19" s="3341"/>
      <c r="F19" s="313"/>
      <c r="G19" s="2269"/>
      <c r="H19" s="2419" t="s">
        <v>2599</v>
      </c>
      <c r="I19" s="680" t="s">
        <v>931</v>
      </c>
      <c r="J19" s="311" t="e">
        <f ca="1">IF(K19="按租金收入计税",ROUND(J5*M19,2),ROUND(C29*M19*0.7,2))</f>
        <v>#N/A</v>
      </c>
      <c r="K19" s="1291" t="s">
        <v>2406</v>
      </c>
      <c r="L19" s="680" t="s">
        <v>367</v>
      </c>
      <c r="M19" s="703">
        <f>IF(K19="按租金收入计税",'数据-取费表'!B51,'数据-取费表'!B50)</f>
        <v>1.2E-2</v>
      </c>
    </row>
    <row r="20" spans="1:37" s="702" customFormat="1" ht="18" customHeight="1">
      <c r="A20" s="2419" t="s">
        <v>2603</v>
      </c>
      <c r="B20" s="680" t="s">
        <v>364</v>
      </c>
      <c r="C20" s="311" t="e">
        <f ca="1">ROUND(C19*F20,0)</f>
        <v>#N/A</v>
      </c>
      <c r="D20" s="705" t="s">
        <v>932</v>
      </c>
      <c r="E20" s="680" t="s">
        <v>367</v>
      </c>
      <c r="F20" s="703">
        <f>'数据-取费表'!B37</f>
        <v>0.02</v>
      </c>
      <c r="G20" s="2270"/>
      <c r="H20" s="2419" t="s">
        <v>2600</v>
      </c>
      <c r="I20" s="492" t="s">
        <v>933</v>
      </c>
      <c r="J20" s="312" t="e">
        <f ca="1">ROUND(M20*M21/10000,2)</f>
        <v>#N/A</v>
      </c>
      <c r="K20" s="706" t="s">
        <v>934</v>
      </c>
      <c r="L20" s="680" t="s">
        <v>935</v>
      </c>
      <c r="M20" s="707">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702" customFormat="1" ht="18" customHeight="1">
      <c r="A21" s="2419" t="s">
        <v>2604</v>
      </c>
      <c r="B21" s="680" t="s">
        <v>936</v>
      </c>
      <c r="C21" s="311" t="s">
        <v>71</v>
      </c>
      <c r="D21" s="705" t="s">
        <v>937</v>
      </c>
      <c r="E21" s="680" t="s">
        <v>938</v>
      </c>
      <c r="F21" s="703">
        <f>'数据-取费表'!B38</f>
        <v>0.02</v>
      </c>
      <c r="G21" s="2270"/>
      <c r="H21" s="708"/>
      <c r="I21" s="689"/>
      <c r="J21" s="316"/>
      <c r="K21" s="709"/>
      <c r="L21" s="680" t="s">
        <v>939</v>
      </c>
      <c r="M21" s="681" t="e">
        <f ca="1">INDIRECT("'数据-取费表'!r"&amp;$G$1)</f>
        <v>#N/A</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19" t="s">
        <v>2605</v>
      </c>
      <c r="B22" s="680" t="s">
        <v>940</v>
      </c>
      <c r="C22" s="311"/>
      <c r="D22" s="2682" t="str">
        <f>IF(F23&lt;=1,"单利计息。","复利计息。")&amp;"建造成本、管理费用、销售费用产生的利息。"</f>
        <v>复利计息。建造成本、管理费用、销售费用产生的利息。</v>
      </c>
      <c r="E22" s="3341"/>
      <c r="F22" s="313"/>
      <c r="G22" s="2269"/>
      <c r="H22" s="2419" t="s">
        <v>2373</v>
      </c>
      <c r="I22" s="680" t="s">
        <v>941</v>
      </c>
      <c r="J22" s="311" t="e">
        <f ca="1">ROUND(J14*M22,1)</f>
        <v>#N/A</v>
      </c>
      <c r="K22" s="3337" t="s">
        <v>942</v>
      </c>
      <c r="L22" s="680" t="s">
        <v>367</v>
      </c>
      <c r="M22" s="710" t="e">
        <f ca="1">INDIRECT("'数据-取费表'!Ak"&amp;$G$1)</f>
        <v>#N/A</v>
      </c>
    </row>
    <row r="23" spans="1:37" s="702" customFormat="1" ht="18" customHeight="1">
      <c r="A23" s="2419" t="s">
        <v>2363</v>
      </c>
      <c r="B23" s="680" t="s">
        <v>2519</v>
      </c>
      <c r="C23" s="311" t="e">
        <f ca="1">IF('数据-取费表'!B22&lt;=1,ROUND(C19*F24*F23/2,0)+ROUND(C20*F24*F23/2,0),ROUND(C19*(POWER((1+F24),F23/2)-1),0)+ROUND(C20*(POWER((1+F24),F23/2)-1),0))</f>
        <v>#N/A</v>
      </c>
      <c r="D23" s="2686" t="str">
        <f>IF(F23&lt;=1,"(建造成本+管理费用)×利率×(建设周期÷2)","(建造成本+管理费用)×((1+利率)^(建设周期÷2)-1)")</f>
        <v>(建造成本+管理费用)×((1+利率)^(建设周期÷2)-1)</v>
      </c>
      <c r="E23" s="680" t="s">
        <v>943</v>
      </c>
      <c r="F23" s="707">
        <f>'数据-取费表'!B20</f>
        <v>3</v>
      </c>
      <c r="G23" s="2270"/>
      <c r="H23" s="2419" t="s">
        <v>2604</v>
      </c>
      <c r="I23" s="680" t="s">
        <v>365</v>
      </c>
      <c r="J23" s="311" t="e">
        <f ca="1">ROUND(J13*M23,1)</f>
        <v>#N/A</v>
      </c>
      <c r="K23" s="3337" t="s">
        <v>366</v>
      </c>
      <c r="L23" s="680" t="s">
        <v>367</v>
      </c>
      <c r="M23" s="712" t="e">
        <f ca="1">INDIRECT("'数据-取费表'!Al"&amp;$G$1)</f>
        <v>#N/A</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702" customFormat="1" ht="18" customHeight="1" thickBot="1">
      <c r="A24" s="2419" t="s">
        <v>2369</v>
      </c>
      <c r="B24" s="680" t="s">
        <v>945</v>
      </c>
      <c r="C24" s="311">
        <f ca="1">ROUND(IF('数据-取费表'!B22&lt;=1,F21*F24*F23/2,F21*(POWER((1+F24),F23/2)-1)),4)</f>
        <v>1.4E-3</v>
      </c>
      <c r="D24" s="2686" t="str">
        <f>IF(F23&lt;=1,"销售费用×利率×(建设周期÷2)","销售费用×((1+利率)^(建设周期÷2)-1)")</f>
        <v>销售费用×((1+利率)^(建设周期÷2)-1)</v>
      </c>
      <c r="E24" s="680" t="s">
        <v>946</v>
      </c>
      <c r="F24" s="713">
        <f ca="1">'数据-取费表'!B40</f>
        <v>4.7500000000000001E-2</v>
      </c>
      <c r="G24" s="2270"/>
      <c r="H24" s="2659" t="s">
        <v>2605</v>
      </c>
      <c r="I24" s="2660" t="s">
        <v>364</v>
      </c>
      <c r="J24" s="2661" t="e">
        <f ca="1">ROUND(J5*M24,1)</f>
        <v>#N/A</v>
      </c>
      <c r="K24" s="2662" t="s">
        <v>368</v>
      </c>
      <c r="L24" s="2660" t="s">
        <v>367</v>
      </c>
      <c r="M24" s="2656" t="e">
        <f ca="1">INDIRECT("'数据-取费表'!Am"&amp;$G$1)</f>
        <v>#N/A</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19" t="s">
        <v>2370</v>
      </c>
      <c r="B25" s="680" t="s">
        <v>369</v>
      </c>
      <c r="C25" s="311"/>
      <c r="D25" s="467" t="s">
        <v>948</v>
      </c>
      <c r="E25" s="3341"/>
      <c r="F25" s="313"/>
      <c r="G25" s="2269"/>
      <c r="H25" s="2647" t="s">
        <v>2346</v>
      </c>
      <c r="I25" s="2664" t="s">
        <v>949</v>
      </c>
      <c r="J25" s="688" t="e">
        <f ca="1">J5-J16</f>
        <v>#N/A</v>
      </c>
      <c r="K25" s="2665" t="s">
        <v>375</v>
      </c>
      <c r="L25" s="2666"/>
      <c r="M25" s="2667"/>
    </row>
    <row r="26" spans="1:37" ht="18" customHeight="1">
      <c r="A26" s="2419" t="s">
        <v>2363</v>
      </c>
      <c r="B26" s="680" t="s">
        <v>2520</v>
      </c>
      <c r="C26" s="311" t="e">
        <f ca="1">ROUND((C19+C20)*F26,0)</f>
        <v>#N/A</v>
      </c>
      <c r="D26" s="705" t="s">
        <v>951</v>
      </c>
      <c r="E26" s="691" t="s">
        <v>952</v>
      </c>
      <c r="F26" s="690" t="e">
        <f ca="1">INDIRECT("'数据-取费表'!q"&amp;$G$1)</f>
        <v>#N/A</v>
      </c>
      <c r="G26" s="2269"/>
      <c r="H26" s="677" t="s">
        <v>2349</v>
      </c>
      <c r="I26" s="678" t="s">
        <v>953</v>
      </c>
      <c r="J26" s="679" t="e">
        <f ca="1">IF(J5&lt;&gt;0,ROUND(J25*(1-((1+M28)/(1+M26))^M27)/(M26-M28),0),0)</f>
        <v>#N/A</v>
      </c>
      <c r="K26" s="706" t="s">
        <v>954</v>
      </c>
      <c r="L26" s="680" t="s">
        <v>371</v>
      </c>
      <c r="M26" s="690" t="e">
        <f ca="1">INDIRECT("'数据-取费表'!I"&amp;$G$1)</f>
        <v>#N/A</v>
      </c>
    </row>
    <row r="27" spans="1:37" ht="18" customHeight="1">
      <c r="A27" s="2419" t="s">
        <v>2369</v>
      </c>
      <c r="B27" s="680" t="s">
        <v>372</v>
      </c>
      <c r="C27" s="311" t="e">
        <f ca="1">ROUND(F21*F26,4)</f>
        <v>#N/A</v>
      </c>
      <c r="D27" s="705" t="s">
        <v>955</v>
      </c>
      <c r="E27" s="700"/>
      <c r="F27" s="701"/>
      <c r="G27" s="2269"/>
      <c r="H27" s="682"/>
      <c r="I27" s="683"/>
      <c r="J27" s="684"/>
      <c r="K27" s="714" t="s">
        <v>956</v>
      </c>
      <c r="L27" s="680" t="s">
        <v>378</v>
      </c>
      <c r="M27" s="715" t="e">
        <f ca="1">INDIRECT("'数据-取费表'!ag"&amp;$G$1)</f>
        <v>#N/A</v>
      </c>
    </row>
    <row r="28" spans="1:37" s="702" customFormat="1" ht="18" customHeight="1">
      <c r="A28" s="2419" t="s">
        <v>2371</v>
      </c>
      <c r="B28" s="680" t="s">
        <v>373</v>
      </c>
      <c r="C28" s="311">
        <f>ROUND(F28/(1+'数据-取费表'!C42),4)</f>
        <v>5.2400000000000002E-2</v>
      </c>
      <c r="D28" s="705" t="s">
        <v>962</v>
      </c>
      <c r="E28" s="680" t="s">
        <v>367</v>
      </c>
      <c r="F28" s="703">
        <f>'数据-取费表'!B41</f>
        <v>5.5000000000000007E-2</v>
      </c>
      <c r="G28" s="2270"/>
      <c r="H28" s="686"/>
      <c r="I28" s="687"/>
      <c r="J28" s="688"/>
      <c r="K28" s="709"/>
      <c r="L28" s="680" t="s">
        <v>379</v>
      </c>
      <c r="M28" s="690" t="e">
        <f ca="1">INDIRECT("'数据-取费表'!aa"&amp;$G$1)</f>
        <v>#N/A</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702" customFormat="1" ht="18" customHeight="1" thickBot="1">
      <c r="A29" s="2659" t="s">
        <v>2372</v>
      </c>
      <c r="B29" s="2660" t="s">
        <v>964</v>
      </c>
      <c r="C29" s="2661" t="e">
        <f ca="1">ROUND((C19+C20+C23+C26)/(1-F21-C24-C27-C28),0)</f>
        <v>#N/A</v>
      </c>
      <c r="D29" s="2662"/>
      <c r="E29" s="2660"/>
      <c r="F29" s="2663"/>
      <c r="G29" s="2270"/>
      <c r="H29" s="716" t="s">
        <v>2356</v>
      </c>
      <c r="I29" s="717" t="s">
        <v>957</v>
      </c>
      <c r="J29" s="718" t="e">
        <f ca="1">ROUND(J26/(1+F40)^F41,0)</f>
        <v>#N/A</v>
      </c>
      <c r="K29" s="719" t="s">
        <v>958</v>
      </c>
      <c r="L29" s="720"/>
      <c r="M29" s="721" t="e">
        <f ca="1">INDIRECT("'数据-取费表'!k"&amp;$G$1)</f>
        <v>#N/A</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47" t="s">
        <v>2331</v>
      </c>
      <c r="B30" s="2648" t="s">
        <v>922</v>
      </c>
      <c r="C30" s="688" t="e">
        <f ca="1">ROUND(C31+C36+C37+C38,0)</f>
        <v>#N/A</v>
      </c>
      <c r="D30" s="2657" t="s">
        <v>923</v>
      </c>
      <c r="E30" s="2658"/>
      <c r="F30" s="2609"/>
      <c r="G30" s="2269"/>
      <c r="H30" s="1268"/>
      <c r="I30" s="1269"/>
      <c r="J30" s="1270"/>
      <c r="K30" s="1271"/>
      <c r="L30" s="1272"/>
      <c r="M30" s="1273"/>
    </row>
    <row r="31" spans="1:37" ht="18" customHeight="1">
      <c r="A31" s="2419" t="s">
        <v>2366</v>
      </c>
      <c r="B31" s="680" t="s">
        <v>360</v>
      </c>
      <c r="C31" s="311" t="e">
        <f ca="1">ROUND(IF(项目基本情况!B11="自然人",C5*F31,C32+C33+C34),1)</f>
        <v>#N/A</v>
      </c>
      <c r="D31" s="3338" t="s">
        <v>926</v>
      </c>
      <c r="E31" s="3337" t="s">
        <v>965</v>
      </c>
      <c r="F31" s="704" t="str">
        <f ca="1">IF(项目基本情况!B11="企业","",IF(INDIRECT("'数据-取费表'!c"&amp;$G$1)="住宅",5%,IF(F6*F7*F8/12/(1+'数据-取费表'!C42)&gt;20000,12%,7%)))</f>
        <v/>
      </c>
      <c r="G31" s="2269"/>
      <c r="H31" s="1268"/>
      <c r="I31" s="1269"/>
      <c r="J31" s="1270"/>
      <c r="K31" s="1271"/>
      <c r="L31" s="1272"/>
      <c r="M31" s="1273"/>
    </row>
    <row r="32" spans="1:37" ht="18" customHeight="1">
      <c r="A32" s="2419" t="s">
        <v>2363</v>
      </c>
      <c r="B32" s="680" t="s">
        <v>928</v>
      </c>
      <c r="C32" s="311" t="e">
        <f ca="1">IF(项目基本情况!B11="自然人","——",ROUND(C5*F32/(1+'数据-取费表'!C42),2))</f>
        <v>#N/A</v>
      </c>
      <c r="D32" s="3337" t="s">
        <v>929</v>
      </c>
      <c r="E32" s="680" t="s">
        <v>367</v>
      </c>
      <c r="F32" s="713">
        <f>'数据-取费表'!B41</f>
        <v>5.5000000000000007E-2</v>
      </c>
      <c r="G32" s="2269"/>
      <c r="H32" s="1274"/>
      <c r="I32" s="1275"/>
      <c r="J32" s="1276"/>
      <c r="K32" s="1277"/>
      <c r="L32" s="1278"/>
      <c r="M32" s="1279"/>
    </row>
    <row r="33" spans="1:18" ht="18" customHeight="1">
      <c r="A33" s="2419" t="s">
        <v>2599</v>
      </c>
      <c r="B33" s="680" t="s">
        <v>931</v>
      </c>
      <c r="C33" s="311" t="e">
        <f ca="1">IF(项目基本情况!B11="自然人","——",IF(D33="按租金收入计税",ROUND(C5*F33,2),IF(D33="按房产原值计税",ROUND(C29*F33*0.7,2),INDIRECT("'数据-取费表'!Aj"&amp;$G$1))))</f>
        <v>#N/A</v>
      </c>
      <c r="D33" s="1291" t="s">
        <v>2406</v>
      </c>
      <c r="E33" s="680" t="s">
        <v>362</v>
      </c>
      <c r="F33" s="703">
        <f>IF(D33="按票据","——",IF(D33="按租金收入计税",'数据-取费表'!B51,'数据-取费表'!B50))</f>
        <v>1.2E-2</v>
      </c>
      <c r="G33" s="2269"/>
      <c r="H33" s="1280"/>
      <c r="I33" s="2862"/>
      <c r="J33" s="2863"/>
      <c r="K33" s="1281"/>
      <c r="L33" s="1280"/>
      <c r="M33" s="1280"/>
    </row>
    <row r="34" spans="1:18" ht="18" customHeight="1">
      <c r="A34" s="2603" t="s">
        <v>2600</v>
      </c>
      <c r="B34" s="492" t="s">
        <v>933</v>
      </c>
      <c r="C34" s="312" t="e">
        <f ca="1">IF(项目基本情况!B11="自然人","——",ROUND(F34*F35/10000,2))</f>
        <v>#N/A</v>
      </c>
      <c r="D34" s="706" t="s">
        <v>934</v>
      </c>
      <c r="E34" s="680" t="s">
        <v>935</v>
      </c>
      <c r="F34" s="707">
        <f>'数据-取费表'!B52</f>
        <v>1.5</v>
      </c>
      <c r="G34" s="2269"/>
      <c r="H34" s="1268"/>
      <c r="I34" s="2862"/>
      <c r="J34" s="2863"/>
      <c r="K34" s="1282"/>
      <c r="L34" s="1283"/>
      <c r="M34" s="1283"/>
    </row>
    <row r="35" spans="1:18" ht="18" customHeight="1">
      <c r="A35" s="2677"/>
      <c r="B35" s="2675"/>
      <c r="C35" s="316"/>
      <c r="D35" s="709"/>
      <c r="E35" s="680" t="s">
        <v>939</v>
      </c>
      <c r="F35" s="681" t="e">
        <f ca="1">INDIRECT("'数据-取费表'!r"&amp;$G$1)</f>
        <v>#N/A</v>
      </c>
      <c r="G35" s="2269"/>
      <c r="H35" s="1268"/>
      <c r="I35" s="2862"/>
      <c r="J35" s="2863"/>
      <c r="K35" s="1281"/>
      <c r="L35" s="1280"/>
      <c r="M35" s="1280"/>
    </row>
    <row r="36" spans="1:18" ht="18" customHeight="1">
      <c r="A36" s="2676" t="s">
        <v>2373</v>
      </c>
      <c r="B36" s="680" t="s">
        <v>941</v>
      </c>
      <c r="C36" s="311" t="e">
        <f ca="1">ROUND(C29*F36,1)</f>
        <v>#N/A</v>
      </c>
      <c r="D36" s="3337" t="s">
        <v>971</v>
      </c>
      <c r="E36" s="680" t="s">
        <v>367</v>
      </c>
      <c r="F36" s="710" t="e">
        <f ca="1">INDIRECT("'数据-取费表'!Ak"&amp;$G$1)</f>
        <v>#N/A</v>
      </c>
      <c r="G36" s="2269"/>
      <c r="H36" s="1280"/>
      <c r="I36" s="2862"/>
      <c r="J36" s="2863"/>
      <c r="K36" s="1284"/>
      <c r="L36" s="1280"/>
      <c r="M36" s="1280"/>
    </row>
    <row r="37" spans="1:18" ht="18" customHeight="1">
      <c r="A37" s="2419" t="s">
        <v>2604</v>
      </c>
      <c r="B37" s="680" t="s">
        <v>365</v>
      </c>
      <c r="C37" s="311" t="e">
        <f ca="1">ROUND(C13*F37,1)</f>
        <v>#N/A</v>
      </c>
      <c r="D37" s="3337" t="s">
        <v>366</v>
      </c>
      <c r="E37" s="680" t="s">
        <v>367</v>
      </c>
      <c r="F37" s="712" t="e">
        <f ca="1">INDIRECT("'数据-取费表'!Al"&amp;$G$1)</f>
        <v>#N/A</v>
      </c>
      <c r="G37" s="2269"/>
      <c r="H37" s="1280"/>
      <c r="I37" s="2862"/>
      <c r="J37" s="2863"/>
      <c r="K37" s="1284"/>
      <c r="L37" s="1280"/>
      <c r="M37" s="1280"/>
    </row>
    <row r="38" spans="1:18" ht="18" customHeight="1" thickBot="1">
      <c r="A38" s="2659" t="s">
        <v>2605</v>
      </c>
      <c r="B38" s="2660" t="s">
        <v>364</v>
      </c>
      <c r="C38" s="2661" t="e">
        <f ca="1">ROUND(C5*F38,1)</f>
        <v>#N/A</v>
      </c>
      <c r="D38" s="2662" t="s">
        <v>368</v>
      </c>
      <c r="E38" s="2660" t="s">
        <v>367</v>
      </c>
      <c r="F38" s="2656" t="e">
        <f ca="1">INDIRECT("'数据-取费表'!Am"&amp;$G$1)</f>
        <v>#N/A</v>
      </c>
      <c r="G38" s="2269"/>
      <c r="H38" s="1280"/>
      <c r="I38" s="2862"/>
      <c r="J38" s="2863"/>
      <c r="K38" s="1285"/>
      <c r="L38" s="1280"/>
      <c r="M38" s="1280"/>
    </row>
    <row r="39" spans="1:18" ht="24.6" customHeight="1" thickTop="1">
      <c r="A39" s="2647" t="s">
        <v>2346</v>
      </c>
      <c r="B39" s="2664" t="s">
        <v>374</v>
      </c>
      <c r="C39" s="688" t="e">
        <f ca="1">C5-C30</f>
        <v>#N/A</v>
      </c>
      <c r="D39" s="2665" t="s">
        <v>375</v>
      </c>
      <c r="E39" s="2666"/>
      <c r="F39" s="2667"/>
      <c r="G39" s="2269"/>
      <c r="H39" s="1280"/>
      <c r="I39" s="2862"/>
      <c r="J39" s="2863"/>
      <c r="K39" s="1285"/>
      <c r="L39" s="1280"/>
      <c r="M39" s="1280"/>
    </row>
    <row r="40" spans="1:18" ht="18" customHeight="1">
      <c r="A40" s="677" t="s">
        <v>2349</v>
      </c>
      <c r="B40" s="678" t="s">
        <v>376</v>
      </c>
      <c r="C40" s="679" t="e">
        <f ca="1">ROUND(C39*(1-((1+F42)/(1+F40))^F41)/(F40-F42),0)</f>
        <v>#N/A</v>
      </c>
      <c r="D40" s="706" t="s">
        <v>370</v>
      </c>
      <c r="E40" s="680" t="s">
        <v>371</v>
      </c>
      <c r="F40" s="690" t="e">
        <f ca="1">INDIRECT("'数据-取费表'!I"&amp;$G$1)</f>
        <v>#N/A</v>
      </c>
      <c r="G40" s="2269"/>
      <c r="H40" s="1286"/>
      <c r="I40" s="2862"/>
      <c r="J40" s="2863"/>
      <c r="K40" s="1285"/>
      <c r="L40" s="1286"/>
      <c r="M40" s="1286"/>
    </row>
    <row r="41" spans="1:18" ht="18" customHeight="1">
      <c r="A41" s="682"/>
      <c r="B41" s="683"/>
      <c r="C41" s="684"/>
      <c r="D41" s="714" t="s">
        <v>377</v>
      </c>
      <c r="E41" s="680" t="s">
        <v>378</v>
      </c>
      <c r="F41" s="715" t="e">
        <f ca="1">IF(INDIRECT("'数据-取费表'!af"&amp;$G$1)=0,INDIRECT("'数据-取费表'!ae"&amp;$G$1),INDIRECT("'数据-取费表'!af"&amp;$G$1))</f>
        <v>#N/A</v>
      </c>
      <c r="G41" s="2269"/>
      <c r="H41" s="1182"/>
      <c r="I41" s="2862"/>
      <c r="J41" s="2863"/>
      <c r="K41" s="1284"/>
      <c r="L41" s="1182"/>
      <c r="M41" s="1182"/>
    </row>
    <row r="42" spans="1:18" ht="18" customHeight="1">
      <c r="A42" s="686"/>
      <c r="B42" s="687"/>
      <c r="C42" s="688"/>
      <c r="D42" s="709"/>
      <c r="E42" s="680" t="s">
        <v>379</v>
      </c>
      <c r="F42" s="690" t="e">
        <f ca="1">INDIRECT("'数据-取费表'!v"&amp;$G$1)</f>
        <v>#N/A</v>
      </c>
      <c r="G42" s="2269"/>
      <c r="H42" s="1182"/>
      <c r="I42" s="2862"/>
      <c r="J42" s="2863"/>
      <c r="K42" s="1284"/>
      <c r="L42" s="1182"/>
      <c r="M42" s="1182"/>
    </row>
    <row r="43" spans="1:18" ht="18" customHeight="1" thickBot="1">
      <c r="A43" s="716" t="s">
        <v>2356</v>
      </c>
      <c r="B43" s="717" t="s">
        <v>380</v>
      </c>
      <c r="C43" s="718" t="e">
        <f ca="1">ROUND(C40*10000/F43,0)</f>
        <v>#N/A</v>
      </c>
      <c r="D43" s="719" t="s">
        <v>381</v>
      </c>
      <c r="E43" s="720" t="s">
        <v>382</v>
      </c>
      <c r="F43" s="721" t="e">
        <f ca="1">INDIRECT("'数据-取费表'!k"&amp;$G$1)</f>
        <v>#N/A</v>
      </c>
      <c r="G43" s="2269"/>
      <c r="H43" s="1182"/>
      <c r="I43" s="1182"/>
      <c r="J43" s="1182"/>
      <c r="K43" s="1284"/>
      <c r="L43" s="1182"/>
      <c r="M43" s="1182"/>
    </row>
    <row r="44" spans="1:18" s="1444" customFormat="1" ht="18" customHeight="1">
      <c r="A44" s="1422"/>
      <c r="B44" s="1422"/>
      <c r="C44" s="1443"/>
      <c r="D44" s="1422"/>
      <c r="E44" s="1422"/>
      <c r="F44" s="1422"/>
      <c r="K44" s="1445"/>
    </row>
    <row r="45" spans="1:18" s="1444" customFormat="1" ht="18" customHeight="1" thickBot="1">
      <c r="A45" s="1422"/>
      <c r="B45" s="1422"/>
      <c r="C45" s="1443"/>
      <c r="D45" s="1422"/>
      <c r="E45" s="1422"/>
      <c r="F45" s="1422"/>
      <c r="O45" s="2572" t="s">
        <v>2479</v>
      </c>
      <c r="P45" s="1286"/>
      <c r="Q45" s="1286"/>
      <c r="R45" s="1286"/>
    </row>
    <row r="46" spans="1:18" s="1444" customFormat="1" ht="21" thickBot="1">
      <c r="A46" s="2377" t="s">
        <v>2318</v>
      </c>
      <c r="B46" s="2378"/>
      <c r="C46" s="2706" t="e">
        <f ca="1">C68-C40</f>
        <v>#N/A</v>
      </c>
      <c r="D46" s="2707" t="str">
        <f>C2</f>
        <v>万元</v>
      </c>
      <c r="E46" s="1422"/>
      <c r="F46" s="1422"/>
      <c r="I46" s="2559" t="s">
        <v>2414</v>
      </c>
      <c r="J46" s="2560"/>
      <c r="K46" s="2561"/>
      <c r="L46" s="2563" t="e">
        <f ca="1">IF(M47="住宅",0,IF(L48&gt;J51,L60,J60))</f>
        <v>#N/A</v>
      </c>
      <c r="O46" s="2575" t="s">
        <v>2457</v>
      </c>
      <c r="P46" s="2576" t="s">
        <v>2458</v>
      </c>
      <c r="Q46" s="2577" t="s">
        <v>2456</v>
      </c>
      <c r="R46" s="2577" t="s">
        <v>2459</v>
      </c>
    </row>
    <row r="47" spans="1:18" s="1444" customFormat="1" ht="15.75" thickBot="1">
      <c r="A47" s="2379" t="s">
        <v>906</v>
      </c>
      <c r="B47" s="2415" t="s">
        <v>907</v>
      </c>
      <c r="C47" s="2711" t="s">
        <v>908</v>
      </c>
      <c r="D47" s="2415" t="s">
        <v>909</v>
      </c>
      <c r="E47" s="2518" t="s">
        <v>910</v>
      </c>
      <c r="F47" s="2519"/>
      <c r="G47" s="1446"/>
      <c r="I47" s="2534" t="s">
        <v>2407</v>
      </c>
      <c r="J47" s="2535" t="s">
        <v>3110</v>
      </c>
      <c r="K47" s="2544" t="s">
        <v>2430</v>
      </c>
      <c r="L47" s="2545" t="e">
        <f ca="1">INDIRECT("'数据-取费表'!d"&amp;$G$1)</f>
        <v>#N/A</v>
      </c>
      <c r="M47" s="2565" t="str">
        <f>IF(ISNUMBER(FIND("住宅",C1)),"住宅","非住宅")</f>
        <v>非住宅</v>
      </c>
      <c r="O47" s="2568" t="s">
        <v>2442</v>
      </c>
      <c r="P47" s="2578" t="s">
        <v>2460</v>
      </c>
      <c r="Q47" s="2569" t="e">
        <f ca="1">C40+J29</f>
        <v>#N/A</v>
      </c>
      <c r="R47" s="2569" t="s">
        <v>2461</v>
      </c>
    </row>
    <row r="48" spans="1:18" s="1444" customFormat="1" ht="47.25" thickBot="1">
      <c r="A48" s="2692" t="s">
        <v>2610</v>
      </c>
      <c r="B48" s="678" t="s">
        <v>2325</v>
      </c>
      <c r="C48" s="3340" t="e">
        <f ca="1">C49+C53+C55</f>
        <v>#N/A</v>
      </c>
      <c r="D48" s="2696"/>
      <c r="E48" s="2697"/>
      <c r="F48" s="2399"/>
      <c r="G48" s="1446"/>
      <c r="H48" s="1447"/>
      <c r="I48" s="2525" t="s">
        <v>2408</v>
      </c>
      <c r="J48" s="2536" t="s">
        <v>2409</v>
      </c>
      <c r="K48" s="2546" t="s">
        <v>2431</v>
      </c>
      <c r="L48" s="2149" t="e">
        <f ca="1">INDIRECT("'数据-取费表'!f"&amp;$G$1)</f>
        <v>#N/A</v>
      </c>
      <c r="O48" s="2568" t="s">
        <v>2443</v>
      </c>
      <c r="P48" s="2578" t="s">
        <v>2462</v>
      </c>
      <c r="Q48" s="2569" t="e">
        <f ca="1">J60</f>
        <v>#N/A</v>
      </c>
      <c r="R48" s="2569" t="s">
        <v>2470</v>
      </c>
    </row>
    <row r="49" spans="1:18" s="1444" customFormat="1" ht="15.75" thickBot="1">
      <c r="A49" s="2412" t="s">
        <v>2611</v>
      </c>
      <c r="B49" s="2695" t="s">
        <v>2613</v>
      </c>
      <c r="C49" s="2704" t="e">
        <f ca="1">ROUND(F49*F51*F50*(1-F52)/10000,0)</f>
        <v>#N/A</v>
      </c>
      <c r="D49" s="2514" t="s">
        <v>2326</v>
      </c>
      <c r="E49" s="2517" t="s">
        <v>2319</v>
      </c>
      <c r="F49" s="2520"/>
      <c r="G49" s="1448"/>
      <c r="H49" s="1447"/>
      <c r="I49" s="2525" t="s">
        <v>2428</v>
      </c>
      <c r="J49" s="2537"/>
      <c r="K49" s="2547" t="s">
        <v>2433</v>
      </c>
      <c r="L49" s="2548"/>
      <c r="O49" s="2570" t="s">
        <v>2444</v>
      </c>
      <c r="P49" s="2578" t="s">
        <v>2463</v>
      </c>
      <c r="Q49" s="2569" t="e">
        <f ca="1">C29</f>
        <v>#N/A</v>
      </c>
      <c r="R49" s="2569" t="s">
        <v>2461</v>
      </c>
    </row>
    <row r="50" spans="1:18" s="1444" customFormat="1" ht="15.75" thickBot="1">
      <c r="A50" s="2413"/>
      <c r="B50" s="2416"/>
      <c r="C50" s="2712"/>
      <c r="D50" s="2386"/>
      <c r="E50" s="2515" t="s">
        <v>912</v>
      </c>
      <c r="F50" s="2516" t="e">
        <f ca="1">F7</f>
        <v>#N/A</v>
      </c>
      <c r="H50" s="1447"/>
      <c r="I50" s="2525" t="s">
        <v>2410</v>
      </c>
      <c r="J50" s="2538">
        <f>SUMPRODUCT((I63:I65=J47)*(J62:L62=J48)*(J63:L65))</f>
        <v>60</v>
      </c>
      <c r="K50" s="2547" t="s">
        <v>2434</v>
      </c>
      <c r="L50" s="2548"/>
      <c r="M50" s="2542"/>
      <c r="O50" s="2570" t="s">
        <v>2445</v>
      </c>
      <c r="P50" s="2578" t="s">
        <v>2471</v>
      </c>
      <c r="Q50" s="2571" t="e">
        <f ca="1">J58</f>
        <v>#N/A</v>
      </c>
      <c r="R50" s="2569"/>
    </row>
    <row r="51" spans="1:18" s="1444" customFormat="1" ht="15.75" thickBot="1">
      <c r="A51" s="2414"/>
      <c r="B51" s="2416"/>
      <c r="C51" s="2417"/>
      <c r="D51" s="2386"/>
      <c r="E51" s="2418" t="s">
        <v>913</v>
      </c>
      <c r="F51" s="681" t="e">
        <f ca="1">F8</f>
        <v>#N/A</v>
      </c>
      <c r="I51" s="2539" t="s">
        <v>2415</v>
      </c>
      <c r="J51" s="2540">
        <f>IF(J49="",J50,J49+J50-YEAR('数据-取费表'!B2))</f>
        <v>60</v>
      </c>
      <c r="K51" s="2549" t="s">
        <v>2435</v>
      </c>
      <c r="L51" s="2562" t="e">
        <f ca="1">ROUND(-PV(INDIRECT("'数据-取费表'!h"&amp;$G$1),L48,(C39-C13*C76),0),0)</f>
        <v>#N/A</v>
      </c>
      <c r="M51" s="2543"/>
      <c r="O51" s="2570" t="s">
        <v>2446</v>
      </c>
      <c r="P51" s="2578" t="s">
        <v>2472</v>
      </c>
      <c r="Q51" s="2571">
        <f>J52</f>
        <v>0</v>
      </c>
      <c r="R51" s="2569"/>
    </row>
    <row r="52" spans="1:18" s="1444" customFormat="1" ht="15.75" thickBot="1">
      <c r="A52" s="2414"/>
      <c r="B52" s="2416"/>
      <c r="C52" s="2417"/>
      <c r="D52" s="2386"/>
      <c r="E52" s="2418" t="s">
        <v>914</v>
      </c>
      <c r="F52" s="2513"/>
      <c r="I52" s="2541" t="s">
        <v>2438</v>
      </c>
      <c r="J52" s="2555"/>
      <c r="K52" s="2541" t="s">
        <v>2423</v>
      </c>
      <c r="L52" s="2555"/>
      <c r="M52" s="2378"/>
      <c r="O52" s="2570" t="s">
        <v>2447</v>
      </c>
      <c r="P52" s="2578" t="s">
        <v>2464</v>
      </c>
      <c r="Q52" s="2569" t="e">
        <f ca="1">J53</f>
        <v>#N/A</v>
      </c>
      <c r="R52" s="2569" t="s">
        <v>2465</v>
      </c>
    </row>
    <row r="53" spans="1:18" s="1444" customFormat="1" ht="43.5" thickBot="1">
      <c r="A53" s="2807" t="s">
        <v>2612</v>
      </c>
      <c r="B53" s="429" t="s">
        <v>2522</v>
      </c>
      <c r="C53" s="694">
        <f ca="1">ROUND(IF(F53="押一",F49*F51*F50/12*F11,IF(F53="押二",F49*F51*F50/12*2*F11,IF(F53="押三",F49*F51*F50/12*3*F11,C54*F11)))/10000,0)</f>
        <v>0</v>
      </c>
      <c r="D53" s="2615" t="s">
        <v>2530</v>
      </c>
      <c r="E53" s="2078" t="s">
        <v>2524</v>
      </c>
      <c r="F53" s="2809"/>
      <c r="I53" s="2551" t="s">
        <v>2440</v>
      </c>
      <c r="J53" s="2552" t="e">
        <f ca="1">IF(M47="住宅",J51,MIN(J51,L48))</f>
        <v>#N/A</v>
      </c>
      <c r="K53" s="36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34"/>
      <c r="O53" s="2568" t="s">
        <v>2448</v>
      </c>
      <c r="P53" s="2578" t="s">
        <v>2466</v>
      </c>
      <c r="Q53" s="2569" t="e">
        <f ca="1">Q47+Q48</f>
        <v>#N/A</v>
      </c>
      <c r="R53" s="2569" t="s">
        <v>2449</v>
      </c>
    </row>
    <row r="54" spans="1:18" s="1444" customFormat="1" ht="16.5" thickBot="1">
      <c r="A54" s="2808"/>
      <c r="B54" s="2605" t="s">
        <v>2689</v>
      </c>
      <c r="C54" s="2396"/>
      <c r="D54" s="2615"/>
      <c r="E54" s="3339"/>
      <c r="F54" s="2521"/>
      <c r="I54" s="2393"/>
      <c r="J54" s="2550"/>
      <c r="K54" s="2550"/>
      <c r="L54" s="2550"/>
      <c r="M54" s="1448"/>
      <c r="O54" s="2572" t="s">
        <v>2473</v>
      </c>
      <c r="P54" s="1286"/>
      <c r="Q54" s="1286"/>
      <c r="R54" s="1286"/>
    </row>
    <row r="55" spans="1:18" s="1444" customFormat="1" ht="15.75" thickBot="1">
      <c r="A55" s="2651" t="s">
        <v>2535</v>
      </c>
      <c r="B55" s="2652" t="s">
        <v>2523</v>
      </c>
      <c r="C55" s="2653"/>
      <c r="D55" s="2615"/>
      <c r="E55" s="3339"/>
      <c r="F55" s="2521"/>
      <c r="I55" s="3296" t="s">
        <v>2416</v>
      </c>
      <c r="J55" s="3295" t="e">
        <f ca="1">ROUND(IF(J47="钢混",J57/J50,1-(1-2%)*(J50-J57)/J50),3)</f>
        <v>#N/A</v>
      </c>
      <c r="K55" s="2532" t="s">
        <v>2417</v>
      </c>
      <c r="L55" s="2554"/>
      <c r="O55" s="2575" t="s">
        <v>2457</v>
      </c>
      <c r="P55" s="2576" t="s">
        <v>2458</v>
      </c>
      <c r="Q55" s="2577" t="s">
        <v>2456</v>
      </c>
      <c r="R55" s="2577" t="s">
        <v>2459</v>
      </c>
    </row>
    <row r="56" spans="1:18" s="1444" customFormat="1" ht="44.25" thickTop="1" thickBot="1">
      <c r="A56" s="2390">
        <v>2</v>
      </c>
      <c r="B56" s="2391" t="s">
        <v>915</v>
      </c>
      <c r="C56" s="604" t="e">
        <f ca="1">C13</f>
        <v>#N/A</v>
      </c>
      <c r="D56" s="2679"/>
      <c r="E56" s="2392"/>
      <c r="F56" s="2521"/>
      <c r="I56" s="2524" t="s">
        <v>2418</v>
      </c>
      <c r="J56" s="2553" t="s">
        <v>3043</v>
      </c>
      <c r="K56" s="2525" t="s">
        <v>2422</v>
      </c>
      <c r="L56" s="2149" t="e">
        <f ca="1">IF(L48&lt;J51,"——",L48-J51)</f>
        <v>#N/A</v>
      </c>
      <c r="O56" s="2568" t="s">
        <v>2442</v>
      </c>
      <c r="P56" s="2578" t="s">
        <v>2460</v>
      </c>
      <c r="Q56" s="2569" t="e">
        <f ca="1">C40+J29</f>
        <v>#N/A</v>
      </c>
      <c r="R56" s="2569" t="s">
        <v>2461</v>
      </c>
    </row>
    <row r="57" spans="1:18" s="1444" customFormat="1" ht="29.25" thickBot="1">
      <c r="A57" s="2522"/>
      <c r="B57" s="2383" t="s">
        <v>964</v>
      </c>
      <c r="C57" s="610" t="e">
        <f ca="1">C29</f>
        <v>#N/A</v>
      </c>
      <c r="D57" s="2394"/>
      <c r="E57" s="2395"/>
      <c r="F57" s="2523"/>
      <c r="I57" s="2526" t="s">
        <v>2439</v>
      </c>
      <c r="J57" s="2530" t="e">
        <f ca="1">IF(OR(M47="住宅",J51&lt;L48,J56="是"),"——",J51-L48)</f>
        <v>#N/A</v>
      </c>
      <c r="K57" s="2525" t="s">
        <v>2892</v>
      </c>
      <c r="L57" s="2149" t="e">
        <f ca="1">IF(L48&lt;J51,"——",IF(L55="比较法",L49,IF(L55="基准地价",L50,L51)))</f>
        <v>#N/A</v>
      </c>
      <c r="O57" s="2568" t="s">
        <v>2443</v>
      </c>
      <c r="P57" s="2578" t="s">
        <v>2467</v>
      </c>
      <c r="Q57" s="2569" t="e">
        <f ca="1">L60</f>
        <v>#N/A</v>
      </c>
      <c r="R57" s="2569" t="s">
        <v>2482</v>
      </c>
    </row>
    <row r="58" spans="1:18" s="1444" customFormat="1" ht="29.25" thickBot="1">
      <c r="A58" s="693" t="s">
        <v>2331</v>
      </c>
      <c r="B58" s="2391" t="s">
        <v>922</v>
      </c>
      <c r="C58" s="694" t="e">
        <f ca="1">ROUND(C59+C64+C65+C66,0)</f>
        <v>#N/A</v>
      </c>
      <c r="D58" s="2397" t="s">
        <v>923</v>
      </c>
      <c r="E58" s="2398"/>
      <c r="F58" s="2399"/>
      <c r="I58" s="2526" t="s">
        <v>2419</v>
      </c>
      <c r="J58" s="3297" t="e">
        <f ca="1">IF(J55&lt;0.4,0.4,J55)</f>
        <v>#N/A</v>
      </c>
      <c r="K58" s="2549" t="s">
        <v>2893</v>
      </c>
      <c r="L58" s="2149">
        <f ca="1">IF(ISERROR(POWER(1+L52,L47-L48)*(POWER(1+L52,L48)-1)/(POWER(1+L52,L47)-1)),0,POWER(1+L52,L47-L48)*(POWER(1+L52,L48)-1)/(POWER(1+L52,L47)-1))</f>
        <v>0</v>
      </c>
      <c r="O58" s="2570" t="s">
        <v>2444</v>
      </c>
      <c r="P58" s="2578" t="s">
        <v>2474</v>
      </c>
      <c r="Q58" s="2569">
        <f>IF(L55="比较法",L49,IF(L55="基准地价",L50,0))</f>
        <v>0</v>
      </c>
      <c r="R58" s="2569" t="s">
        <v>2461</v>
      </c>
    </row>
    <row r="59" spans="1:18" s="1444" customFormat="1" ht="29.25" thickBot="1">
      <c r="A59" s="2419" t="s">
        <v>2366</v>
      </c>
      <c r="B59" s="2383" t="s">
        <v>360</v>
      </c>
      <c r="C59" s="311" t="e">
        <f ca="1">ROUND(IF(项目基本情况!B11="自然人",C48*F59,C60+C61+C62),1)</f>
        <v>#N/A</v>
      </c>
      <c r="D59" s="2400" t="s">
        <v>926</v>
      </c>
      <c r="E59" s="2401" t="s">
        <v>927</v>
      </c>
      <c r="F59" s="704" t="str">
        <f ca="1">IF(项目基本情况!B11="企业","",IF(INDIRECT("'数据-取费表'!c"&amp;$G$1)="住宅",5%,IF(F49*F50*F51/12/(1+'数据-取费表'!C42)&gt;20000,12%,7%)))</f>
        <v/>
      </c>
      <c r="I59" s="2526" t="s">
        <v>2420</v>
      </c>
      <c r="J59" s="2530" t="e">
        <f ca="1">IF(OR(M47="住宅",J51&lt;L48,J56="是"),"——",ROUND(C29*J58,0))</f>
        <v>#N/A</v>
      </c>
      <c r="K59" s="2549" t="s">
        <v>2894</v>
      </c>
      <c r="L59" s="2149">
        <f ca="1">IF(ISERROR(POWER(1+L52,L47-J51)*(POWER(1+L52,J51)-1)/(POWER(1+L52,L47)-1)),0,POWER(1+L52,L47-J51)*(POWER(1+L52,J51)-1)/(POWER(1+L52,L47)-1))</f>
        <v>0</v>
      </c>
      <c r="O59" s="2570" t="s">
        <v>2445</v>
      </c>
      <c r="P59" s="2578" t="s">
        <v>2475</v>
      </c>
      <c r="Q59" s="2571">
        <f>L52</f>
        <v>0</v>
      </c>
      <c r="R59" s="2569"/>
    </row>
    <row r="60" spans="1:18" s="1444" customFormat="1" ht="20.25" thickBot="1">
      <c r="A60" s="2419" t="s">
        <v>2363</v>
      </c>
      <c r="B60" s="2383" t="s">
        <v>928</v>
      </c>
      <c r="C60" s="311" t="e">
        <f ca="1">IF(项目基本情况!B11="自然人","——",ROUND(C48*F60/(1+'数据-取费表'!C42),2))</f>
        <v>#N/A</v>
      </c>
      <c r="D60" s="2401" t="s">
        <v>929</v>
      </c>
      <c r="E60" s="2383" t="s">
        <v>367</v>
      </c>
      <c r="F60" s="713">
        <f t="shared" ref="F60:F66" si="0">F32</f>
        <v>5.5000000000000007E-2</v>
      </c>
      <c r="I60" s="2527" t="s">
        <v>2421</v>
      </c>
      <c r="J60" s="2531" t="e">
        <f ca="1">IF(OR(M47="住宅",J51&lt;L48,J56="是"),"0",ROUND(J59/(1+J52)^J53,0))</f>
        <v>#N/A</v>
      </c>
      <c r="K60" s="2533" t="s">
        <v>2424</v>
      </c>
      <c r="L60" s="2531" t="e">
        <f ca="1">IF(OR(M47="住宅",L48&lt;J51),0,ROUND(L57*(L58/L59-1),0))</f>
        <v>#N/A</v>
      </c>
      <c r="O60" s="2570" t="s">
        <v>2446</v>
      </c>
      <c r="P60" s="2578" t="s">
        <v>2476</v>
      </c>
      <c r="Q60" s="2569">
        <f ca="1">L58</f>
        <v>0</v>
      </c>
      <c r="R60" s="2569" t="s">
        <v>2451</v>
      </c>
    </row>
    <row r="61" spans="1:18" s="1444" customFormat="1" ht="20.25" thickBot="1">
      <c r="A61" s="2419" t="s">
        <v>2364</v>
      </c>
      <c r="B61" s="2383" t="s">
        <v>931</v>
      </c>
      <c r="C61" s="311" t="e">
        <f ca="1">IF(项目基本情况!B11="自然人","——",IF(D61="按租金收入计税",ROUND(C48*F61,2),IF(D61="按房产原值计税",ROUND(C57*F61*0.7,2),INDIRECT("'数据-取费表'!Aj"&amp;$G$1))))</f>
        <v>#N/A</v>
      </c>
      <c r="D61" s="1291" t="s">
        <v>2406</v>
      </c>
      <c r="E61" s="2383" t="s">
        <v>367</v>
      </c>
      <c r="F61" s="703">
        <f t="shared" si="0"/>
        <v>1.2E-2</v>
      </c>
      <c r="I61" s="2393"/>
      <c r="J61" s="2393"/>
      <c r="K61" s="2393"/>
      <c r="L61" s="2393"/>
      <c r="O61" s="2570" t="s">
        <v>2447</v>
      </c>
      <c r="P61" s="2578" t="s">
        <v>2477</v>
      </c>
      <c r="Q61" s="2569">
        <f ca="1">L59</f>
        <v>0</v>
      </c>
      <c r="R61" s="2569" t="s">
        <v>2452</v>
      </c>
    </row>
    <row r="62" spans="1:18" s="1444" customFormat="1" ht="15.75" thickBot="1">
      <c r="A62" s="2419" t="s">
        <v>2365</v>
      </c>
      <c r="B62" s="2382" t="s">
        <v>933</v>
      </c>
      <c r="C62" s="312" t="e">
        <f ca="1">IF(项目基本情况!B11="自然人","——",ROUND(F62*F63/10000,2))</f>
        <v>#N/A</v>
      </c>
      <c r="D62" s="2402" t="s">
        <v>934</v>
      </c>
      <c r="E62" s="2383" t="s">
        <v>935</v>
      </c>
      <c r="F62" s="707">
        <f t="shared" si="0"/>
        <v>1.5</v>
      </c>
      <c r="I62" s="2528" t="s">
        <v>2411</v>
      </c>
      <c r="J62" s="2529" t="s">
        <v>2412</v>
      </c>
      <c r="K62" s="2529" t="s">
        <v>2413</v>
      </c>
      <c r="L62" s="2529" t="s">
        <v>2409</v>
      </c>
      <c r="M62" s="3298" t="s">
        <v>3026</v>
      </c>
      <c r="O62" s="2568" t="s">
        <v>2448</v>
      </c>
      <c r="P62" s="2578" t="s">
        <v>2466</v>
      </c>
      <c r="Q62" s="2569" t="e">
        <f ca="1">Q56+Q57</f>
        <v>#N/A</v>
      </c>
      <c r="R62" s="2569" t="s">
        <v>2449</v>
      </c>
    </row>
    <row r="63" spans="1:18" s="1444" customFormat="1" ht="16.5" thickBot="1">
      <c r="A63" s="708"/>
      <c r="B63" s="2389"/>
      <c r="C63" s="316"/>
      <c r="D63" s="2403"/>
      <c r="E63" s="2383" t="s">
        <v>939</v>
      </c>
      <c r="F63" s="681" t="e">
        <f t="shared" ca="1" si="0"/>
        <v>#N/A</v>
      </c>
      <c r="I63" s="2528" t="s">
        <v>2425</v>
      </c>
      <c r="J63" s="3301">
        <v>70</v>
      </c>
      <c r="K63" s="3301">
        <v>50</v>
      </c>
      <c r="L63" s="3301">
        <v>80</v>
      </c>
      <c r="M63" s="3299">
        <v>0.02</v>
      </c>
      <c r="O63" s="2572" t="s">
        <v>2480</v>
      </c>
      <c r="P63" s="1286"/>
      <c r="Q63" s="1286"/>
      <c r="R63" s="1286"/>
    </row>
    <row r="64" spans="1:18" s="1444" customFormat="1" ht="15.75" thickBot="1">
      <c r="A64" s="2419" t="s">
        <v>2373</v>
      </c>
      <c r="B64" s="2383" t="s">
        <v>941</v>
      </c>
      <c r="C64" s="311" t="e">
        <f ca="1">ROUND(C57*F64,1)</f>
        <v>#N/A</v>
      </c>
      <c r="D64" s="2401" t="s">
        <v>971</v>
      </c>
      <c r="E64" s="2383" t="s">
        <v>367</v>
      </c>
      <c r="F64" s="710" t="e">
        <f t="shared" ca="1" si="0"/>
        <v>#N/A</v>
      </c>
      <c r="I64" s="2528" t="s">
        <v>107</v>
      </c>
      <c r="J64" s="3301">
        <v>50</v>
      </c>
      <c r="K64" s="3301">
        <v>35</v>
      </c>
      <c r="L64" s="3301">
        <v>60</v>
      </c>
      <c r="M64" s="3300">
        <v>0</v>
      </c>
      <c r="O64" s="2575" t="s">
        <v>2457</v>
      </c>
      <c r="P64" s="2576" t="s">
        <v>2458</v>
      </c>
      <c r="Q64" s="2577" t="s">
        <v>2456</v>
      </c>
      <c r="R64" s="2577" t="s">
        <v>2459</v>
      </c>
    </row>
    <row r="65" spans="1:18" s="1444" customFormat="1" ht="15.75" thickBot="1">
      <c r="A65" s="2419" t="s">
        <v>2367</v>
      </c>
      <c r="B65" s="2383" t="s">
        <v>365</v>
      </c>
      <c r="C65" s="311" t="e">
        <f ca="1">ROUND(C56*F65,1)</f>
        <v>#N/A</v>
      </c>
      <c r="D65" s="2401" t="s">
        <v>366</v>
      </c>
      <c r="E65" s="2383" t="s">
        <v>367</v>
      </c>
      <c r="F65" s="712" t="e">
        <f t="shared" ca="1" si="0"/>
        <v>#N/A</v>
      </c>
      <c r="I65" s="2528" t="s">
        <v>2427</v>
      </c>
      <c r="J65" s="3301">
        <v>40</v>
      </c>
      <c r="K65" s="3301">
        <v>30</v>
      </c>
      <c r="L65" s="3301">
        <v>50</v>
      </c>
      <c r="M65" s="3299">
        <v>0.02</v>
      </c>
      <c r="O65" s="2568" t="s">
        <v>2442</v>
      </c>
      <c r="P65" s="2578" t="s">
        <v>2460</v>
      </c>
      <c r="Q65" s="2569" t="e">
        <f ca="1">C40+J29</f>
        <v>#N/A</v>
      </c>
      <c r="R65" s="2569" t="s">
        <v>2461</v>
      </c>
    </row>
    <row r="66" spans="1:18" s="1444" customFormat="1" ht="20.25" thickBot="1">
      <c r="A66" s="2419" t="s">
        <v>2368</v>
      </c>
      <c r="B66" s="2383" t="s">
        <v>364</v>
      </c>
      <c r="C66" s="311" t="e">
        <f ca="1">ROUND(C48*F66,1)</f>
        <v>#N/A</v>
      </c>
      <c r="D66" s="2401" t="s">
        <v>368</v>
      </c>
      <c r="E66" s="2383" t="s">
        <v>367</v>
      </c>
      <c r="F66" s="690" t="e">
        <f t="shared" ca="1" si="0"/>
        <v>#N/A</v>
      </c>
      <c r="O66" s="2568" t="s">
        <v>2443</v>
      </c>
      <c r="P66" s="2578" t="s">
        <v>2467</v>
      </c>
      <c r="Q66" s="2569" t="e">
        <f ca="1">L60</f>
        <v>#N/A</v>
      </c>
      <c r="R66" s="2569" t="s">
        <v>2450</v>
      </c>
    </row>
    <row r="67" spans="1:18" s="1444" customFormat="1" ht="24.75" thickBot="1">
      <c r="A67" s="2390" t="s">
        <v>2346</v>
      </c>
      <c r="B67" s="2404" t="s">
        <v>949</v>
      </c>
      <c r="C67" s="694" t="e">
        <f ca="1">C48-C58</f>
        <v>#N/A</v>
      </c>
      <c r="D67" s="2400" t="s">
        <v>375</v>
      </c>
      <c r="E67" s="2405"/>
      <c r="F67" s="2406"/>
      <c r="O67" s="2570" t="s">
        <v>2444</v>
      </c>
      <c r="P67" s="2578" t="s">
        <v>2474</v>
      </c>
      <c r="Q67" s="2573" t="e">
        <f ca="1">L51</f>
        <v>#N/A</v>
      </c>
      <c r="R67" s="2574" t="s">
        <v>2484</v>
      </c>
    </row>
    <row r="68" spans="1:18" s="1444" customFormat="1" ht="20.25" thickBot="1">
      <c r="A68" s="2380" t="s">
        <v>2349</v>
      </c>
      <c r="B68" s="2381" t="s">
        <v>2350</v>
      </c>
      <c r="C68" s="679" t="e">
        <f ca="1">ROUND(C67*(1-((1+F70)/(1+F68))^F69)/(F68-F70),0)</f>
        <v>#N/A</v>
      </c>
      <c r="D68" s="2402" t="s">
        <v>954</v>
      </c>
      <c r="E68" s="2383" t="s">
        <v>371</v>
      </c>
      <c r="F68" s="690" t="e">
        <f ca="1">F40</f>
        <v>#N/A</v>
      </c>
      <c r="O68" s="2570" t="s">
        <v>2445</v>
      </c>
      <c r="P68" s="2579" t="s">
        <v>2478</v>
      </c>
      <c r="Q68" s="2569" t="e">
        <f ca="1">ROUND(Q69-Q70*Q71,0)</f>
        <v>#N/A</v>
      </c>
      <c r="R68" s="2569" t="s">
        <v>2483</v>
      </c>
    </row>
    <row r="69" spans="1:18" s="1444" customFormat="1" ht="15.75" thickBot="1">
      <c r="A69" s="2384"/>
      <c r="B69" s="2385"/>
      <c r="C69" s="684"/>
      <c r="D69" s="2407" t="s">
        <v>956</v>
      </c>
      <c r="E69" s="2383" t="s">
        <v>378</v>
      </c>
      <c r="F69" s="715" t="e">
        <f ca="1">F41</f>
        <v>#N/A</v>
      </c>
      <c r="O69" s="2570" t="s">
        <v>2453</v>
      </c>
      <c r="P69" s="2579" t="s">
        <v>2468</v>
      </c>
      <c r="Q69" s="2569" t="e">
        <f ca="1">C39</f>
        <v>#N/A</v>
      </c>
      <c r="R69" s="2569" t="s">
        <v>2461</v>
      </c>
    </row>
    <row r="70" spans="1:18" s="1444" customFormat="1" ht="15.75" thickBot="1">
      <c r="A70" s="2387"/>
      <c r="B70" s="2388"/>
      <c r="C70" s="688"/>
      <c r="D70" s="2403"/>
      <c r="E70" s="2383" t="s">
        <v>379</v>
      </c>
      <c r="F70" s="2513"/>
      <c r="O70" s="2570" t="s">
        <v>2454</v>
      </c>
      <c r="P70" s="2579" t="s">
        <v>2469</v>
      </c>
      <c r="Q70" s="2569" t="e">
        <f ca="1">C13</f>
        <v>#N/A</v>
      </c>
      <c r="R70" s="2569" t="s">
        <v>2461</v>
      </c>
    </row>
    <row r="71" spans="1:18" s="1444" customFormat="1" ht="15.75" thickBot="1">
      <c r="A71" s="2408" t="s">
        <v>2356</v>
      </c>
      <c r="B71" s="2409" t="s">
        <v>2357</v>
      </c>
      <c r="C71" s="718" t="e">
        <f ca="1">ROUND(C68*10000/F71,0)</f>
        <v>#N/A</v>
      </c>
      <c r="D71" s="2410" t="s">
        <v>381</v>
      </c>
      <c r="E71" s="2411" t="s">
        <v>382</v>
      </c>
      <c r="F71" s="721" t="e">
        <f ca="1">F43</f>
        <v>#N/A</v>
      </c>
      <c r="I71" s="2378"/>
      <c r="K71" s="2378"/>
      <c r="O71" s="2570" t="s">
        <v>2455</v>
      </c>
      <c r="P71" s="2579" t="s">
        <v>2481</v>
      </c>
      <c r="Q71" s="2571" t="e">
        <f ca="1">C76</f>
        <v>#N/A</v>
      </c>
      <c r="R71" s="2569"/>
    </row>
    <row r="72" spans="1:18" s="1444" customFormat="1" ht="15.75" thickBot="1">
      <c r="B72" s="1449"/>
      <c r="C72" s="1449"/>
      <c r="I72" s="2378"/>
      <c r="O72" s="2570" t="s">
        <v>2446</v>
      </c>
      <c r="P72" s="2578" t="s">
        <v>2475</v>
      </c>
      <c r="Q72" s="2571">
        <f>L52</f>
        <v>0</v>
      </c>
      <c r="R72" s="2569"/>
    </row>
    <row r="73" spans="1:18" ht="20.25" thickBot="1">
      <c r="A73" s="1444"/>
      <c r="B73" s="1449"/>
      <c r="C73" s="1449"/>
      <c r="D73" s="1444"/>
      <c r="E73" s="1444"/>
      <c r="F73" s="1444"/>
      <c r="I73" s="2564"/>
      <c r="O73" s="2570" t="s">
        <v>2447</v>
      </c>
      <c r="P73" s="2578" t="s">
        <v>2476</v>
      </c>
      <c r="Q73" s="2569">
        <f ca="1">L58</f>
        <v>0</v>
      </c>
      <c r="R73" s="2569" t="s">
        <v>2451</v>
      </c>
    </row>
    <row r="74" spans="1:18" ht="20.25" thickBot="1">
      <c r="A74" s="1444"/>
      <c r="B74" s="723" t="s">
        <v>383</v>
      </c>
      <c r="C74" s="724"/>
      <c r="D74" s="1444"/>
      <c r="E74" s="1444"/>
      <c r="F74" s="1444"/>
      <c r="O74" s="2570" t="s">
        <v>2485</v>
      </c>
      <c r="P74" s="2578" t="s">
        <v>2477</v>
      </c>
      <c r="Q74" s="2569">
        <f ca="1">L59</f>
        <v>0</v>
      </c>
      <c r="R74" s="2569" t="s">
        <v>2452</v>
      </c>
    </row>
    <row r="75" spans="1:18" ht="15.75" thickBot="1">
      <c r="A75" s="1444"/>
      <c r="B75" s="725" t="s">
        <v>969</v>
      </c>
      <c r="C75" s="726" t="e">
        <f ca="1">ROUND(C13*C76,0)</f>
        <v>#N/A</v>
      </c>
      <c r="D75" s="1444"/>
      <c r="E75" s="1444"/>
      <c r="F75" s="1444"/>
      <c r="K75" s="1445"/>
      <c r="L75" s="1444"/>
      <c r="O75" s="2568" t="s">
        <v>2448</v>
      </c>
      <c r="P75" s="2578" t="s">
        <v>2466</v>
      </c>
      <c r="Q75" s="2569" t="e">
        <f ca="1">Q65+Q66</f>
        <v>#N/A</v>
      </c>
      <c r="R75" s="2569" t="s">
        <v>2449</v>
      </c>
    </row>
    <row r="76" spans="1:18">
      <c r="B76" s="727" t="s">
        <v>970</v>
      </c>
      <c r="C76" s="728" t="e">
        <f ca="1">INDIRECT("'数据-取费表'!j"&amp;$G$1)</f>
        <v>#N/A</v>
      </c>
      <c r="I76" s="1444"/>
      <c r="J76" s="1444"/>
      <c r="K76" s="1445"/>
      <c r="L76" s="1444"/>
    </row>
    <row r="77" spans="1:18">
      <c r="B77" s="729" t="s">
        <v>973</v>
      </c>
      <c r="C77" s="730"/>
      <c r="I77" s="1444"/>
      <c r="J77" s="1444"/>
      <c r="K77" s="1445"/>
      <c r="L77" s="1444"/>
    </row>
    <row r="78" spans="1:18">
      <c r="B78" s="642" t="s">
        <v>959</v>
      </c>
      <c r="C78" s="731"/>
    </row>
    <row r="79" spans="1:18">
      <c r="B79" s="2854" t="s">
        <v>2694</v>
      </c>
      <c r="C79" s="646" t="e">
        <f ca="1">1-C80</f>
        <v>#N/A</v>
      </c>
    </row>
    <row r="80" spans="1:18">
      <c r="B80" s="2854" t="s">
        <v>2693</v>
      </c>
      <c r="C80" s="646" t="e">
        <f ca="1">ROUND(C75/C39,3)</f>
        <v>#N/A</v>
      </c>
    </row>
    <row r="81" spans="2:3">
      <c r="B81" s="642" t="s">
        <v>384</v>
      </c>
      <c r="C81" s="643"/>
    </row>
    <row r="82" spans="2:3">
      <c r="B82" s="2853" t="s">
        <v>2692</v>
      </c>
      <c r="C82" s="647" t="e">
        <f ca="1">1-C83</f>
        <v>#N/A</v>
      </c>
    </row>
    <row r="83" spans="2:3">
      <c r="B83" s="2853" t="s">
        <v>2691</v>
      </c>
      <c r="C83" s="646"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80" zoomScaleNormal="80" zoomScaleSheetLayoutView="90" workbookViewId="0">
      <selection activeCell="F10" sqref="F10"/>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5.125" style="722" customWidth="1"/>
    <col min="12" max="12" width="16.375" style="670" customWidth="1"/>
    <col min="13" max="13" width="13" style="670"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70"/>
  </cols>
  <sheetData>
    <row r="1" spans="1:37" s="667" customFormat="1" ht="21">
      <c r="A1" s="665" t="s">
        <v>904</v>
      </c>
      <c r="B1" s="666"/>
      <c r="C1" s="2373" t="s">
        <v>3032</v>
      </c>
      <c r="D1" s="1264"/>
      <c r="E1" s="2566" t="s">
        <v>2436</v>
      </c>
      <c r="F1" s="2567" t="e">
        <f ca="1">J53</f>
        <v>#N/A</v>
      </c>
      <c r="G1" s="668" t="e">
        <f>MATCH(C1,'数据-取费表'!A6:A16,0)+5</f>
        <v>#N/A</v>
      </c>
      <c r="H1" s="1287"/>
      <c r="I1" s="672"/>
      <c r="J1" s="672"/>
      <c r="K1" s="1288"/>
      <c r="L1" s="672"/>
      <c r="M1" s="672"/>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73" t="s">
        <v>814</v>
      </c>
      <c r="B2" s="1396" t="e">
        <f ca="1">C40+J29+L46</f>
        <v>#N/A</v>
      </c>
      <c r="C2" s="1290" t="s">
        <v>1093</v>
      </c>
      <c r="D2" s="1266"/>
      <c r="E2" s="2556"/>
      <c r="F2" s="1267"/>
      <c r="G2" s="2268"/>
      <c r="H2" s="1265"/>
      <c r="I2" s="1265"/>
      <c r="J2" s="1265"/>
      <c r="K2" s="1289"/>
      <c r="L2" s="1265"/>
      <c r="M2" s="1265"/>
    </row>
    <row r="3" spans="1:37" ht="18" customHeight="1" thickBot="1">
      <c r="A3" s="671" t="s">
        <v>815</v>
      </c>
      <c r="B3" s="1397">
        <f ca="1">IF(ISERROR(B2*10000/F43),0,ROUND(B2*10000/F43,0))</f>
        <v>0</v>
      </c>
      <c r="C3" s="1290" t="s">
        <v>1094</v>
      </c>
      <c r="D3" s="1266"/>
      <c r="E3" s="2556"/>
      <c r="F3" s="1267"/>
      <c r="G3" s="2268"/>
      <c r="H3" s="672" t="s">
        <v>905</v>
      </c>
      <c r="I3" s="1265"/>
      <c r="J3" s="1265"/>
      <c r="K3" s="1289"/>
      <c r="L3" s="1265"/>
      <c r="M3" s="1265"/>
    </row>
    <row r="4" spans="1:37" ht="18" customHeight="1">
      <c r="A4" s="673" t="s">
        <v>906</v>
      </c>
      <c r="B4" s="674" t="s">
        <v>907</v>
      </c>
      <c r="C4" s="674" t="s">
        <v>908</v>
      </c>
      <c r="D4" s="674" t="s">
        <v>909</v>
      </c>
      <c r="E4" s="675" t="s">
        <v>910</v>
      </c>
      <c r="F4" s="676"/>
      <c r="G4" s="2269"/>
      <c r="H4" s="673" t="s">
        <v>906</v>
      </c>
      <c r="I4" s="674" t="s">
        <v>907</v>
      </c>
      <c r="J4" s="674" t="s">
        <v>908</v>
      </c>
      <c r="K4" s="674" t="s">
        <v>909</v>
      </c>
      <c r="L4" s="675" t="s">
        <v>910</v>
      </c>
      <c r="M4" s="676"/>
    </row>
    <row r="5" spans="1:37" ht="18" customHeight="1">
      <c r="A5" s="677">
        <v>1</v>
      </c>
      <c r="B5" s="678" t="s">
        <v>2526</v>
      </c>
      <c r="C5" s="2607" t="e">
        <f ca="1">C6+C10+C12</f>
        <v>#N/A</v>
      </c>
      <c r="D5" s="2617" t="s">
        <v>2528</v>
      </c>
      <c r="E5" s="2608"/>
      <c r="F5" s="2609"/>
      <c r="G5" s="2269"/>
      <c r="H5" s="677">
        <v>1</v>
      </c>
      <c r="I5" s="678" t="s">
        <v>2526</v>
      </c>
      <c r="J5" s="2607" t="e">
        <f ca="1">J6+J10+J12</f>
        <v>#N/A</v>
      </c>
      <c r="K5" s="2610" t="s">
        <v>2528</v>
      </c>
      <c r="L5" s="2608"/>
      <c r="M5" s="2609"/>
    </row>
    <row r="6" spans="1:37" ht="18" customHeight="1">
      <c r="A6" s="2603" t="s">
        <v>2533</v>
      </c>
      <c r="B6" s="3630" t="s">
        <v>2527</v>
      </c>
      <c r="C6" s="2612" t="e">
        <f ca="1">ROUND(F6*F8*F7*(1-F9)/10000,0)</f>
        <v>#N/A</v>
      </c>
      <c r="D6" s="2606" t="s">
        <v>2529</v>
      </c>
      <c r="E6" s="680" t="s">
        <v>911</v>
      </c>
      <c r="F6" s="681" t="e">
        <f ca="1">INDIRECT("'数据-取费表'!u"&amp;$G$1)</f>
        <v>#N/A</v>
      </c>
      <c r="G6" s="2269"/>
      <c r="H6" s="2603" t="s">
        <v>2536</v>
      </c>
      <c r="I6" s="3630" t="s">
        <v>2527</v>
      </c>
      <c r="J6" s="679" t="e">
        <f ca="1">ROUND(M6*M8*M7*(1-M9)/10000,0)</f>
        <v>#N/A</v>
      </c>
      <c r="K6" s="2606" t="s">
        <v>2529</v>
      </c>
      <c r="L6" s="680" t="s">
        <v>911</v>
      </c>
      <c r="M6" s="681" t="e">
        <f ca="1">INDIRECT("'数据-取费表'!z"&amp;$G$1)</f>
        <v>#N/A</v>
      </c>
    </row>
    <row r="7" spans="1:37" ht="18" customHeight="1">
      <c r="A7" s="2611"/>
      <c r="B7" s="3631"/>
      <c r="C7" s="2613"/>
      <c r="D7" s="2042"/>
      <c r="E7" s="2614" t="s">
        <v>912</v>
      </c>
      <c r="F7" s="681" t="e">
        <f ca="1">IF(INDIRECT("'数据-取费表'!ah"&amp;$G$1)="",INDIRECT("'数据-取费表'!k"&amp;$G$1),INDIRECT("'数据-取费表'!ah"&amp;$G$1))</f>
        <v>#N/A</v>
      </c>
      <c r="G7" s="2269"/>
      <c r="H7" s="682"/>
      <c r="I7" s="3631"/>
      <c r="J7" s="684"/>
      <c r="K7" s="685"/>
      <c r="L7" s="680" t="s">
        <v>912</v>
      </c>
      <c r="M7" s="681" t="e">
        <f ca="1">F7</f>
        <v>#N/A</v>
      </c>
    </row>
    <row r="8" spans="1:37" ht="18" customHeight="1">
      <c r="A8" s="682"/>
      <c r="B8" s="3631"/>
      <c r="C8" s="684"/>
      <c r="D8" s="685"/>
      <c r="E8" s="680" t="s">
        <v>913</v>
      </c>
      <c r="F8" s="681" t="e">
        <f ca="1">INDIRECT("'数据-取费表'!ai"&amp;$G$1)</f>
        <v>#N/A</v>
      </c>
      <c r="G8" s="2269"/>
      <c r="H8" s="682"/>
      <c r="I8" s="3631"/>
      <c r="J8" s="684"/>
      <c r="K8" s="685"/>
      <c r="L8" s="680" t="s">
        <v>913</v>
      </c>
      <c r="M8" s="681" t="e">
        <f ca="1">INDIRECT("'数据-取费表'!ai"&amp;$G$1)</f>
        <v>#N/A</v>
      </c>
    </row>
    <row r="9" spans="1:37" ht="18" customHeight="1">
      <c r="A9" s="682"/>
      <c r="B9" s="3632"/>
      <c r="C9" s="684"/>
      <c r="D9" s="685"/>
      <c r="E9" s="680" t="s">
        <v>914</v>
      </c>
      <c r="F9" s="690" t="e">
        <f ca="1">INDIRECT("'数据-取费表'!w"&amp;$G$1)</f>
        <v>#N/A</v>
      </c>
      <c r="G9" s="2269"/>
      <c r="H9" s="682"/>
      <c r="I9" s="3632"/>
      <c r="J9" s="684"/>
      <c r="K9" s="685"/>
      <c r="L9" s="691" t="s">
        <v>914</v>
      </c>
      <c r="M9" s="692" t="e">
        <f ca="1">INDIRECT("'数据-取费表'!ab"&amp;$G$1)</f>
        <v>#N/A</v>
      </c>
    </row>
    <row r="10" spans="1:37" ht="18" customHeight="1">
      <c r="A10" s="2603" t="s">
        <v>2534</v>
      </c>
      <c r="B10" s="2604" t="s">
        <v>2522</v>
      </c>
      <c r="C10" s="694" t="e">
        <f ca="1">ROUND(IF(F10="押一",F6*F8*F7/12*F11,IF(F10="押二",F6*F8*F7/12*2*F11,IF(F10="押三",F6*F8*F7/12*3*F11,C11*F11)))/10000,0)</f>
        <v>#N/A</v>
      </c>
      <c r="D10" s="2615" t="s">
        <v>2530</v>
      </c>
      <c r="E10" s="2078" t="s">
        <v>2524</v>
      </c>
      <c r="F10" s="2809" t="s">
        <v>3111</v>
      </c>
      <c r="G10" s="2269"/>
      <c r="H10" s="2603" t="s">
        <v>2537</v>
      </c>
      <c r="I10" s="2604" t="s">
        <v>2522</v>
      </c>
      <c r="J10" s="679" t="e">
        <f ca="1">ROUND(IF(M10="押一",M6*M8*M7/12*M11,IF(M10="押二",M6*M8*M7/12*2*M11,IF(M10="押三",M6*M8*M7/12*3*M11,J11*M11)))/10000,0)</f>
        <v>#N/A</v>
      </c>
      <c r="K10" s="2615" t="s">
        <v>2530</v>
      </c>
      <c r="L10" s="2078" t="s">
        <v>2524</v>
      </c>
      <c r="M10" s="2710" t="s">
        <v>2616</v>
      </c>
    </row>
    <row r="11" spans="1:37" ht="18" customHeight="1">
      <c r="A11" s="686"/>
      <c r="B11" s="2605" t="s">
        <v>2689</v>
      </c>
      <c r="C11" s="2396"/>
      <c r="D11" s="2848"/>
      <c r="E11" s="2078" t="s">
        <v>2525</v>
      </c>
      <c r="F11" s="692">
        <f ca="1">'数据-取费表'!B39</f>
        <v>1.4999999999999999E-2</v>
      </c>
      <c r="G11" s="2269"/>
      <c r="H11" s="2616"/>
      <c r="I11" s="2605" t="s">
        <v>2689</v>
      </c>
      <c r="J11" s="2396"/>
      <c r="K11" s="1271"/>
      <c r="L11" s="2078" t="s">
        <v>2525</v>
      </c>
      <c r="M11" s="2077">
        <f ca="1">'数据-取费表'!B39</f>
        <v>1.4999999999999999E-2</v>
      </c>
    </row>
    <row r="12" spans="1:37" ht="18" customHeight="1" thickBot="1">
      <c r="A12" s="2651" t="s">
        <v>2535</v>
      </c>
      <c r="B12" s="2652" t="s">
        <v>2523</v>
      </c>
      <c r="C12" s="2653"/>
      <c r="D12" s="2654"/>
      <c r="E12" s="2655"/>
      <c r="F12" s="2656"/>
      <c r="G12" s="2269"/>
      <c r="H12" s="2651" t="s">
        <v>2538</v>
      </c>
      <c r="I12" s="2652" t="s">
        <v>2523</v>
      </c>
      <c r="J12" s="2653"/>
      <c r="K12" s="2670"/>
      <c r="L12" s="2655"/>
      <c r="M12" s="2671"/>
    </row>
    <row r="13" spans="1:37" ht="18" customHeight="1" thickTop="1">
      <c r="A13" s="2647">
        <v>2</v>
      </c>
      <c r="B13" s="2648" t="s">
        <v>915</v>
      </c>
      <c r="C13" s="688" t="e">
        <f ca="1">ROUND(C29*F13,0)</f>
        <v>#N/A</v>
      </c>
      <c r="D13" s="2649" t="s">
        <v>916</v>
      </c>
      <c r="E13" s="2649" t="s">
        <v>917</v>
      </c>
      <c r="F13" s="2650" t="e">
        <f ca="1">INDIRECT("'数据-取费表'!y"&amp;$G$1)</f>
        <v>#N/A</v>
      </c>
      <c r="G13" s="2269"/>
      <c r="H13" s="2647">
        <v>2</v>
      </c>
      <c r="I13" s="2648" t="s">
        <v>915</v>
      </c>
      <c r="J13" s="2602" t="e">
        <f ca="1">ROUND(J14*J15,0)</f>
        <v>#N/A</v>
      </c>
      <c r="K13" s="2657" t="s">
        <v>916</v>
      </c>
      <c r="L13" s="2668"/>
      <c r="M13" s="2669"/>
    </row>
    <row r="14" spans="1:37" ht="18" customHeight="1">
      <c r="A14" s="2419" t="s">
        <v>2363</v>
      </c>
      <c r="B14" s="680" t="s">
        <v>356</v>
      </c>
      <c r="C14" s="698" t="e">
        <f ca="1">INDIRECT("'数据-取费表'!m"&amp;$G$1)+INDIRECT("'数据-取费表'!t"&amp;$G$1)</f>
        <v>#N/A</v>
      </c>
      <c r="D14" s="2196" t="s">
        <v>918</v>
      </c>
      <c r="E14" s="2195"/>
      <c r="F14" s="699"/>
      <c r="G14" s="2269"/>
      <c r="H14" s="2419" t="s">
        <v>2366</v>
      </c>
      <c r="I14" s="680" t="s">
        <v>919</v>
      </c>
      <c r="J14" s="311" t="e">
        <f ca="1">C29</f>
        <v>#N/A</v>
      </c>
      <c r="K14" s="301"/>
      <c r="L14" s="696"/>
      <c r="M14" s="697"/>
    </row>
    <row r="15" spans="1:37" s="702" customFormat="1" ht="18" customHeight="1" thickBot="1">
      <c r="A15" s="2419" t="s">
        <v>2599</v>
      </c>
      <c r="B15" s="680" t="s">
        <v>357</v>
      </c>
      <c r="C15" s="311" t="e">
        <f ca="1">ROUND(C14*F15,0)</f>
        <v>#N/A</v>
      </c>
      <c r="D15" s="700" t="s">
        <v>920</v>
      </c>
      <c r="E15" s="700" t="s">
        <v>921</v>
      </c>
      <c r="F15" s="701">
        <f>'数据-取费表'!B33</f>
        <v>0.03</v>
      </c>
      <c r="G15" s="2270"/>
      <c r="H15" s="2659" t="s">
        <v>2373</v>
      </c>
      <c r="I15" s="2660" t="s">
        <v>917</v>
      </c>
      <c r="J15" s="2671" t="e">
        <f ca="1">INDIRECT("'数据-取费表'!ad"&amp;$G$1)</f>
        <v>#N/A</v>
      </c>
      <c r="K15" s="2672"/>
      <c r="L15" s="2673"/>
      <c r="M15" s="2674"/>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19" t="s">
        <v>2600</v>
      </c>
      <c r="B16" s="680" t="s">
        <v>358</v>
      </c>
      <c r="C16" s="311" t="e">
        <f ca="1">ROUND(INDIRECT("'数据-取费表'!m"&amp;$G$1)*F16,0)</f>
        <v>#N/A</v>
      </c>
      <c r="D16" s="680" t="s">
        <v>920</v>
      </c>
      <c r="E16" s="680" t="s">
        <v>921</v>
      </c>
      <c r="F16" s="703" t="e">
        <f ca="1">IF(INDIRECT("'数据-取费表'!c"&amp;$G$1)="住宅",'数据-取费表'!B34,0)</f>
        <v>#N/A</v>
      </c>
      <c r="G16" s="2269"/>
      <c r="H16" s="2647" t="s">
        <v>2331</v>
      </c>
      <c r="I16" s="2648" t="s">
        <v>922</v>
      </c>
      <c r="J16" s="688" t="e">
        <f ca="1">ROUND(J17+J22+J23+J24,0)</f>
        <v>#N/A</v>
      </c>
      <c r="K16" s="2657" t="s">
        <v>923</v>
      </c>
      <c r="L16" s="2658"/>
      <c r="M16" s="2609"/>
    </row>
    <row r="17" spans="1:37" s="702" customFormat="1" ht="18" customHeight="1">
      <c r="A17" s="2419" t="s">
        <v>2601</v>
      </c>
      <c r="B17" s="680" t="s">
        <v>359</v>
      </c>
      <c r="C17" s="311" t="e">
        <f ca="1">ROUND(F17*(F43+INDIRECT("'数据-取费表'!S"&amp;$G$1))/10000,0)</f>
        <v>#N/A</v>
      </c>
      <c r="D17" s="680" t="s">
        <v>924</v>
      </c>
      <c r="E17" s="680" t="s">
        <v>925</v>
      </c>
      <c r="F17" s="313">
        <f>'数据-取费表'!B35</f>
        <v>200</v>
      </c>
      <c r="G17" s="2270"/>
      <c r="H17" s="2419" t="s">
        <v>2366</v>
      </c>
      <c r="I17" s="680" t="s">
        <v>360</v>
      </c>
      <c r="J17" s="311" t="e">
        <f ca="1">ROUND(IF(项目基本情况!B11="自然人",J5*M17,J18+J19+J20),1)</f>
        <v>#N/A</v>
      </c>
      <c r="K17" s="2196" t="s">
        <v>926</v>
      </c>
      <c r="L17" s="2194" t="s">
        <v>927</v>
      </c>
      <c r="M17" s="704"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702" customFormat="1" ht="18" customHeight="1">
      <c r="A18" s="2419" t="s">
        <v>2602</v>
      </c>
      <c r="B18" s="680" t="s">
        <v>361</v>
      </c>
      <c r="C18" s="311" t="e">
        <f ca="1">ROUND(C14*F18,0)</f>
        <v>#N/A</v>
      </c>
      <c r="D18" s="680" t="s">
        <v>920</v>
      </c>
      <c r="E18" s="680" t="s">
        <v>921</v>
      </c>
      <c r="F18" s="703">
        <f>'数据-取费表'!B36</f>
        <v>1.4999999999999999E-2</v>
      </c>
      <c r="G18" s="2270"/>
      <c r="H18" s="2419" t="s">
        <v>2363</v>
      </c>
      <c r="I18" s="680" t="s">
        <v>928</v>
      </c>
      <c r="J18" s="311" t="e">
        <f ca="1">ROUND(J5*M18/(1+'数据-取费表'!C42),2)</f>
        <v>#N/A</v>
      </c>
      <c r="K18" s="2194" t="s">
        <v>929</v>
      </c>
      <c r="L18" s="680" t="s">
        <v>921</v>
      </c>
      <c r="M18" s="703">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19" t="s">
        <v>2533</v>
      </c>
      <c r="B19" s="680" t="s">
        <v>363</v>
      </c>
      <c r="C19" s="311" t="e">
        <f ca="1">SUM(C14:C18)</f>
        <v>#N/A</v>
      </c>
      <c r="D19" s="467" t="s">
        <v>930</v>
      </c>
      <c r="E19" s="2204"/>
      <c r="F19" s="313"/>
      <c r="G19" s="2269"/>
      <c r="H19" s="2419" t="s">
        <v>2599</v>
      </c>
      <c r="I19" s="680" t="s">
        <v>931</v>
      </c>
      <c r="J19" s="311" t="e">
        <f ca="1">IF(K19="按租金收入计税",ROUND(J5*M19,2),ROUND(C29*M19*0.7,2))</f>
        <v>#N/A</v>
      </c>
      <c r="K19" s="1291" t="s">
        <v>2406</v>
      </c>
      <c r="L19" s="680" t="s">
        <v>921</v>
      </c>
      <c r="M19" s="703">
        <f>IF(K19="按租金收入计税",'数据-取费表'!B51,'数据-取费表'!B50)</f>
        <v>1.2E-2</v>
      </c>
    </row>
    <row r="20" spans="1:37" s="702" customFormat="1" ht="18" customHeight="1">
      <c r="A20" s="2419" t="s">
        <v>2603</v>
      </c>
      <c r="B20" s="680" t="s">
        <v>364</v>
      </c>
      <c r="C20" s="311" t="e">
        <f ca="1">ROUND(C19*F20,0)</f>
        <v>#N/A</v>
      </c>
      <c r="D20" s="705" t="s">
        <v>932</v>
      </c>
      <c r="E20" s="680" t="s">
        <v>921</v>
      </c>
      <c r="F20" s="703">
        <f>'数据-取费表'!B37</f>
        <v>0.02</v>
      </c>
      <c r="G20" s="2270"/>
      <c r="H20" s="2419" t="s">
        <v>2600</v>
      </c>
      <c r="I20" s="492" t="s">
        <v>933</v>
      </c>
      <c r="J20" s="312" t="e">
        <f ca="1">ROUND(M20*M21/10000,2)</f>
        <v>#N/A</v>
      </c>
      <c r="K20" s="706" t="s">
        <v>934</v>
      </c>
      <c r="L20" s="680" t="s">
        <v>935</v>
      </c>
      <c r="M20" s="707">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702" customFormat="1" ht="18" customHeight="1">
      <c r="A21" s="2419" t="s">
        <v>2604</v>
      </c>
      <c r="B21" s="680" t="s">
        <v>936</v>
      </c>
      <c r="C21" s="311" t="s">
        <v>71</v>
      </c>
      <c r="D21" s="705" t="s">
        <v>937</v>
      </c>
      <c r="E21" s="680" t="s">
        <v>938</v>
      </c>
      <c r="F21" s="703">
        <f>'数据-取费表'!B38</f>
        <v>0.02</v>
      </c>
      <c r="G21" s="2270"/>
      <c r="H21" s="708"/>
      <c r="I21" s="689"/>
      <c r="J21" s="316"/>
      <c r="K21" s="709"/>
      <c r="L21" s="680" t="s">
        <v>939</v>
      </c>
      <c r="M21" s="681" t="e">
        <f ca="1">INDIRECT("'数据-取费表'!r"&amp;$G$1)</f>
        <v>#N/A</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19" t="s">
        <v>2605</v>
      </c>
      <c r="B22" s="680" t="s">
        <v>940</v>
      </c>
      <c r="C22" s="311"/>
      <c r="D22" s="2682" t="str">
        <f>IF(F23&lt;=1,"单利计息。","复利计息。")&amp;"建造成本、管理费用、销售费用产生的利息。"</f>
        <v>复利计息。建造成本、管理费用、销售费用产生的利息。</v>
      </c>
      <c r="E22" s="2204"/>
      <c r="F22" s="313"/>
      <c r="G22" s="2269"/>
      <c r="H22" s="2419" t="s">
        <v>2373</v>
      </c>
      <c r="I22" s="680" t="s">
        <v>941</v>
      </c>
      <c r="J22" s="311" t="e">
        <f ca="1">ROUND(J14*M22,1)</f>
        <v>#N/A</v>
      </c>
      <c r="K22" s="2194" t="s">
        <v>942</v>
      </c>
      <c r="L22" s="680" t="s">
        <v>921</v>
      </c>
      <c r="M22" s="710" t="e">
        <f ca="1">INDIRECT("'数据-取费表'!Ak"&amp;$G$1)</f>
        <v>#N/A</v>
      </c>
    </row>
    <row r="23" spans="1:37" s="702" customFormat="1" ht="18" customHeight="1">
      <c r="A23" s="2419" t="s">
        <v>2363</v>
      </c>
      <c r="B23" s="680" t="s">
        <v>2519</v>
      </c>
      <c r="C23" s="311" t="e">
        <f ca="1">IF('数据-取费表'!B22&lt;=1,ROUND(C19*F24*F23/2,0)+ROUND(C20*F24*F23/2,0),ROUND(C19*(POWER((1+F24),F23/2)-1),0)+ROUND(C20*(POWER((1+F24),F23/2)-1),0))</f>
        <v>#N/A</v>
      </c>
      <c r="D23" s="2686" t="str">
        <f>IF(F23&lt;=1,"(建造成本+管理费用)×利率×(建设周期÷2)","(建造成本+管理费用)×((1+利率)^(建设周期÷2)-1)")</f>
        <v>(建造成本+管理费用)×((1+利率)^(建设周期÷2)-1)</v>
      </c>
      <c r="E23" s="680" t="s">
        <v>943</v>
      </c>
      <c r="F23" s="707">
        <f>'数据-取费表'!B20</f>
        <v>3</v>
      </c>
      <c r="G23" s="2270"/>
      <c r="H23" s="2419" t="s">
        <v>2604</v>
      </c>
      <c r="I23" s="680" t="s">
        <v>365</v>
      </c>
      <c r="J23" s="311" t="e">
        <f ca="1">ROUND(J13*M23,1)</f>
        <v>#N/A</v>
      </c>
      <c r="K23" s="2194" t="s">
        <v>944</v>
      </c>
      <c r="L23" s="680" t="s">
        <v>921</v>
      </c>
      <c r="M23" s="712" t="e">
        <f ca="1">INDIRECT("'数据-取费表'!Al"&amp;$G$1)</f>
        <v>#N/A</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702" customFormat="1" ht="18" customHeight="1" thickBot="1">
      <c r="A24" s="2419" t="s">
        <v>2369</v>
      </c>
      <c r="B24" s="680" t="s">
        <v>945</v>
      </c>
      <c r="C24" s="311">
        <f ca="1">ROUND(IF('数据-取费表'!B22&lt;=1,F21*F24*F23/2,F21*(POWER((1+F24),F23/2)-1)),4)</f>
        <v>1.4E-3</v>
      </c>
      <c r="D24" s="2686" t="str">
        <f>IF(F23&lt;=1,"销售费用×利率×(建设周期÷2)","销售费用×((1+利率)^(建设周期÷2)-1)")</f>
        <v>销售费用×((1+利率)^(建设周期÷2)-1)</v>
      </c>
      <c r="E24" s="680" t="s">
        <v>946</v>
      </c>
      <c r="F24" s="713">
        <f ca="1">'数据-取费表'!B40</f>
        <v>4.7500000000000001E-2</v>
      </c>
      <c r="G24" s="2270"/>
      <c r="H24" s="2659" t="s">
        <v>2605</v>
      </c>
      <c r="I24" s="2660" t="s">
        <v>364</v>
      </c>
      <c r="J24" s="2661" t="e">
        <f ca="1">ROUND(J5*M24,1)</f>
        <v>#N/A</v>
      </c>
      <c r="K24" s="2662" t="s">
        <v>947</v>
      </c>
      <c r="L24" s="2660" t="s">
        <v>921</v>
      </c>
      <c r="M24" s="2656" t="e">
        <f ca="1">INDIRECT("'数据-取费表'!Am"&amp;$G$1)</f>
        <v>#N/A</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19" t="s">
        <v>2370</v>
      </c>
      <c r="B25" s="680" t="s">
        <v>369</v>
      </c>
      <c r="C25" s="311"/>
      <c r="D25" s="467" t="s">
        <v>948</v>
      </c>
      <c r="E25" s="2204"/>
      <c r="F25" s="313"/>
      <c r="G25" s="2269"/>
      <c r="H25" s="2647" t="s">
        <v>2346</v>
      </c>
      <c r="I25" s="2664" t="s">
        <v>949</v>
      </c>
      <c r="J25" s="688" t="e">
        <f ca="1">J5-J16</f>
        <v>#N/A</v>
      </c>
      <c r="K25" s="2665" t="s">
        <v>950</v>
      </c>
      <c r="L25" s="2666"/>
      <c r="M25" s="2667"/>
    </row>
    <row r="26" spans="1:37" ht="18" customHeight="1">
      <c r="A26" s="2419" t="s">
        <v>2363</v>
      </c>
      <c r="B26" s="680" t="s">
        <v>2520</v>
      </c>
      <c r="C26" s="311" t="e">
        <f ca="1">ROUND((C19+C20)*F26,0)</f>
        <v>#N/A</v>
      </c>
      <c r="D26" s="705" t="s">
        <v>951</v>
      </c>
      <c r="E26" s="691" t="s">
        <v>952</v>
      </c>
      <c r="F26" s="690" t="e">
        <f ca="1">INDIRECT("'数据-取费表'!q"&amp;$G$1)</f>
        <v>#N/A</v>
      </c>
      <c r="G26" s="2269"/>
      <c r="H26" s="677" t="s">
        <v>2349</v>
      </c>
      <c r="I26" s="678" t="s">
        <v>953</v>
      </c>
      <c r="J26" s="679" t="e">
        <f ca="1">IF(J5&lt;&gt;0,ROUND(J25*(1-((1+M28)/(1+M26))^M27)/(M26-M28),0),0)</f>
        <v>#N/A</v>
      </c>
      <c r="K26" s="706" t="s">
        <v>954</v>
      </c>
      <c r="L26" s="680" t="s">
        <v>960</v>
      </c>
      <c r="M26" s="690" t="e">
        <f ca="1">INDIRECT("'数据-取费表'!I"&amp;$G$1)</f>
        <v>#N/A</v>
      </c>
    </row>
    <row r="27" spans="1:37" ht="18" customHeight="1">
      <c r="A27" s="2419" t="s">
        <v>2369</v>
      </c>
      <c r="B27" s="680" t="s">
        <v>372</v>
      </c>
      <c r="C27" s="311" t="e">
        <f ca="1">ROUND(F21*F26,4)</f>
        <v>#N/A</v>
      </c>
      <c r="D27" s="705" t="s">
        <v>955</v>
      </c>
      <c r="E27" s="700"/>
      <c r="F27" s="701"/>
      <c r="G27" s="2269"/>
      <c r="H27" s="682"/>
      <c r="I27" s="683"/>
      <c r="J27" s="684"/>
      <c r="K27" s="714" t="s">
        <v>956</v>
      </c>
      <c r="L27" s="680" t="s">
        <v>961</v>
      </c>
      <c r="M27" s="715" t="e">
        <f ca="1">INDIRECT("'数据-取费表'!ag"&amp;$G$1)</f>
        <v>#N/A</v>
      </c>
    </row>
    <row r="28" spans="1:37" s="702" customFormat="1" ht="18" customHeight="1">
      <c r="A28" s="2419" t="s">
        <v>2371</v>
      </c>
      <c r="B28" s="680" t="s">
        <v>373</v>
      </c>
      <c r="C28" s="311">
        <f>ROUND(F28/(1+'数据-取费表'!C42),4)</f>
        <v>5.2400000000000002E-2</v>
      </c>
      <c r="D28" s="705" t="s">
        <v>962</v>
      </c>
      <c r="E28" s="680" t="s">
        <v>921</v>
      </c>
      <c r="F28" s="703">
        <f>'数据-取费表'!B41</f>
        <v>5.5000000000000007E-2</v>
      </c>
      <c r="G28" s="2270"/>
      <c r="H28" s="686"/>
      <c r="I28" s="687"/>
      <c r="J28" s="688"/>
      <c r="K28" s="709"/>
      <c r="L28" s="680" t="s">
        <v>963</v>
      </c>
      <c r="M28" s="690" t="e">
        <f ca="1">INDIRECT("'数据-取费表'!aa"&amp;$G$1)</f>
        <v>#N/A</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702" customFormat="1" ht="18" customHeight="1" thickBot="1">
      <c r="A29" s="2659" t="s">
        <v>2372</v>
      </c>
      <c r="B29" s="2660" t="s">
        <v>964</v>
      </c>
      <c r="C29" s="2661" t="e">
        <f ca="1">ROUND((C19+C20+C23+C26)/(1-F21-C24-C27-C28),0)</f>
        <v>#N/A</v>
      </c>
      <c r="D29" s="2662"/>
      <c r="E29" s="2660"/>
      <c r="F29" s="2663"/>
      <c r="G29" s="2270"/>
      <c r="H29" s="716" t="s">
        <v>2356</v>
      </c>
      <c r="I29" s="717" t="s">
        <v>957</v>
      </c>
      <c r="J29" s="718" t="e">
        <f ca="1">ROUND(J26/(1+F40)^F41,0)</f>
        <v>#N/A</v>
      </c>
      <c r="K29" s="719" t="s">
        <v>958</v>
      </c>
      <c r="L29" s="720"/>
      <c r="M29" s="721" t="e">
        <f ca="1">INDIRECT("'数据-取费表'!k"&amp;$G$1)</f>
        <v>#N/A</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47" t="s">
        <v>2331</v>
      </c>
      <c r="B30" s="2648" t="s">
        <v>922</v>
      </c>
      <c r="C30" s="688" t="e">
        <f ca="1">ROUND(C31+C36+C37+C38,0)</f>
        <v>#N/A</v>
      </c>
      <c r="D30" s="2657" t="s">
        <v>923</v>
      </c>
      <c r="E30" s="2658"/>
      <c r="F30" s="2609"/>
      <c r="G30" s="2269"/>
      <c r="H30" s="1268"/>
      <c r="I30" s="1269"/>
      <c r="J30" s="1270"/>
      <c r="K30" s="1271"/>
      <c r="L30" s="1272"/>
      <c r="M30" s="1273"/>
    </row>
    <row r="31" spans="1:37" ht="18" customHeight="1">
      <c r="A31" s="2419" t="s">
        <v>2533</v>
      </c>
      <c r="B31" s="680" t="s">
        <v>360</v>
      </c>
      <c r="C31" s="311" t="e">
        <f ca="1">ROUND(IF(项目基本情况!B11="自然人",C5*F31,C32+C33+C34),1)</f>
        <v>#N/A</v>
      </c>
      <c r="D31" s="2196" t="s">
        <v>926</v>
      </c>
      <c r="E31" s="2194" t="s">
        <v>965</v>
      </c>
      <c r="F31" s="704" t="str">
        <f ca="1">IF(项目基本情况!B11="企业","",IF(INDIRECT("'数据-取费表'!c"&amp;$G$1)="住宅",5%,IF(F6*F7*F8/12/(1+'数据-取费表'!C42)&gt;20000,12%,7%)))</f>
        <v/>
      </c>
      <c r="G31" s="2269"/>
      <c r="H31" s="1268"/>
      <c r="I31" s="1269"/>
      <c r="J31" s="1270"/>
      <c r="K31" s="1271"/>
      <c r="L31" s="1272"/>
      <c r="M31" s="1273"/>
    </row>
    <row r="32" spans="1:37" ht="18" customHeight="1">
      <c r="A32" s="2419" t="s">
        <v>2598</v>
      </c>
      <c r="B32" s="680" t="s">
        <v>928</v>
      </c>
      <c r="C32" s="311" t="e">
        <f ca="1">IF(项目基本情况!B11="自然人","——",ROUND(C5*F32/(1+'数据-取费表'!C42),2))</f>
        <v>#N/A</v>
      </c>
      <c r="D32" s="2194" t="s">
        <v>929</v>
      </c>
      <c r="E32" s="680" t="s">
        <v>921</v>
      </c>
      <c r="F32" s="713">
        <f>'数据-取费表'!B41</f>
        <v>5.5000000000000007E-2</v>
      </c>
      <c r="G32" s="2269"/>
      <c r="H32" s="1274"/>
      <c r="I32" s="1275"/>
      <c r="J32" s="1276"/>
      <c r="K32" s="1277"/>
      <c r="L32" s="1278"/>
      <c r="M32" s="1279"/>
    </row>
    <row r="33" spans="1:18" ht="18" customHeight="1">
      <c r="A33" s="2419" t="s">
        <v>2599</v>
      </c>
      <c r="B33" s="680" t="s">
        <v>931</v>
      </c>
      <c r="C33" s="311" t="e">
        <f ca="1">IF(项目基本情况!B11="自然人","——",IF(D33="按租金收入计税",ROUND(C5*F33,2),IF(D33="按房产原值计税",ROUND(C29*F33*0.7,2),INDIRECT("'数据-取费表'!Aj"&amp;$G$1))))</f>
        <v>#N/A</v>
      </c>
      <c r="D33" s="1291" t="s">
        <v>2406</v>
      </c>
      <c r="E33" s="680" t="s">
        <v>362</v>
      </c>
      <c r="F33" s="703">
        <f>IF(D33="按票据","——",IF(D33="按租金收入计税",'数据-取费表'!B51,'数据-取费表'!B50))</f>
        <v>1.2E-2</v>
      </c>
      <c r="G33" s="2269"/>
      <c r="H33" s="1280"/>
      <c r="I33" s="2862"/>
      <c r="J33" s="2863"/>
      <c r="K33" s="1281"/>
      <c r="L33" s="1280"/>
      <c r="M33" s="1280"/>
    </row>
    <row r="34" spans="1:18" ht="18" customHeight="1">
      <c r="A34" s="2603" t="s">
        <v>2600</v>
      </c>
      <c r="B34" s="492" t="s">
        <v>966</v>
      </c>
      <c r="C34" s="312" t="e">
        <f ca="1">IF(项目基本情况!B11="自然人","——",ROUND(F34*F35/10000,2))</f>
        <v>#N/A</v>
      </c>
      <c r="D34" s="706" t="s">
        <v>967</v>
      </c>
      <c r="E34" s="680" t="s">
        <v>968</v>
      </c>
      <c r="F34" s="707">
        <f>'数据-取费表'!B52</f>
        <v>1.5</v>
      </c>
      <c r="G34" s="2269"/>
      <c r="H34" s="1268"/>
      <c r="I34" s="2862"/>
      <c r="J34" s="2863"/>
      <c r="K34" s="1282"/>
      <c r="L34" s="1283"/>
      <c r="M34" s="1283"/>
    </row>
    <row r="35" spans="1:18" ht="18" customHeight="1">
      <c r="A35" s="2677"/>
      <c r="B35" s="2675"/>
      <c r="C35" s="316"/>
      <c r="D35" s="709"/>
      <c r="E35" s="680" t="s">
        <v>939</v>
      </c>
      <c r="F35" s="681" t="e">
        <f ca="1">INDIRECT("'数据-取费表'!r"&amp;$G$1)</f>
        <v>#N/A</v>
      </c>
      <c r="G35" s="2269"/>
      <c r="H35" s="1268"/>
      <c r="I35" s="2862"/>
      <c r="J35" s="2863"/>
      <c r="K35" s="1281"/>
      <c r="L35" s="1280"/>
      <c r="M35" s="1280"/>
    </row>
    <row r="36" spans="1:18" ht="18" customHeight="1">
      <c r="A36" s="2676" t="s">
        <v>2373</v>
      </c>
      <c r="B36" s="680" t="s">
        <v>941</v>
      </c>
      <c r="C36" s="311" t="e">
        <f ca="1">ROUND(C29*F36,1)</f>
        <v>#N/A</v>
      </c>
      <c r="D36" s="2194" t="s">
        <v>971</v>
      </c>
      <c r="E36" s="680" t="s">
        <v>972</v>
      </c>
      <c r="F36" s="710" t="e">
        <f ca="1">INDIRECT("'数据-取费表'!Ak"&amp;$G$1)</f>
        <v>#N/A</v>
      </c>
      <c r="G36" s="2269"/>
      <c r="H36" s="1280"/>
      <c r="I36" s="2862"/>
      <c r="J36" s="2863"/>
      <c r="K36" s="1284"/>
      <c r="L36" s="1280"/>
      <c r="M36" s="1280"/>
    </row>
    <row r="37" spans="1:18" ht="18" customHeight="1">
      <c r="A37" s="2419" t="s">
        <v>2604</v>
      </c>
      <c r="B37" s="680" t="s">
        <v>365</v>
      </c>
      <c r="C37" s="311" t="e">
        <f ca="1">ROUND(C13*F37,1)</f>
        <v>#N/A</v>
      </c>
      <c r="D37" s="2194" t="s">
        <v>366</v>
      </c>
      <c r="E37" s="680" t="s">
        <v>367</v>
      </c>
      <c r="F37" s="712" t="e">
        <f ca="1">INDIRECT("'数据-取费表'!Al"&amp;$G$1)</f>
        <v>#N/A</v>
      </c>
      <c r="G37" s="2269"/>
      <c r="H37" s="1280"/>
      <c r="I37" s="2862"/>
      <c r="J37" s="2863"/>
      <c r="K37" s="1284"/>
      <c r="L37" s="1280"/>
      <c r="M37" s="1280"/>
    </row>
    <row r="38" spans="1:18" ht="18" customHeight="1" thickBot="1">
      <c r="A38" s="2659" t="s">
        <v>2605</v>
      </c>
      <c r="B38" s="2660" t="s">
        <v>364</v>
      </c>
      <c r="C38" s="2661" t="e">
        <f ca="1">ROUND(C5*F38,1)</f>
        <v>#N/A</v>
      </c>
      <c r="D38" s="2662" t="s">
        <v>368</v>
      </c>
      <c r="E38" s="2660" t="s">
        <v>367</v>
      </c>
      <c r="F38" s="2656" t="e">
        <f ca="1">INDIRECT("'数据-取费表'!Am"&amp;$G$1)</f>
        <v>#N/A</v>
      </c>
      <c r="G38" s="2269"/>
      <c r="H38" s="1280"/>
      <c r="I38" s="2862"/>
      <c r="J38" s="2863"/>
      <c r="K38" s="1285"/>
      <c r="L38" s="1280"/>
      <c r="M38" s="1280"/>
    </row>
    <row r="39" spans="1:18" ht="24.6" customHeight="1" thickTop="1">
      <c r="A39" s="2647" t="s">
        <v>2346</v>
      </c>
      <c r="B39" s="2664" t="s">
        <v>374</v>
      </c>
      <c r="C39" s="688" t="e">
        <f ca="1">C5-C30</f>
        <v>#N/A</v>
      </c>
      <c r="D39" s="2665" t="s">
        <v>375</v>
      </c>
      <c r="E39" s="2666"/>
      <c r="F39" s="2667"/>
      <c r="G39" s="2269"/>
      <c r="H39" s="1280"/>
      <c r="I39" s="2862"/>
      <c r="J39" s="2863"/>
      <c r="K39" s="1285"/>
      <c r="L39" s="1280"/>
      <c r="M39" s="1280"/>
    </row>
    <row r="40" spans="1:18" ht="18" customHeight="1">
      <c r="A40" s="677" t="s">
        <v>2349</v>
      </c>
      <c r="B40" s="678" t="s">
        <v>376</v>
      </c>
      <c r="C40" s="679" t="e">
        <f ca="1">ROUND(C39*(1-((1+F42)/(1+F40))^F41)/(F40-F42),0)</f>
        <v>#N/A</v>
      </c>
      <c r="D40" s="706" t="s">
        <v>370</v>
      </c>
      <c r="E40" s="680" t="s">
        <v>371</v>
      </c>
      <c r="F40" s="690" t="e">
        <f ca="1">INDIRECT("'数据-取费表'!I"&amp;$G$1)</f>
        <v>#N/A</v>
      </c>
      <c r="G40" s="2269"/>
      <c r="H40" s="1286"/>
      <c r="I40" s="2862"/>
      <c r="J40" s="2863"/>
      <c r="K40" s="1285"/>
      <c r="L40" s="1286"/>
      <c r="M40" s="1286"/>
    </row>
    <row r="41" spans="1:18" ht="18" customHeight="1">
      <c r="A41" s="682"/>
      <c r="B41" s="683"/>
      <c r="C41" s="684"/>
      <c r="D41" s="714" t="s">
        <v>377</v>
      </c>
      <c r="E41" s="680" t="s">
        <v>378</v>
      </c>
      <c r="F41" s="715" t="e">
        <f ca="1">IF(INDIRECT("'数据-取费表'!af"&amp;$G$1)=0,INDIRECT("'数据-取费表'!ae"&amp;$G$1),INDIRECT("'数据-取费表'!af"&amp;$G$1))</f>
        <v>#N/A</v>
      </c>
      <c r="G41" s="2269"/>
      <c r="H41" s="1182"/>
      <c r="I41" s="2862"/>
      <c r="J41" s="2863"/>
      <c r="K41" s="1284"/>
      <c r="L41" s="1182"/>
      <c r="M41" s="1182"/>
    </row>
    <row r="42" spans="1:18" ht="18" customHeight="1">
      <c r="A42" s="686"/>
      <c r="B42" s="687"/>
      <c r="C42" s="688"/>
      <c r="D42" s="709"/>
      <c r="E42" s="680" t="s">
        <v>379</v>
      </c>
      <c r="F42" s="690" t="e">
        <f ca="1">INDIRECT("'数据-取费表'!v"&amp;$G$1)</f>
        <v>#N/A</v>
      </c>
      <c r="G42" s="2269"/>
      <c r="H42" s="1182"/>
      <c r="I42" s="2862"/>
      <c r="J42" s="2863"/>
      <c r="K42" s="1284"/>
      <c r="L42" s="1182"/>
      <c r="M42" s="1182"/>
    </row>
    <row r="43" spans="1:18" ht="18" customHeight="1" thickBot="1">
      <c r="A43" s="716" t="s">
        <v>2356</v>
      </c>
      <c r="B43" s="717" t="s">
        <v>380</v>
      </c>
      <c r="C43" s="718" t="e">
        <f ca="1">ROUND(C40*10000/F43,0)</f>
        <v>#N/A</v>
      </c>
      <c r="D43" s="719" t="s">
        <v>381</v>
      </c>
      <c r="E43" s="720" t="s">
        <v>382</v>
      </c>
      <c r="F43" s="721" t="e">
        <f ca="1">INDIRECT("'数据-取费表'!k"&amp;$G$1)</f>
        <v>#N/A</v>
      </c>
      <c r="G43" s="2269"/>
      <c r="H43" s="1182"/>
      <c r="I43" s="1182"/>
      <c r="J43" s="1182"/>
      <c r="K43" s="1284"/>
      <c r="L43" s="1182"/>
      <c r="M43" s="1182"/>
    </row>
    <row r="44" spans="1:18" s="1444" customFormat="1" ht="18" customHeight="1">
      <c r="A44" s="1422"/>
      <c r="B44" s="1422"/>
      <c r="C44" s="1443"/>
      <c r="D44" s="1422"/>
      <c r="E44" s="1422"/>
      <c r="F44" s="1422"/>
      <c r="K44" s="1445"/>
    </row>
    <row r="45" spans="1:18" s="1444" customFormat="1" ht="18" customHeight="1" thickBot="1">
      <c r="A45" s="1422"/>
      <c r="B45" s="1422"/>
      <c r="C45" s="1443"/>
      <c r="D45" s="1422"/>
      <c r="E45" s="1422"/>
      <c r="F45" s="1422"/>
      <c r="O45" s="2572" t="s">
        <v>2479</v>
      </c>
      <c r="P45" s="1286"/>
      <c r="Q45" s="1286"/>
      <c r="R45" s="1286"/>
    </row>
    <row r="46" spans="1:18" s="1444" customFormat="1" ht="21" thickBot="1">
      <c r="A46" s="2377" t="s">
        <v>2318</v>
      </c>
      <c r="B46" s="2378"/>
      <c r="C46" s="2706" t="e">
        <f ca="1">C68-C40</f>
        <v>#N/A</v>
      </c>
      <c r="D46" s="2707" t="str">
        <f>C2</f>
        <v>万元</v>
      </c>
      <c r="E46" s="1422"/>
      <c r="F46" s="1422"/>
      <c r="I46" s="2559" t="s">
        <v>2414</v>
      </c>
      <c r="J46" s="2560"/>
      <c r="K46" s="2561"/>
      <c r="L46" s="2563" t="e">
        <f ca="1">IF(M47="住宅",0,IF(L48&gt;J51,L60,J60))</f>
        <v>#N/A</v>
      </c>
      <c r="O46" s="2575" t="s">
        <v>2457</v>
      </c>
      <c r="P46" s="2576" t="s">
        <v>2458</v>
      </c>
      <c r="Q46" s="2577" t="s">
        <v>2456</v>
      </c>
      <c r="R46" s="2577" t="s">
        <v>2459</v>
      </c>
    </row>
    <row r="47" spans="1:18" s="1444" customFormat="1" ht="15.75" thickBot="1">
      <c r="A47" s="2379" t="s">
        <v>2320</v>
      </c>
      <c r="B47" s="2415" t="s">
        <v>2321</v>
      </c>
      <c r="C47" s="2711" t="s">
        <v>2322</v>
      </c>
      <c r="D47" s="2415" t="s">
        <v>2323</v>
      </c>
      <c r="E47" s="2518" t="s">
        <v>2324</v>
      </c>
      <c r="F47" s="2519"/>
      <c r="G47" s="1446"/>
      <c r="I47" s="2534" t="s">
        <v>2407</v>
      </c>
      <c r="J47" s="2535" t="s">
        <v>3110</v>
      </c>
      <c r="K47" s="2544" t="s">
        <v>2430</v>
      </c>
      <c r="L47" s="2545" t="e">
        <f ca="1">INDIRECT("'数据-取费表'!d"&amp;$G$1)</f>
        <v>#N/A</v>
      </c>
      <c r="M47" s="2565" t="str">
        <f>IF(ISNUMBER(FIND("住宅",C1)),"住宅","非住宅")</f>
        <v>非住宅</v>
      </c>
      <c r="O47" s="2568" t="s">
        <v>2442</v>
      </c>
      <c r="P47" s="2578" t="s">
        <v>2460</v>
      </c>
      <c r="Q47" s="2569" t="e">
        <f ca="1">C40+J29</f>
        <v>#N/A</v>
      </c>
      <c r="R47" s="2569" t="s">
        <v>2461</v>
      </c>
    </row>
    <row r="48" spans="1:18" s="1444" customFormat="1" ht="47.25" thickBot="1">
      <c r="A48" s="2692" t="s">
        <v>2610</v>
      </c>
      <c r="B48" s="678" t="s">
        <v>2325</v>
      </c>
      <c r="C48" s="2702" t="e">
        <f ca="1">C49+C53+C55</f>
        <v>#N/A</v>
      </c>
      <c r="D48" s="2696"/>
      <c r="E48" s="2697"/>
      <c r="F48" s="2399"/>
      <c r="G48" s="1446"/>
      <c r="H48" s="1447"/>
      <c r="I48" s="2525" t="s">
        <v>2408</v>
      </c>
      <c r="J48" s="2536" t="s">
        <v>2409</v>
      </c>
      <c r="K48" s="2546" t="s">
        <v>2431</v>
      </c>
      <c r="L48" s="2149" t="e">
        <f ca="1">INDIRECT("'数据-取费表'!f"&amp;$G$1)</f>
        <v>#N/A</v>
      </c>
      <c r="O48" s="2568" t="s">
        <v>2443</v>
      </c>
      <c r="P48" s="2578" t="s">
        <v>2462</v>
      </c>
      <c r="Q48" s="2569" t="e">
        <f ca="1">J60</f>
        <v>#N/A</v>
      </c>
      <c r="R48" s="2569" t="s">
        <v>2470</v>
      </c>
    </row>
    <row r="49" spans="1:18" s="1444" customFormat="1" ht="15.75" thickBot="1">
      <c r="A49" s="2412" t="s">
        <v>2611</v>
      </c>
      <c r="B49" s="2695" t="s">
        <v>2613</v>
      </c>
      <c r="C49" s="2704" t="e">
        <f ca="1">ROUND(F49*F51*F50*(1-F52)/10000,0)</f>
        <v>#N/A</v>
      </c>
      <c r="D49" s="2514" t="s">
        <v>2326</v>
      </c>
      <c r="E49" s="2517" t="s">
        <v>2319</v>
      </c>
      <c r="F49" s="2520"/>
      <c r="G49" s="1448"/>
      <c r="H49" s="1447"/>
      <c r="I49" s="2525" t="s">
        <v>2428</v>
      </c>
      <c r="J49" s="2537"/>
      <c r="K49" s="2547" t="s">
        <v>2433</v>
      </c>
      <c r="L49" s="2548"/>
      <c r="O49" s="2570" t="s">
        <v>2444</v>
      </c>
      <c r="P49" s="2578" t="s">
        <v>2463</v>
      </c>
      <c r="Q49" s="2569" t="e">
        <f ca="1">C29</f>
        <v>#N/A</v>
      </c>
      <c r="R49" s="2569" t="s">
        <v>2461</v>
      </c>
    </row>
    <row r="50" spans="1:18" s="1444" customFormat="1" ht="15.75" thickBot="1">
      <c r="A50" s="2413"/>
      <c r="B50" s="2416"/>
      <c r="C50" s="2712"/>
      <c r="D50" s="2386"/>
      <c r="E50" s="2515" t="s">
        <v>2327</v>
      </c>
      <c r="F50" s="2516" t="e">
        <f ca="1">F7</f>
        <v>#N/A</v>
      </c>
      <c r="H50" s="1447"/>
      <c r="I50" s="2525" t="s">
        <v>2410</v>
      </c>
      <c r="J50" s="2538">
        <f>SUMPRODUCT((I63:I65=J47)*(J62:L62=J48)*(J63:L65))</f>
        <v>60</v>
      </c>
      <c r="K50" s="2547" t="s">
        <v>2434</v>
      </c>
      <c r="L50" s="2548"/>
      <c r="M50" s="2542"/>
      <c r="O50" s="2570" t="s">
        <v>2445</v>
      </c>
      <c r="P50" s="2578" t="s">
        <v>2471</v>
      </c>
      <c r="Q50" s="2571" t="e">
        <f ca="1">J58</f>
        <v>#N/A</v>
      </c>
      <c r="R50" s="2569"/>
    </row>
    <row r="51" spans="1:18" s="1444" customFormat="1" ht="15.75" thickBot="1">
      <c r="A51" s="2414"/>
      <c r="B51" s="2416"/>
      <c r="C51" s="2417"/>
      <c r="D51" s="2386"/>
      <c r="E51" s="2418" t="s">
        <v>2328</v>
      </c>
      <c r="F51" s="681" t="e">
        <f ca="1">F8</f>
        <v>#N/A</v>
      </c>
      <c r="I51" s="2539" t="s">
        <v>2415</v>
      </c>
      <c r="J51" s="2540">
        <f>IF(J49="",J50,J49+J50-YEAR('数据-取费表'!B2))</f>
        <v>60</v>
      </c>
      <c r="K51" s="2549" t="s">
        <v>2435</v>
      </c>
      <c r="L51" s="2562" t="e">
        <f ca="1">ROUND(-PV(INDIRECT("'数据-取费表'!h"&amp;$G$1),L48,(C39-C13*C76),0),0)</f>
        <v>#N/A</v>
      </c>
      <c r="M51" s="2543"/>
      <c r="O51" s="2570" t="s">
        <v>2446</v>
      </c>
      <c r="P51" s="2578" t="s">
        <v>2472</v>
      </c>
      <c r="Q51" s="2571">
        <f>J52</f>
        <v>0</v>
      </c>
      <c r="R51" s="2569"/>
    </row>
    <row r="52" spans="1:18" s="1444" customFormat="1" ht="15.75" thickBot="1">
      <c r="A52" s="2414"/>
      <c r="B52" s="2416"/>
      <c r="C52" s="2417"/>
      <c r="D52" s="2386"/>
      <c r="E52" s="2418" t="s">
        <v>2329</v>
      </c>
      <c r="F52" s="2513"/>
      <c r="I52" s="2541" t="s">
        <v>2438</v>
      </c>
      <c r="J52" s="2555"/>
      <c r="K52" s="2541" t="s">
        <v>2423</v>
      </c>
      <c r="L52" s="2555"/>
      <c r="M52" s="2378"/>
      <c r="O52" s="2570" t="s">
        <v>2447</v>
      </c>
      <c r="P52" s="2578" t="s">
        <v>2464</v>
      </c>
      <c r="Q52" s="2569" t="e">
        <f ca="1">J53</f>
        <v>#N/A</v>
      </c>
      <c r="R52" s="2569" t="s">
        <v>2465</v>
      </c>
    </row>
    <row r="53" spans="1:18" s="1444" customFormat="1" ht="43.5" thickBot="1">
      <c r="A53" s="2807" t="s">
        <v>2612</v>
      </c>
      <c r="B53" s="429" t="s">
        <v>2522</v>
      </c>
      <c r="C53" s="694">
        <f ca="1">ROUND(IF(F53="押一",F49*F51*F50/12*F11,IF(F53="押二",F49*F51*F50/12*2*F11,IF(F53="押三",F49*F51*F50/12*3*F11,C54*F11)))/10000,0)</f>
        <v>0</v>
      </c>
      <c r="D53" s="2615" t="s">
        <v>2530</v>
      </c>
      <c r="E53" s="2078" t="s">
        <v>2524</v>
      </c>
      <c r="F53" s="2809"/>
      <c r="I53" s="2551" t="s">
        <v>2440</v>
      </c>
      <c r="J53" s="2552" t="e">
        <f ca="1">IF(M47="住宅",J51,MIN(J51,L48))</f>
        <v>#N/A</v>
      </c>
      <c r="K53" s="36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34"/>
      <c r="O53" s="2568" t="s">
        <v>2448</v>
      </c>
      <c r="P53" s="2578" t="s">
        <v>2466</v>
      </c>
      <c r="Q53" s="2569" t="e">
        <f ca="1">Q47+Q48</f>
        <v>#N/A</v>
      </c>
      <c r="R53" s="2569" t="s">
        <v>2449</v>
      </c>
    </row>
    <row r="54" spans="1:18" s="1444" customFormat="1" ht="16.5" thickBot="1">
      <c r="A54" s="2808"/>
      <c r="B54" s="2605" t="s">
        <v>2689</v>
      </c>
      <c r="C54" s="2396"/>
      <c r="D54" s="2615"/>
      <c r="E54" s="2759"/>
      <c r="F54" s="2521"/>
      <c r="I54" s="2393"/>
      <c r="J54" s="2550"/>
      <c r="K54" s="2550"/>
      <c r="L54" s="2550"/>
      <c r="M54" s="1448"/>
      <c r="O54" s="2572" t="s">
        <v>2473</v>
      </c>
      <c r="P54" s="1286"/>
      <c r="Q54" s="1286"/>
      <c r="R54" s="1286"/>
    </row>
    <row r="55" spans="1:18" s="1444" customFormat="1" ht="15.75" thickBot="1">
      <c r="A55" s="2651" t="s">
        <v>2535</v>
      </c>
      <c r="B55" s="2652" t="s">
        <v>2523</v>
      </c>
      <c r="C55" s="2653"/>
      <c r="D55" s="2615"/>
      <c r="E55" s="2691"/>
      <c r="F55" s="2521"/>
      <c r="I55" s="3296" t="s">
        <v>2416</v>
      </c>
      <c r="J55" s="3295" t="e">
        <f ca="1">ROUND(IF(J47="钢混",J57/J50,1-(1-2%)*(J50-J57)/J50),3)</f>
        <v>#N/A</v>
      </c>
      <c r="K55" s="2532" t="s">
        <v>2417</v>
      </c>
      <c r="L55" s="2554"/>
      <c r="O55" s="2575" t="s">
        <v>2457</v>
      </c>
      <c r="P55" s="2576" t="s">
        <v>2458</v>
      </c>
      <c r="Q55" s="2577" t="s">
        <v>2456</v>
      </c>
      <c r="R55" s="2577" t="s">
        <v>2459</v>
      </c>
    </row>
    <row r="56" spans="1:18" s="1444" customFormat="1" ht="44.25" thickTop="1" thickBot="1">
      <c r="A56" s="2390">
        <v>2</v>
      </c>
      <c r="B56" s="2391" t="s">
        <v>2330</v>
      </c>
      <c r="C56" s="604" t="e">
        <f ca="1">C13</f>
        <v>#N/A</v>
      </c>
      <c r="D56" s="2679"/>
      <c r="E56" s="2392"/>
      <c r="F56" s="2521"/>
      <c r="I56" s="2524" t="s">
        <v>2418</v>
      </c>
      <c r="J56" s="2553" t="s">
        <v>3043</v>
      </c>
      <c r="K56" s="2525" t="s">
        <v>2422</v>
      </c>
      <c r="L56" s="2149" t="e">
        <f ca="1">IF(L48&lt;J51,"——",L48-J51)</f>
        <v>#N/A</v>
      </c>
      <c r="O56" s="2568" t="s">
        <v>2442</v>
      </c>
      <c r="P56" s="2578" t="s">
        <v>2460</v>
      </c>
      <c r="Q56" s="2569" t="e">
        <f ca="1">C40+J29</f>
        <v>#N/A</v>
      </c>
      <c r="R56" s="2569" t="s">
        <v>2461</v>
      </c>
    </row>
    <row r="57" spans="1:18" s="1444" customFormat="1" ht="29.25" thickBot="1">
      <c r="A57" s="2522"/>
      <c r="B57" s="2383" t="s">
        <v>2360</v>
      </c>
      <c r="C57" s="610" t="e">
        <f ca="1">C29</f>
        <v>#N/A</v>
      </c>
      <c r="D57" s="2394"/>
      <c r="E57" s="2395"/>
      <c r="F57" s="2523"/>
      <c r="I57" s="2526" t="s">
        <v>2439</v>
      </c>
      <c r="J57" s="2530" t="e">
        <f ca="1">IF(OR(M47="住宅",J51&lt;L48,J56="是"),"——",J51-L48)</f>
        <v>#N/A</v>
      </c>
      <c r="K57" s="2525" t="s">
        <v>2892</v>
      </c>
      <c r="L57" s="2149" t="e">
        <f ca="1">IF(L48&lt;J51,"——",IF(L55="比较法",L49,IF(L55="基准地价",L50,L51)))</f>
        <v>#N/A</v>
      </c>
      <c r="O57" s="2568" t="s">
        <v>2443</v>
      </c>
      <c r="P57" s="2578" t="s">
        <v>2467</v>
      </c>
      <c r="Q57" s="2569" t="e">
        <f ca="1">L60</f>
        <v>#N/A</v>
      </c>
      <c r="R57" s="2569" t="s">
        <v>2482</v>
      </c>
    </row>
    <row r="58" spans="1:18" s="1444" customFormat="1" ht="29.25" thickBot="1">
      <c r="A58" s="693" t="s">
        <v>2331</v>
      </c>
      <c r="B58" s="2391" t="s">
        <v>2361</v>
      </c>
      <c r="C58" s="694" t="e">
        <f ca="1">ROUND(C59+C64+C65+C66,0)</f>
        <v>#N/A</v>
      </c>
      <c r="D58" s="2397" t="s">
        <v>2362</v>
      </c>
      <c r="E58" s="2398"/>
      <c r="F58" s="2399"/>
      <c r="I58" s="2526" t="s">
        <v>2419</v>
      </c>
      <c r="J58" s="3297" t="e">
        <f ca="1">IF(J55&lt;0.4,0.4,J55)</f>
        <v>#N/A</v>
      </c>
      <c r="K58" s="2549" t="s">
        <v>2893</v>
      </c>
      <c r="L58" s="2149">
        <f ca="1">IF(ISERROR(POWER(1+L52,L47-L48)*(POWER(1+L52,L48)-1)/(POWER(1+L52,L47)-1)),0,POWER(1+L52,L47-L48)*(POWER(1+L52,L48)-1)/(POWER(1+L52,L47)-1))</f>
        <v>0</v>
      </c>
      <c r="O58" s="2570" t="s">
        <v>2444</v>
      </c>
      <c r="P58" s="2578" t="s">
        <v>2474</v>
      </c>
      <c r="Q58" s="2569">
        <f>IF(L55="比较法",L49,IF(L55="基准地价",L50,0))</f>
        <v>0</v>
      </c>
      <c r="R58" s="2569" t="s">
        <v>2461</v>
      </c>
    </row>
    <row r="59" spans="1:18" s="1444" customFormat="1" ht="29.25" thickBot="1">
      <c r="A59" s="2419" t="s">
        <v>2366</v>
      </c>
      <c r="B59" s="2383" t="s">
        <v>360</v>
      </c>
      <c r="C59" s="311" t="e">
        <f ca="1">ROUND(IF(项目基本情况!B11="自然人",C48*F59,C60+C61+C62),1)</f>
        <v>#N/A</v>
      </c>
      <c r="D59" s="2400" t="s">
        <v>2332</v>
      </c>
      <c r="E59" s="2401" t="s">
        <v>2333</v>
      </c>
      <c r="F59" s="704" t="str">
        <f ca="1">IF(项目基本情况!B11="企业","",IF(INDIRECT("'数据-取费表'!c"&amp;$G$1)="住宅",5%,IF(F49*F50*F51/12/(1+'数据-取费表'!C42)&gt;20000,12%,7%)))</f>
        <v/>
      </c>
      <c r="I59" s="2526" t="s">
        <v>2420</v>
      </c>
      <c r="J59" s="2530" t="e">
        <f ca="1">IF(OR(M47="住宅",J51&lt;L48,J56="是"),"——",ROUND(C29*J58,0))</f>
        <v>#N/A</v>
      </c>
      <c r="K59" s="2549" t="s">
        <v>2894</v>
      </c>
      <c r="L59" s="2149">
        <f ca="1">IF(ISERROR(POWER(1+L52,L47-J51)*(POWER(1+L52,J51)-1)/(POWER(1+L52,L47)-1)),0,POWER(1+L52,L47-J51)*(POWER(1+L52,J51)-1)/(POWER(1+L52,L47)-1))</f>
        <v>0</v>
      </c>
      <c r="O59" s="2570" t="s">
        <v>2445</v>
      </c>
      <c r="P59" s="2578" t="s">
        <v>2475</v>
      </c>
      <c r="Q59" s="2571">
        <f>L52</f>
        <v>0</v>
      </c>
      <c r="R59" s="2569"/>
    </row>
    <row r="60" spans="1:18" s="1444" customFormat="1" ht="20.25" thickBot="1">
      <c r="A60" s="2419" t="s">
        <v>2363</v>
      </c>
      <c r="B60" s="2383" t="s">
        <v>2334</v>
      </c>
      <c r="C60" s="311" t="e">
        <f ca="1">IF(项目基本情况!B11="自然人","——",ROUND(C48*F60/(1+'数据-取费表'!C42),2))</f>
        <v>#N/A</v>
      </c>
      <c r="D60" s="2401" t="s">
        <v>2335</v>
      </c>
      <c r="E60" s="2383" t="s">
        <v>2336</v>
      </c>
      <c r="F60" s="713">
        <f t="shared" ref="F60:F66" si="0">F32</f>
        <v>5.5000000000000007E-2</v>
      </c>
      <c r="I60" s="2527" t="s">
        <v>2421</v>
      </c>
      <c r="J60" s="2531" t="e">
        <f ca="1">IF(OR(M47="住宅",J51&lt;L48,J56="是"),"0",ROUND(J59/(1+J52)^J53,0))</f>
        <v>#N/A</v>
      </c>
      <c r="K60" s="2533" t="s">
        <v>2424</v>
      </c>
      <c r="L60" s="2531" t="e">
        <f ca="1">IF(OR(M47="住宅",L48&lt;J51),0,ROUND(L57*(L58/L59-1),0))</f>
        <v>#N/A</v>
      </c>
      <c r="O60" s="2570" t="s">
        <v>2446</v>
      </c>
      <c r="P60" s="2578" t="s">
        <v>2476</v>
      </c>
      <c r="Q60" s="2569">
        <f ca="1">L58</f>
        <v>0</v>
      </c>
      <c r="R60" s="2569" t="s">
        <v>2451</v>
      </c>
    </row>
    <row r="61" spans="1:18" s="1444" customFormat="1" ht="20.25" thickBot="1">
      <c r="A61" s="2419" t="s">
        <v>2364</v>
      </c>
      <c r="B61" s="2383" t="s">
        <v>2337</v>
      </c>
      <c r="C61" s="311" t="e">
        <f ca="1">IF(项目基本情况!B11="自然人","——",IF(D61="按租金收入计税",ROUND(C48*F61,2),IF(D61="按房产原值计税",ROUND(C57*F61*0.7,2),INDIRECT("'数据-取费表'!Aj"&amp;$G$1))))</f>
        <v>#N/A</v>
      </c>
      <c r="D61" s="1291" t="s">
        <v>2406</v>
      </c>
      <c r="E61" s="2383" t="s">
        <v>2336</v>
      </c>
      <c r="F61" s="703">
        <f t="shared" si="0"/>
        <v>1.2E-2</v>
      </c>
      <c r="I61" s="2393"/>
      <c r="J61" s="2393"/>
      <c r="K61" s="2393"/>
      <c r="L61" s="2393"/>
      <c r="O61" s="2570" t="s">
        <v>2447</v>
      </c>
      <c r="P61" s="2578" t="s">
        <v>2477</v>
      </c>
      <c r="Q61" s="2569">
        <f ca="1">L59</f>
        <v>0</v>
      </c>
      <c r="R61" s="2569" t="s">
        <v>2452</v>
      </c>
    </row>
    <row r="62" spans="1:18" s="1444" customFormat="1" ht="15.75" thickBot="1">
      <c r="A62" s="2419" t="s">
        <v>2365</v>
      </c>
      <c r="B62" s="2382" t="s">
        <v>2338</v>
      </c>
      <c r="C62" s="312" t="e">
        <f ca="1">IF(项目基本情况!B11="自然人","——",ROUND(F62*F63/10000,2))</f>
        <v>#N/A</v>
      </c>
      <c r="D62" s="2402" t="s">
        <v>2339</v>
      </c>
      <c r="E62" s="2383" t="s">
        <v>2340</v>
      </c>
      <c r="F62" s="707">
        <f t="shared" si="0"/>
        <v>1.5</v>
      </c>
      <c r="I62" s="2528" t="s">
        <v>2411</v>
      </c>
      <c r="J62" s="2529" t="s">
        <v>2412</v>
      </c>
      <c r="K62" s="2529" t="s">
        <v>2413</v>
      </c>
      <c r="L62" s="2529" t="s">
        <v>2409</v>
      </c>
      <c r="M62" s="3298" t="s">
        <v>3026</v>
      </c>
      <c r="O62" s="2568" t="s">
        <v>2448</v>
      </c>
      <c r="P62" s="2578" t="s">
        <v>2466</v>
      </c>
      <c r="Q62" s="2569" t="e">
        <f ca="1">Q56+Q57</f>
        <v>#N/A</v>
      </c>
      <c r="R62" s="2569" t="s">
        <v>2449</v>
      </c>
    </row>
    <row r="63" spans="1:18" s="1444" customFormat="1" ht="16.5" thickBot="1">
      <c r="A63" s="708"/>
      <c r="B63" s="2389"/>
      <c r="C63" s="316"/>
      <c r="D63" s="2403"/>
      <c r="E63" s="2383" t="s">
        <v>2341</v>
      </c>
      <c r="F63" s="681" t="e">
        <f t="shared" ca="1" si="0"/>
        <v>#N/A</v>
      </c>
      <c r="I63" s="2528" t="s">
        <v>2425</v>
      </c>
      <c r="J63" s="3301">
        <v>70</v>
      </c>
      <c r="K63" s="3301">
        <v>50</v>
      </c>
      <c r="L63" s="3301">
        <v>80</v>
      </c>
      <c r="M63" s="3299">
        <v>0.02</v>
      </c>
      <c r="O63" s="2572" t="s">
        <v>2480</v>
      </c>
      <c r="P63" s="1286"/>
      <c r="Q63" s="1286"/>
      <c r="R63" s="1286"/>
    </row>
    <row r="64" spans="1:18" s="1444" customFormat="1" ht="15.75" thickBot="1">
      <c r="A64" s="2419" t="s">
        <v>2373</v>
      </c>
      <c r="B64" s="2383" t="s">
        <v>2342</v>
      </c>
      <c r="C64" s="311" t="e">
        <f ca="1">ROUND(C57*F64,1)</f>
        <v>#N/A</v>
      </c>
      <c r="D64" s="2401" t="s">
        <v>2343</v>
      </c>
      <c r="E64" s="2383" t="s">
        <v>2336</v>
      </c>
      <c r="F64" s="710" t="e">
        <f t="shared" ca="1" si="0"/>
        <v>#N/A</v>
      </c>
      <c r="I64" s="2528" t="s">
        <v>2426</v>
      </c>
      <c r="J64" s="3301">
        <v>50</v>
      </c>
      <c r="K64" s="3301">
        <v>35</v>
      </c>
      <c r="L64" s="3301">
        <v>60</v>
      </c>
      <c r="M64" s="3300">
        <v>0</v>
      </c>
      <c r="O64" s="2575" t="s">
        <v>2457</v>
      </c>
      <c r="P64" s="2576" t="s">
        <v>2458</v>
      </c>
      <c r="Q64" s="2577" t="s">
        <v>2456</v>
      </c>
      <c r="R64" s="2577" t="s">
        <v>2459</v>
      </c>
    </row>
    <row r="65" spans="1:18" s="1444" customFormat="1" ht="15.75" thickBot="1">
      <c r="A65" s="2419" t="s">
        <v>2367</v>
      </c>
      <c r="B65" s="2383" t="s">
        <v>365</v>
      </c>
      <c r="C65" s="311" t="e">
        <f ca="1">ROUND(C56*F65,1)</f>
        <v>#N/A</v>
      </c>
      <c r="D65" s="2401" t="s">
        <v>2344</v>
      </c>
      <c r="E65" s="2383" t="s">
        <v>2336</v>
      </c>
      <c r="F65" s="712" t="e">
        <f t="shared" ca="1" si="0"/>
        <v>#N/A</v>
      </c>
      <c r="I65" s="2528" t="s">
        <v>2427</v>
      </c>
      <c r="J65" s="3301">
        <v>40</v>
      </c>
      <c r="K65" s="3301">
        <v>30</v>
      </c>
      <c r="L65" s="3301">
        <v>50</v>
      </c>
      <c r="M65" s="3299">
        <v>0.02</v>
      </c>
      <c r="O65" s="2568" t="s">
        <v>2442</v>
      </c>
      <c r="P65" s="2578" t="s">
        <v>2460</v>
      </c>
      <c r="Q65" s="2569" t="e">
        <f ca="1">C40+J29</f>
        <v>#N/A</v>
      </c>
      <c r="R65" s="2569" t="s">
        <v>2461</v>
      </c>
    </row>
    <row r="66" spans="1:18" s="1444" customFormat="1" ht="20.25" thickBot="1">
      <c r="A66" s="2419" t="s">
        <v>2368</v>
      </c>
      <c r="B66" s="2383" t="s">
        <v>364</v>
      </c>
      <c r="C66" s="311" t="e">
        <f ca="1">ROUND(C48*F66,1)</f>
        <v>#N/A</v>
      </c>
      <c r="D66" s="2401" t="s">
        <v>2345</v>
      </c>
      <c r="E66" s="2383" t="s">
        <v>2336</v>
      </c>
      <c r="F66" s="690" t="e">
        <f t="shared" ca="1" si="0"/>
        <v>#N/A</v>
      </c>
      <c r="O66" s="2568" t="s">
        <v>2443</v>
      </c>
      <c r="P66" s="2578" t="s">
        <v>2467</v>
      </c>
      <c r="Q66" s="2569" t="e">
        <f ca="1">L60</f>
        <v>#N/A</v>
      </c>
      <c r="R66" s="2569" t="s">
        <v>2450</v>
      </c>
    </row>
    <row r="67" spans="1:18" s="1444" customFormat="1" ht="24.75" thickBot="1">
      <c r="A67" s="2390" t="s">
        <v>2346</v>
      </c>
      <c r="B67" s="2404" t="s">
        <v>2347</v>
      </c>
      <c r="C67" s="694" t="e">
        <f ca="1">C48-C58</f>
        <v>#N/A</v>
      </c>
      <c r="D67" s="2400" t="s">
        <v>2348</v>
      </c>
      <c r="E67" s="2405"/>
      <c r="F67" s="2406"/>
      <c r="O67" s="2570" t="s">
        <v>2444</v>
      </c>
      <c r="P67" s="2578" t="s">
        <v>2474</v>
      </c>
      <c r="Q67" s="2573" t="e">
        <f ca="1">L51</f>
        <v>#N/A</v>
      </c>
      <c r="R67" s="2574" t="s">
        <v>2484</v>
      </c>
    </row>
    <row r="68" spans="1:18" s="1444" customFormat="1" ht="20.25" thickBot="1">
      <c r="A68" s="2380" t="s">
        <v>2349</v>
      </c>
      <c r="B68" s="2381" t="s">
        <v>2350</v>
      </c>
      <c r="C68" s="679" t="e">
        <f ca="1">ROUND(C67*(1-((1+F70)/(1+F68))^F69)/(F68-F70),0)</f>
        <v>#N/A</v>
      </c>
      <c r="D68" s="2402" t="s">
        <v>2351</v>
      </c>
      <c r="E68" s="2383" t="s">
        <v>2352</v>
      </c>
      <c r="F68" s="690" t="e">
        <f ca="1">F40</f>
        <v>#N/A</v>
      </c>
      <c r="O68" s="2570" t="s">
        <v>2445</v>
      </c>
      <c r="P68" s="2579" t="s">
        <v>2478</v>
      </c>
      <c r="Q68" s="2569" t="e">
        <f ca="1">ROUND(Q69-Q70*Q71,0)</f>
        <v>#N/A</v>
      </c>
      <c r="R68" s="2569" t="s">
        <v>2483</v>
      </c>
    </row>
    <row r="69" spans="1:18" s="1444" customFormat="1" ht="15.75" thickBot="1">
      <c r="A69" s="2384"/>
      <c r="B69" s="2385"/>
      <c r="C69" s="684"/>
      <c r="D69" s="2407" t="s">
        <v>2353</v>
      </c>
      <c r="E69" s="2383" t="s">
        <v>2354</v>
      </c>
      <c r="F69" s="715" t="e">
        <f ca="1">F41</f>
        <v>#N/A</v>
      </c>
      <c r="O69" s="2570" t="s">
        <v>2453</v>
      </c>
      <c r="P69" s="2579" t="s">
        <v>2468</v>
      </c>
      <c r="Q69" s="2569" t="e">
        <f ca="1">C39</f>
        <v>#N/A</v>
      </c>
      <c r="R69" s="2569" t="s">
        <v>2461</v>
      </c>
    </row>
    <row r="70" spans="1:18" s="1444" customFormat="1" ht="15.75" thickBot="1">
      <c r="A70" s="2387"/>
      <c r="B70" s="2388"/>
      <c r="C70" s="688"/>
      <c r="D70" s="2403"/>
      <c r="E70" s="2383" t="s">
        <v>2355</v>
      </c>
      <c r="F70" s="2513"/>
      <c r="O70" s="2570" t="s">
        <v>2454</v>
      </c>
      <c r="P70" s="2579" t="s">
        <v>2469</v>
      </c>
      <c r="Q70" s="2569" t="e">
        <f ca="1">C13</f>
        <v>#N/A</v>
      </c>
      <c r="R70" s="2569" t="s">
        <v>2461</v>
      </c>
    </row>
    <row r="71" spans="1:18" s="1444" customFormat="1" ht="15.75" thickBot="1">
      <c r="A71" s="2408" t="s">
        <v>2356</v>
      </c>
      <c r="B71" s="2409" t="s">
        <v>2357</v>
      </c>
      <c r="C71" s="718" t="e">
        <f ca="1">ROUND(C68*10000/F71,0)</f>
        <v>#N/A</v>
      </c>
      <c r="D71" s="2410" t="s">
        <v>2358</v>
      </c>
      <c r="E71" s="2411" t="s">
        <v>2359</v>
      </c>
      <c r="F71" s="721" t="e">
        <f ca="1">F43</f>
        <v>#N/A</v>
      </c>
      <c r="I71" s="2378"/>
      <c r="K71" s="2378"/>
      <c r="O71" s="2570" t="s">
        <v>2455</v>
      </c>
      <c r="P71" s="2579" t="s">
        <v>2481</v>
      </c>
      <c r="Q71" s="2571" t="e">
        <f ca="1">C76</f>
        <v>#N/A</v>
      </c>
      <c r="R71" s="2569"/>
    </row>
    <row r="72" spans="1:18" s="1444" customFormat="1" ht="15.75" thickBot="1">
      <c r="B72" s="1449"/>
      <c r="C72" s="1449"/>
      <c r="I72" s="2378"/>
      <c r="O72" s="2570" t="s">
        <v>2446</v>
      </c>
      <c r="P72" s="2578" t="s">
        <v>2475</v>
      </c>
      <c r="Q72" s="2571">
        <f>L52</f>
        <v>0</v>
      </c>
      <c r="R72" s="2569"/>
    </row>
    <row r="73" spans="1:18" ht="20.25" thickBot="1">
      <c r="A73" s="1444"/>
      <c r="B73" s="1449"/>
      <c r="C73" s="1449"/>
      <c r="D73" s="1444"/>
      <c r="E73" s="1444"/>
      <c r="F73" s="1444"/>
      <c r="I73" s="2564"/>
      <c r="O73" s="2570" t="s">
        <v>2447</v>
      </c>
      <c r="P73" s="2578" t="s">
        <v>2476</v>
      </c>
      <c r="Q73" s="2569">
        <f ca="1">L58</f>
        <v>0</v>
      </c>
      <c r="R73" s="2569" t="s">
        <v>2451</v>
      </c>
    </row>
    <row r="74" spans="1:18" ht="20.25" thickBot="1">
      <c r="A74" s="1444"/>
      <c r="B74" s="723" t="s">
        <v>383</v>
      </c>
      <c r="C74" s="724"/>
      <c r="D74" s="1444"/>
      <c r="E74" s="1444"/>
      <c r="F74" s="1444"/>
      <c r="O74" s="2570" t="s">
        <v>2485</v>
      </c>
      <c r="P74" s="2578" t="s">
        <v>2477</v>
      </c>
      <c r="Q74" s="2569">
        <f ca="1">L59</f>
        <v>0</v>
      </c>
      <c r="R74" s="2569" t="s">
        <v>2452</v>
      </c>
    </row>
    <row r="75" spans="1:18" ht="15.75" thickBot="1">
      <c r="A75" s="1444"/>
      <c r="B75" s="725" t="s">
        <v>969</v>
      </c>
      <c r="C75" s="726" t="e">
        <f ca="1">ROUND(C13*C76,0)</f>
        <v>#N/A</v>
      </c>
      <c r="D75" s="1444"/>
      <c r="E75" s="1444"/>
      <c r="F75" s="1444"/>
      <c r="K75" s="1445"/>
      <c r="L75" s="1444"/>
      <c r="O75" s="2568" t="s">
        <v>2448</v>
      </c>
      <c r="P75" s="2578" t="s">
        <v>2466</v>
      </c>
      <c r="Q75" s="2569" t="e">
        <f ca="1">Q65+Q66</f>
        <v>#N/A</v>
      </c>
      <c r="R75" s="2569" t="s">
        <v>2449</v>
      </c>
    </row>
    <row r="76" spans="1:18">
      <c r="B76" s="727" t="s">
        <v>970</v>
      </c>
      <c r="C76" s="728" t="e">
        <f ca="1">INDIRECT("'数据-取费表'!j"&amp;$G$1)</f>
        <v>#N/A</v>
      </c>
      <c r="I76" s="1444"/>
      <c r="J76" s="1444"/>
      <c r="K76" s="1445"/>
      <c r="L76" s="1444"/>
    </row>
    <row r="77" spans="1:18">
      <c r="B77" s="729" t="s">
        <v>973</v>
      </c>
      <c r="C77" s="730"/>
      <c r="I77" s="1444"/>
      <c r="J77" s="1444"/>
      <c r="K77" s="1445"/>
      <c r="L77" s="1444"/>
    </row>
    <row r="78" spans="1:18">
      <c r="B78" s="642" t="s">
        <v>2690</v>
      </c>
      <c r="C78" s="731"/>
    </row>
    <row r="79" spans="1:18">
      <c r="B79" s="2854" t="s">
        <v>2694</v>
      </c>
      <c r="C79" s="646" t="e">
        <f ca="1">1-C80</f>
        <v>#N/A</v>
      </c>
    </row>
    <row r="80" spans="1:18">
      <c r="B80" s="2854" t="s">
        <v>2693</v>
      </c>
      <c r="C80" s="646" t="e">
        <f ca="1">ROUND(C75/C39,3)</f>
        <v>#N/A</v>
      </c>
    </row>
    <row r="81" spans="2:3">
      <c r="B81" s="642" t="s">
        <v>384</v>
      </c>
      <c r="C81" s="643"/>
    </row>
    <row r="82" spans="2:3">
      <c r="B82" s="2853" t="s">
        <v>2692</v>
      </c>
      <c r="C82" s="647" t="e">
        <f ca="1">1-C83</f>
        <v>#N/A</v>
      </c>
    </row>
    <row r="83" spans="2:3">
      <c r="B83" s="2853" t="s">
        <v>2691</v>
      </c>
      <c r="C83" s="64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F30" sqref="F30"/>
    </sheetView>
  </sheetViews>
  <sheetFormatPr defaultRowHeight="15"/>
  <cols>
    <col min="1" max="1" width="9" style="670" customWidth="1"/>
    <col min="2" max="2" width="20.625" style="732" customWidth="1"/>
    <col min="3" max="3" width="11.875" style="732" customWidth="1"/>
    <col min="4" max="4" width="40.5" style="670" customWidth="1"/>
    <col min="5" max="5" width="15.75" style="670" customWidth="1"/>
    <col min="6" max="6" width="10.625" style="670" customWidth="1"/>
    <col min="7" max="7" width="4.875" style="670" customWidth="1"/>
    <col min="8" max="8" width="8.5" style="670" customWidth="1"/>
    <col min="9" max="9" width="21.25" style="670" customWidth="1"/>
    <col min="10" max="10" width="12.25" style="670" customWidth="1"/>
    <col min="11" max="11" width="40.125" style="722" customWidth="1"/>
    <col min="12" max="12" width="16.375" style="670" customWidth="1"/>
    <col min="13" max="13" width="13" style="670" customWidth="1"/>
    <col min="14" max="14" width="13.75" style="1444" customWidth="1"/>
    <col min="15" max="15" width="5.125" style="1444" customWidth="1"/>
    <col min="16" max="16" width="25.75" style="1444" customWidth="1"/>
    <col min="17" max="17" width="13.75" style="1444" customWidth="1"/>
    <col min="18" max="18" width="20.5" style="1444" customWidth="1"/>
    <col min="19" max="19" width="13.25" style="1444" customWidth="1"/>
    <col min="20" max="37" width="9" style="1444"/>
    <col min="38" max="16384" width="9" style="670"/>
  </cols>
  <sheetData>
    <row r="1" spans="1:37" s="667" customFormat="1" ht="21">
      <c r="A1" s="665" t="s">
        <v>904</v>
      </c>
      <c r="B1" s="666"/>
      <c r="C1" s="2373"/>
      <c r="D1" s="1264"/>
      <c r="E1" s="2566" t="s">
        <v>536</v>
      </c>
      <c r="F1" s="2567">
        <f ca="1">J53</f>
        <v>0</v>
      </c>
      <c r="G1" s="668">
        <f>MATCH(C1,'数据-取费表'!A6:A16,0)+5</f>
        <v>9</v>
      </c>
      <c r="H1" s="1287"/>
      <c r="I1" s="672"/>
      <c r="J1" s="672"/>
      <c r="K1" s="1288"/>
      <c r="L1" s="672"/>
      <c r="M1" s="672"/>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573" t="s">
        <v>342</v>
      </c>
      <c r="B2" s="1396" t="e">
        <f ca="1">ROUND(D2/10000,0)</f>
        <v>#DIV/0!</v>
      </c>
      <c r="C2" s="1290" t="s">
        <v>1093</v>
      </c>
      <c r="D2" s="2705" t="e">
        <f ca="1">C40+J29+L46</f>
        <v>#DIV/0!</v>
      </c>
      <c r="E2" s="2556" t="s">
        <v>2614</v>
      </c>
      <c r="F2" s="1267"/>
      <c r="G2" s="2268"/>
      <c r="H2" s="1265"/>
      <c r="I2" s="1265"/>
      <c r="J2" s="1265"/>
      <c r="K2" s="1289"/>
      <c r="L2" s="1265"/>
      <c r="M2" s="1265"/>
    </row>
    <row r="3" spans="1:37" ht="18" customHeight="1" thickBot="1">
      <c r="A3" s="671" t="s">
        <v>343</v>
      </c>
      <c r="B3" s="1397">
        <f ca="1">IF(ISERROR(D2/F43),0,ROUND(D2/F43,0))</f>
        <v>0</v>
      </c>
      <c r="C3" s="1290" t="s">
        <v>1094</v>
      </c>
      <c r="D3" s="1266"/>
      <c r="E3" s="2556"/>
      <c r="F3" s="1267"/>
      <c r="G3" s="2268"/>
      <c r="H3" s="672" t="s">
        <v>905</v>
      </c>
      <c r="I3" s="1265"/>
      <c r="J3" s="1265"/>
      <c r="K3" s="1289"/>
      <c r="L3" s="1265"/>
      <c r="M3" s="1265"/>
    </row>
    <row r="4" spans="1:37" ht="18" customHeight="1">
      <c r="A4" s="673" t="s">
        <v>906</v>
      </c>
      <c r="B4" s="674" t="s">
        <v>907</v>
      </c>
      <c r="C4" s="674" t="s">
        <v>908</v>
      </c>
      <c r="D4" s="674" t="s">
        <v>909</v>
      </c>
      <c r="E4" s="675" t="s">
        <v>910</v>
      </c>
      <c r="F4" s="676"/>
      <c r="G4" s="2269"/>
      <c r="H4" s="673" t="s">
        <v>906</v>
      </c>
      <c r="I4" s="674" t="s">
        <v>907</v>
      </c>
      <c r="J4" s="674" t="s">
        <v>908</v>
      </c>
      <c r="K4" s="674" t="s">
        <v>909</v>
      </c>
      <c r="L4" s="675" t="s">
        <v>910</v>
      </c>
      <c r="M4" s="676"/>
    </row>
    <row r="5" spans="1:37" ht="18" customHeight="1">
      <c r="A5" s="677">
        <v>1</v>
      </c>
      <c r="B5" s="678" t="s">
        <v>2325</v>
      </c>
      <c r="C5" s="2607">
        <f ca="1">C6+C10+C12</f>
        <v>0</v>
      </c>
      <c r="D5" s="2617" t="s">
        <v>2528</v>
      </c>
      <c r="E5" s="2608"/>
      <c r="F5" s="2609"/>
      <c r="G5" s="2269"/>
      <c r="H5" s="677">
        <v>1</v>
      </c>
      <c r="I5" s="678" t="s">
        <v>2325</v>
      </c>
      <c r="J5" s="2607">
        <f ca="1">J6+J10+J12</f>
        <v>0</v>
      </c>
      <c r="K5" s="2610" t="s">
        <v>2528</v>
      </c>
      <c r="L5" s="2608"/>
      <c r="M5" s="2609"/>
    </row>
    <row r="6" spans="1:37" ht="18" customHeight="1">
      <c r="A6" s="2603" t="s">
        <v>2366</v>
      </c>
      <c r="B6" s="3630" t="s">
        <v>2527</v>
      </c>
      <c r="C6" s="2612">
        <f ca="1">ROUND(F6*F8*F7*(1-F9),0)</f>
        <v>0</v>
      </c>
      <c r="D6" s="2606" t="s">
        <v>2529</v>
      </c>
      <c r="E6" s="680" t="s">
        <v>911</v>
      </c>
      <c r="F6" s="681">
        <f ca="1">INDIRECT("'数据-取费表'!u"&amp;$G$1)</f>
        <v>0</v>
      </c>
      <c r="G6" s="2269"/>
      <c r="H6" s="2603" t="s">
        <v>2366</v>
      </c>
      <c r="I6" s="3630" t="s">
        <v>2527</v>
      </c>
      <c r="J6" s="679">
        <f ca="1">ROUND(M6*M8*M7*(1-M9),0)</f>
        <v>0</v>
      </c>
      <c r="K6" s="2606" t="s">
        <v>2529</v>
      </c>
      <c r="L6" s="680" t="s">
        <v>911</v>
      </c>
      <c r="M6" s="681">
        <f ca="1">INDIRECT("'数据-取费表'!z"&amp;$G$1)</f>
        <v>0</v>
      </c>
    </row>
    <row r="7" spans="1:37" ht="18" customHeight="1">
      <c r="A7" s="2611"/>
      <c r="B7" s="3631"/>
      <c r="C7" s="2613"/>
      <c r="D7" s="2042"/>
      <c r="E7" s="2614" t="s">
        <v>912</v>
      </c>
      <c r="F7" s="681">
        <f ca="1">IF(INDIRECT("'数据-取费表'!ah"&amp;$G$1)="",INDIRECT("'数据-取费表'!k"&amp;$G$1),INDIRECT("'数据-取费表'!ah"&amp;$G$1))</f>
        <v>0</v>
      </c>
      <c r="G7" s="2269"/>
      <c r="H7" s="682"/>
      <c r="I7" s="3631"/>
      <c r="J7" s="684"/>
      <c r="K7" s="685"/>
      <c r="L7" s="680" t="s">
        <v>912</v>
      </c>
      <c r="M7" s="681">
        <f ca="1">F7</f>
        <v>0</v>
      </c>
    </row>
    <row r="8" spans="1:37" ht="18" customHeight="1">
      <c r="A8" s="682"/>
      <c r="B8" s="3631"/>
      <c r="C8" s="684"/>
      <c r="D8" s="685"/>
      <c r="E8" s="680" t="s">
        <v>913</v>
      </c>
      <c r="F8" s="681">
        <f ca="1">INDIRECT("'数据-取费表'!ai"&amp;$G$1)</f>
        <v>0</v>
      </c>
      <c r="G8" s="2269"/>
      <c r="H8" s="682"/>
      <c r="I8" s="3631"/>
      <c r="J8" s="684"/>
      <c r="K8" s="685"/>
      <c r="L8" s="680" t="s">
        <v>913</v>
      </c>
      <c r="M8" s="681">
        <f ca="1">INDIRECT("'数据-取费表'!ai"&amp;$G$1)</f>
        <v>0</v>
      </c>
    </row>
    <row r="9" spans="1:37" ht="18" customHeight="1">
      <c r="A9" s="682"/>
      <c r="B9" s="3632"/>
      <c r="C9" s="684"/>
      <c r="D9" s="685"/>
      <c r="E9" s="680" t="s">
        <v>914</v>
      </c>
      <c r="F9" s="690">
        <f ca="1">INDIRECT("'数据-取费表'!w"&amp;$G$1)</f>
        <v>0</v>
      </c>
      <c r="G9" s="2269"/>
      <c r="H9" s="682"/>
      <c r="I9" s="3632"/>
      <c r="J9" s="684"/>
      <c r="K9" s="685"/>
      <c r="L9" s="691" t="s">
        <v>914</v>
      </c>
      <c r="M9" s="692">
        <f ca="1">INDIRECT("'数据-取费表'!ab"&amp;$G$1)</f>
        <v>0</v>
      </c>
    </row>
    <row r="10" spans="1:37" ht="18" customHeight="1">
      <c r="A10" s="2603" t="s">
        <v>2373</v>
      </c>
      <c r="B10" s="2604" t="s">
        <v>2522</v>
      </c>
      <c r="C10" s="694">
        <f ca="1">ROUND(IF(F10="押一",F6*F8*F7/12*F11,IF(F10="押二",F6*F8*F7/12*2*F11,IF(F10="押三",F6*F8*F7/12*3*F11,C11*F11))),0)</f>
        <v>0</v>
      </c>
      <c r="D10" s="2615" t="s">
        <v>2530</v>
      </c>
      <c r="E10" s="2078" t="s">
        <v>2524</v>
      </c>
      <c r="F10" s="2809"/>
      <c r="G10" s="2269"/>
      <c r="H10" s="2603" t="s">
        <v>2373</v>
      </c>
      <c r="I10" s="2604" t="s">
        <v>2522</v>
      </c>
      <c r="J10" s="679">
        <f ca="1">ROUND(IF(M10="押一",M6*M8*M7/12*M11,IF(M10="押二",M6*M8*M7/12*2*M11,IF(M10="押三",M6*M8*M7/12*3*M11,J11*M11))),0)</f>
        <v>0</v>
      </c>
      <c r="K10" s="2615" t="s">
        <v>2530</v>
      </c>
      <c r="L10" s="2078" t="s">
        <v>2524</v>
      </c>
      <c r="M10" s="2809" t="s">
        <v>2686</v>
      </c>
    </row>
    <row r="11" spans="1:37" ht="18" customHeight="1">
      <c r="A11" s="686"/>
      <c r="B11" s="2605" t="s">
        <v>2532</v>
      </c>
      <c r="C11" s="2396"/>
      <c r="D11" s="685"/>
      <c r="E11" s="2078" t="s">
        <v>2525</v>
      </c>
      <c r="F11" s="692">
        <f ca="1">'数据-取费表'!B39</f>
        <v>1.4999999999999999E-2</v>
      </c>
      <c r="G11" s="2269"/>
      <c r="H11" s="2616"/>
      <c r="I11" s="2605" t="s">
        <v>2687</v>
      </c>
      <c r="J11" s="2396"/>
      <c r="K11" s="1271"/>
      <c r="L11" s="2078" t="s">
        <v>2525</v>
      </c>
      <c r="M11" s="2077">
        <f ca="1">'数据-取费表'!B39</f>
        <v>1.4999999999999999E-2</v>
      </c>
    </row>
    <row r="12" spans="1:37" ht="18" customHeight="1" thickBot="1">
      <c r="A12" s="2651" t="s">
        <v>2535</v>
      </c>
      <c r="B12" s="2652" t="s">
        <v>2523</v>
      </c>
      <c r="C12" s="2653"/>
      <c r="D12" s="2654"/>
      <c r="E12" s="2655"/>
      <c r="F12" s="2656"/>
      <c r="G12" s="2269"/>
      <c r="H12" s="2651" t="s">
        <v>2535</v>
      </c>
      <c r="I12" s="2652" t="s">
        <v>2523</v>
      </c>
      <c r="J12" s="2653"/>
      <c r="K12" s="2670"/>
      <c r="L12" s="2655"/>
      <c r="M12" s="2671"/>
    </row>
    <row r="13" spans="1:37" ht="18" customHeight="1" thickTop="1">
      <c r="A13" s="2647">
        <v>2</v>
      </c>
      <c r="B13" s="2648" t="s">
        <v>915</v>
      </c>
      <c r="C13" s="688">
        <f ca="1">ROUND(C29*F13,0)</f>
        <v>0</v>
      </c>
      <c r="D13" s="2649" t="s">
        <v>916</v>
      </c>
      <c r="E13" s="2649" t="s">
        <v>917</v>
      </c>
      <c r="F13" s="2650">
        <f ca="1">INDIRECT("'数据-取费表'!y"&amp;$G$1)</f>
        <v>0</v>
      </c>
      <c r="G13" s="2269"/>
      <c r="H13" s="2647">
        <v>2</v>
      </c>
      <c r="I13" s="2648" t="s">
        <v>915</v>
      </c>
      <c r="J13" s="2602">
        <f ca="1">ROUND(J14*J15,0)</f>
        <v>0</v>
      </c>
      <c r="K13" s="2657" t="s">
        <v>916</v>
      </c>
      <c r="L13" s="2668"/>
      <c r="M13" s="2669"/>
    </row>
    <row r="14" spans="1:37" ht="18" customHeight="1">
      <c r="A14" s="2419" t="s">
        <v>2363</v>
      </c>
      <c r="B14" s="680" t="s">
        <v>356</v>
      </c>
      <c r="C14" s="698">
        <f ca="1">ROUND(INDIRECT("'数据-取费表'!l"&amp;$G$1)*F43+'数据-取费表'!L14*INDIRECT("'数据-取费表'!S"&amp;$G$1),0)</f>
        <v>0</v>
      </c>
      <c r="D14" s="2700" t="s">
        <v>918</v>
      </c>
      <c r="E14" s="2699"/>
      <c r="F14" s="699"/>
      <c r="G14" s="2269"/>
      <c r="H14" s="2419" t="s">
        <v>2366</v>
      </c>
      <c r="I14" s="680" t="s">
        <v>919</v>
      </c>
      <c r="J14" s="311">
        <f ca="1">C29</f>
        <v>0</v>
      </c>
      <c r="K14" s="301"/>
      <c r="L14" s="696"/>
      <c r="M14" s="697"/>
    </row>
    <row r="15" spans="1:37" s="702" customFormat="1" ht="18" customHeight="1" thickBot="1">
      <c r="A15" s="2419" t="s">
        <v>2599</v>
      </c>
      <c r="B15" s="680" t="s">
        <v>357</v>
      </c>
      <c r="C15" s="311">
        <f ca="1">ROUND(C14*F15,0)</f>
        <v>0</v>
      </c>
      <c r="D15" s="700" t="s">
        <v>920</v>
      </c>
      <c r="E15" s="700" t="s">
        <v>362</v>
      </c>
      <c r="F15" s="701">
        <f>'数据-取费表'!B33</f>
        <v>0.03</v>
      </c>
      <c r="G15" s="2270"/>
      <c r="H15" s="2659" t="s">
        <v>2373</v>
      </c>
      <c r="I15" s="2660" t="s">
        <v>917</v>
      </c>
      <c r="J15" s="2671">
        <f ca="1">INDIRECT("'数据-取费表'!ad"&amp;$G$1)</f>
        <v>0</v>
      </c>
      <c r="K15" s="2672"/>
      <c r="L15" s="2673"/>
      <c r="M15" s="2674"/>
      <c r="N15" s="1450"/>
      <c r="O15" s="1450"/>
      <c r="P15" s="1450"/>
      <c r="Q15" s="1450"/>
      <c r="R15" s="1450"/>
      <c r="S15" s="1450"/>
      <c r="T15" s="1450"/>
      <c r="U15" s="1450"/>
      <c r="V15" s="1450"/>
      <c r="W15" s="1450"/>
      <c r="X15" s="1450"/>
      <c r="Y15" s="1450"/>
      <c r="Z15" s="1450"/>
      <c r="AA15" s="1450"/>
      <c r="AB15" s="1450"/>
      <c r="AC15" s="1450"/>
      <c r="AD15" s="1450"/>
      <c r="AE15" s="1450"/>
      <c r="AF15" s="1450"/>
      <c r="AG15" s="1450"/>
      <c r="AH15" s="1450"/>
      <c r="AI15" s="1450"/>
      <c r="AJ15" s="1450"/>
      <c r="AK15" s="1450"/>
    </row>
    <row r="16" spans="1:37" ht="18" customHeight="1" thickTop="1">
      <c r="A16" s="2419" t="s">
        <v>2600</v>
      </c>
      <c r="B16" s="680" t="s">
        <v>358</v>
      </c>
      <c r="C16" s="311">
        <f ca="1">ROUND(INDIRECT("'数据-取费表'!l"&amp;$G$1)*F43*F16,0)</f>
        <v>0</v>
      </c>
      <c r="D16" s="680" t="s">
        <v>920</v>
      </c>
      <c r="E16" s="680" t="s">
        <v>362</v>
      </c>
      <c r="F16" s="703">
        <f ca="1">IF(INDIRECT("'数据-取费表'!c"&amp;$G$1)="住宅",'数据-取费表'!B34,0)</f>
        <v>0</v>
      </c>
      <c r="G16" s="2269"/>
      <c r="H16" s="2647" t="s">
        <v>2331</v>
      </c>
      <c r="I16" s="2648" t="s">
        <v>922</v>
      </c>
      <c r="J16" s="688">
        <f ca="1">ROUND(J17+J22+J23+J24,0)</f>
        <v>0</v>
      </c>
      <c r="K16" s="2657" t="s">
        <v>923</v>
      </c>
      <c r="L16" s="2658"/>
      <c r="M16" s="2609"/>
    </row>
    <row r="17" spans="1:37" s="702" customFormat="1" ht="18" customHeight="1">
      <c r="A17" s="2419" t="s">
        <v>2601</v>
      </c>
      <c r="B17" s="680" t="s">
        <v>359</v>
      </c>
      <c r="C17" s="311">
        <f ca="1">ROUND(F17*(F43+INDIRECT("'数据-取费表'!S"&amp;$G$1)),0)</f>
        <v>0</v>
      </c>
      <c r="D17" s="680" t="s">
        <v>924</v>
      </c>
      <c r="E17" s="680" t="s">
        <v>925</v>
      </c>
      <c r="F17" s="313">
        <f>'数据-取费表'!B35</f>
        <v>200</v>
      </c>
      <c r="G17" s="2270"/>
      <c r="H17" s="2419" t="s">
        <v>2366</v>
      </c>
      <c r="I17" s="680" t="s">
        <v>360</v>
      </c>
      <c r="J17" s="311">
        <f ca="1">ROUND(IF(项目基本情况!B11="自然人",J5*M17,J18+J19+J20),0)</f>
        <v>0</v>
      </c>
      <c r="K17" s="2700" t="s">
        <v>926</v>
      </c>
      <c r="L17" s="2701" t="s">
        <v>927</v>
      </c>
      <c r="M17" s="704" t="str">
        <f ca="1">IF(项目基本情况!B11="企业","",IF(INDIRECT("'数据-取费表'!c"&amp;$G$1)="住宅",5%,IF(M6*M7*M8/12/(1+'数据-取费表'!C42)&gt;20000,12%,7%)))</f>
        <v/>
      </c>
      <c r="N17" s="1450"/>
      <c r="O17" s="1450"/>
      <c r="P17" s="1450"/>
      <c r="Q17" s="1450"/>
      <c r="R17" s="1450"/>
      <c r="S17" s="1450"/>
      <c r="T17" s="1450"/>
      <c r="U17" s="1450"/>
      <c r="V17" s="1450"/>
      <c r="W17" s="1450"/>
      <c r="X17" s="1450"/>
      <c r="Y17" s="1450"/>
      <c r="Z17" s="1450"/>
      <c r="AA17" s="1450"/>
      <c r="AB17" s="1450"/>
      <c r="AC17" s="1450"/>
      <c r="AD17" s="1450"/>
      <c r="AE17" s="1450"/>
      <c r="AF17" s="1450"/>
      <c r="AG17" s="1450"/>
      <c r="AH17" s="1450"/>
      <c r="AI17" s="1450"/>
      <c r="AJ17" s="1450"/>
      <c r="AK17" s="1450"/>
    </row>
    <row r="18" spans="1:37" s="702" customFormat="1" ht="18" customHeight="1">
      <c r="A18" s="2419" t="s">
        <v>2602</v>
      </c>
      <c r="B18" s="680" t="s">
        <v>361</v>
      </c>
      <c r="C18" s="311">
        <f ca="1">ROUND(C14*F18,0)</f>
        <v>0</v>
      </c>
      <c r="D18" s="680" t="s">
        <v>920</v>
      </c>
      <c r="E18" s="680" t="s">
        <v>362</v>
      </c>
      <c r="F18" s="703">
        <f>'数据-取费表'!B36</f>
        <v>1.4999999999999999E-2</v>
      </c>
      <c r="G18" s="2270"/>
      <c r="H18" s="2419" t="s">
        <v>2363</v>
      </c>
      <c r="I18" s="680" t="s">
        <v>928</v>
      </c>
      <c r="J18" s="311">
        <f ca="1">ROUND(J5*M18/(1+'数据-取费表'!C42),0)</f>
        <v>0</v>
      </c>
      <c r="K18" s="2701" t="s">
        <v>929</v>
      </c>
      <c r="L18" s="680" t="s">
        <v>362</v>
      </c>
      <c r="M18" s="703">
        <f>'数据-取费表'!B41</f>
        <v>5.5000000000000007E-2</v>
      </c>
      <c r="N18" s="1450"/>
      <c r="O18" s="1450"/>
      <c r="P18" s="1450"/>
      <c r="Q18" s="1450"/>
      <c r="R18" s="1450"/>
      <c r="S18" s="1450"/>
      <c r="T18" s="1450"/>
      <c r="U18" s="1450"/>
      <c r="V18" s="1450"/>
      <c r="W18" s="1450"/>
      <c r="X18" s="1450"/>
      <c r="Y18" s="1450"/>
      <c r="Z18" s="1450"/>
      <c r="AA18" s="1450"/>
      <c r="AB18" s="1450"/>
      <c r="AC18" s="1450"/>
      <c r="AD18" s="1450"/>
      <c r="AE18" s="1450"/>
      <c r="AF18" s="1450"/>
      <c r="AG18" s="1450"/>
      <c r="AH18" s="1450"/>
      <c r="AI18" s="1450"/>
      <c r="AJ18" s="1450"/>
      <c r="AK18" s="1450"/>
    </row>
    <row r="19" spans="1:37" ht="18" customHeight="1">
      <c r="A19" s="2419" t="s">
        <v>2366</v>
      </c>
      <c r="B19" s="680" t="s">
        <v>363</v>
      </c>
      <c r="C19" s="311">
        <f ca="1">SUM(C14:C18)</f>
        <v>0</v>
      </c>
      <c r="D19" s="467" t="s">
        <v>930</v>
      </c>
      <c r="E19" s="2703"/>
      <c r="F19" s="313"/>
      <c r="G19" s="2269"/>
      <c r="H19" s="2419" t="s">
        <v>2599</v>
      </c>
      <c r="I19" s="680" t="s">
        <v>931</v>
      </c>
      <c r="J19" s="311">
        <f ca="1">IF(K19="按租金收入计税",ROUND(J5*M19,0),ROUND(C29*M19*0.7,0))</f>
        <v>0</v>
      </c>
      <c r="K19" s="1291" t="s">
        <v>2406</v>
      </c>
      <c r="L19" s="680" t="s">
        <v>362</v>
      </c>
      <c r="M19" s="703">
        <f>IF(K19="按租金收入计税",'数据-取费表'!B51,'数据-取费表'!B50)</f>
        <v>1.2E-2</v>
      </c>
    </row>
    <row r="20" spans="1:37" s="702" customFormat="1" ht="18" customHeight="1">
      <c r="A20" s="2419" t="s">
        <v>2603</v>
      </c>
      <c r="B20" s="680" t="s">
        <v>364</v>
      </c>
      <c r="C20" s="311">
        <f ca="1">ROUND(C19*F20,0)</f>
        <v>0</v>
      </c>
      <c r="D20" s="705" t="s">
        <v>932</v>
      </c>
      <c r="E20" s="680" t="s">
        <v>362</v>
      </c>
      <c r="F20" s="703">
        <f>'数据-取费表'!B37</f>
        <v>0.02</v>
      </c>
      <c r="G20" s="2270"/>
      <c r="H20" s="2419" t="s">
        <v>2600</v>
      </c>
      <c r="I20" s="492" t="s">
        <v>933</v>
      </c>
      <c r="J20" s="312">
        <f ca="1">ROUND(M20*M21,0)</f>
        <v>0</v>
      </c>
      <c r="K20" s="706" t="s">
        <v>934</v>
      </c>
      <c r="L20" s="680" t="s">
        <v>935</v>
      </c>
      <c r="M20" s="707">
        <f>'数据-取费表'!B52</f>
        <v>1.5</v>
      </c>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row>
    <row r="21" spans="1:37" s="702" customFormat="1" ht="18" customHeight="1">
      <c r="A21" s="2419" t="s">
        <v>2604</v>
      </c>
      <c r="B21" s="680" t="s">
        <v>936</v>
      </c>
      <c r="C21" s="311" t="s">
        <v>23</v>
      </c>
      <c r="D21" s="705" t="s">
        <v>937</v>
      </c>
      <c r="E21" s="680" t="s">
        <v>938</v>
      </c>
      <c r="F21" s="703">
        <f>'数据-取费表'!B38</f>
        <v>0.02</v>
      </c>
      <c r="G21" s="2270"/>
      <c r="H21" s="708"/>
      <c r="I21" s="689"/>
      <c r="J21" s="316"/>
      <c r="K21" s="709"/>
      <c r="L21" s="680" t="s">
        <v>939</v>
      </c>
      <c r="M21" s="681">
        <f ca="1">INDIRECT("'数据-取费表'!r"&amp;$G$1)</f>
        <v>0</v>
      </c>
      <c r="N21" s="1450"/>
      <c r="O21" s="1450"/>
      <c r="P21" s="1450"/>
      <c r="Q21" s="1450"/>
      <c r="R21" s="1450"/>
      <c r="S21" s="1450"/>
      <c r="T21" s="1450"/>
      <c r="U21" s="1450"/>
      <c r="V21" s="1450"/>
      <c r="W21" s="1450"/>
      <c r="X21" s="1450"/>
      <c r="Y21" s="1450"/>
      <c r="Z21" s="1450"/>
      <c r="AA21" s="1450"/>
      <c r="AB21" s="1450"/>
      <c r="AC21" s="1450"/>
      <c r="AD21" s="1450"/>
      <c r="AE21" s="1450"/>
      <c r="AF21" s="1450"/>
      <c r="AG21" s="1450"/>
      <c r="AH21" s="1450"/>
      <c r="AI21" s="1450"/>
      <c r="AJ21" s="1450"/>
      <c r="AK21" s="1450"/>
    </row>
    <row r="22" spans="1:37" ht="18" customHeight="1">
      <c r="A22" s="2419" t="s">
        <v>2605</v>
      </c>
      <c r="B22" s="680" t="s">
        <v>940</v>
      </c>
      <c r="C22" s="311"/>
      <c r="D22" s="2682" t="str">
        <f>IF(F23&lt;=1,"单利计息。","复利计息。")&amp;"建造成本、管理费用、销售费用产生的利息。"</f>
        <v>复利计息。建造成本、管理费用、销售费用产生的利息。</v>
      </c>
      <c r="E22" s="2703"/>
      <c r="F22" s="313"/>
      <c r="G22" s="2269"/>
      <c r="H22" s="2419" t="s">
        <v>2373</v>
      </c>
      <c r="I22" s="680" t="s">
        <v>941</v>
      </c>
      <c r="J22" s="311">
        <f ca="1">ROUND(J14*M22,0)</f>
        <v>0</v>
      </c>
      <c r="K22" s="2701" t="s">
        <v>942</v>
      </c>
      <c r="L22" s="680" t="s">
        <v>362</v>
      </c>
      <c r="M22" s="710">
        <f ca="1">INDIRECT("'数据-取费表'!Ak"&amp;$G$1)</f>
        <v>0</v>
      </c>
    </row>
    <row r="23" spans="1:37" s="702" customFormat="1" ht="18" customHeight="1">
      <c r="A23" s="2419" t="s">
        <v>2363</v>
      </c>
      <c r="B23" s="680" t="s">
        <v>2519</v>
      </c>
      <c r="C23" s="311">
        <f ca="1">IF('数据-取费表'!B22&lt;=1,ROUND(C19*F24*F23/2,0)+ROUND(C20*F24*F23/2,0),ROUND(C19*(POWER((1+F24),F23/2)-1),0)+ROUND(C20*(POWER((1+F24),F23/2)-1),0))</f>
        <v>0</v>
      </c>
      <c r="D23" s="2686" t="str">
        <f>IF(F23&lt;=1,"(建造成本+管理费用)×利率×(建设周期÷2)","(建造成本+管理费用)×((1+利率)^(建设周期÷2)-1)")</f>
        <v>(建造成本+管理费用)×((1+利率)^(建设周期÷2)-1)</v>
      </c>
      <c r="E23" s="680" t="s">
        <v>943</v>
      </c>
      <c r="F23" s="707">
        <f>'数据-取费表'!B20</f>
        <v>3</v>
      </c>
      <c r="G23" s="2270"/>
      <c r="H23" s="2419" t="s">
        <v>2604</v>
      </c>
      <c r="I23" s="680" t="s">
        <v>365</v>
      </c>
      <c r="J23" s="311">
        <f ca="1">ROUND(J13*M23,0)</f>
        <v>0</v>
      </c>
      <c r="K23" s="2701" t="s">
        <v>366</v>
      </c>
      <c r="L23" s="680" t="s">
        <v>362</v>
      </c>
      <c r="M23" s="712">
        <f ca="1">INDIRECT("'数据-取费表'!Al"&amp;$G$1)</f>
        <v>0</v>
      </c>
      <c r="N23" s="1450"/>
      <c r="O23" s="1450"/>
      <c r="P23" s="1450"/>
      <c r="Q23" s="1450"/>
      <c r="R23" s="1450"/>
      <c r="S23" s="1450"/>
      <c r="T23" s="1450"/>
      <c r="U23" s="1450"/>
      <c r="V23" s="1450"/>
      <c r="W23" s="1450"/>
      <c r="X23" s="1450"/>
      <c r="Y23" s="1450"/>
      <c r="Z23" s="1450"/>
      <c r="AA23" s="1450"/>
      <c r="AB23" s="1450"/>
      <c r="AC23" s="1450"/>
      <c r="AD23" s="1450"/>
      <c r="AE23" s="1450"/>
      <c r="AF23" s="1450"/>
      <c r="AG23" s="1450"/>
      <c r="AH23" s="1450"/>
      <c r="AI23" s="1450"/>
      <c r="AJ23" s="1450"/>
      <c r="AK23" s="1450"/>
    </row>
    <row r="24" spans="1:37" s="702" customFormat="1" ht="18" customHeight="1" thickBot="1">
      <c r="A24" s="2419" t="s">
        <v>2369</v>
      </c>
      <c r="B24" s="680" t="s">
        <v>945</v>
      </c>
      <c r="C24" s="311">
        <f ca="1">ROUND(IF('数据-取费表'!B22&lt;=1,F21*F24*F23/2,F21*(POWER((1+F24),F23/2)-1)),4)</f>
        <v>1.4E-3</v>
      </c>
      <c r="D24" s="2686" t="str">
        <f>IF(F23&lt;=1,"销售费用×利率×(建设周期÷2)","销售费用×((1+利率)^(建设周期÷2)-1)")</f>
        <v>销售费用×((1+利率)^(建设周期÷2)-1)</v>
      </c>
      <c r="E24" s="680" t="s">
        <v>946</v>
      </c>
      <c r="F24" s="713">
        <f ca="1">'数据-取费表'!B40</f>
        <v>4.7500000000000001E-2</v>
      </c>
      <c r="G24" s="2270"/>
      <c r="H24" s="2659" t="s">
        <v>2605</v>
      </c>
      <c r="I24" s="2660" t="s">
        <v>364</v>
      </c>
      <c r="J24" s="2661">
        <f ca="1">ROUND(J5*M24,0)</f>
        <v>0</v>
      </c>
      <c r="K24" s="2662" t="s">
        <v>368</v>
      </c>
      <c r="L24" s="2660" t="s">
        <v>362</v>
      </c>
      <c r="M24" s="2656">
        <f ca="1">INDIRECT("'数据-取费表'!Am"&amp;$G$1)</f>
        <v>0</v>
      </c>
      <c r="N24" s="1450"/>
      <c r="O24" s="1450"/>
      <c r="P24" s="1450"/>
      <c r="Q24" s="1450"/>
      <c r="R24" s="1450"/>
      <c r="S24" s="1450"/>
      <c r="T24" s="1450"/>
      <c r="U24" s="1450"/>
      <c r="V24" s="1450"/>
      <c r="W24" s="1450"/>
      <c r="X24" s="1450"/>
      <c r="Y24" s="1450"/>
      <c r="Z24" s="1450"/>
      <c r="AA24" s="1450"/>
      <c r="AB24" s="1450"/>
      <c r="AC24" s="1450"/>
      <c r="AD24" s="1450"/>
      <c r="AE24" s="1450"/>
      <c r="AF24" s="1450"/>
      <c r="AG24" s="1450"/>
      <c r="AH24" s="1450"/>
      <c r="AI24" s="1450"/>
      <c r="AJ24" s="1450"/>
      <c r="AK24" s="1450"/>
    </row>
    <row r="25" spans="1:37" ht="18" customHeight="1" thickTop="1">
      <c r="A25" s="2419" t="s">
        <v>2370</v>
      </c>
      <c r="B25" s="680" t="s">
        <v>369</v>
      </c>
      <c r="C25" s="311"/>
      <c r="D25" s="467" t="s">
        <v>948</v>
      </c>
      <c r="E25" s="2703"/>
      <c r="F25" s="313"/>
      <c r="G25" s="2269"/>
      <c r="H25" s="2647" t="s">
        <v>2346</v>
      </c>
      <c r="I25" s="2664" t="s">
        <v>374</v>
      </c>
      <c r="J25" s="688">
        <f ca="1">J5-J16</f>
        <v>0</v>
      </c>
      <c r="K25" s="2665" t="s">
        <v>375</v>
      </c>
      <c r="L25" s="2666"/>
      <c r="M25" s="2667"/>
    </row>
    <row r="26" spans="1:37" ht="18" customHeight="1">
      <c r="A26" s="2419" t="s">
        <v>2363</v>
      </c>
      <c r="B26" s="680" t="s">
        <v>2520</v>
      </c>
      <c r="C26" s="311">
        <f ca="1">ROUND((C19+C20)*F26,0)</f>
        <v>0</v>
      </c>
      <c r="D26" s="705" t="s">
        <v>951</v>
      </c>
      <c r="E26" s="691" t="s">
        <v>952</v>
      </c>
      <c r="F26" s="690">
        <f ca="1">INDIRECT("'数据-取费表'!q"&amp;$G$1)</f>
        <v>0</v>
      </c>
      <c r="G26" s="2269"/>
      <c r="H26" s="677" t="s">
        <v>2349</v>
      </c>
      <c r="I26" s="678" t="s">
        <v>953</v>
      </c>
      <c r="J26" s="679">
        <f ca="1">IF(J5&lt;&gt;0,ROUND(J25*(1-((1+M28)/(1+M26))^M27)/(M26-M28),0),0)</f>
        <v>0</v>
      </c>
      <c r="K26" s="706" t="s">
        <v>370</v>
      </c>
      <c r="L26" s="680" t="s">
        <v>371</v>
      </c>
      <c r="M26" s="690">
        <f ca="1">INDIRECT("'数据-取费表'!I"&amp;$G$1)</f>
        <v>0</v>
      </c>
    </row>
    <row r="27" spans="1:37" ht="18" customHeight="1">
      <c r="A27" s="2419" t="s">
        <v>2369</v>
      </c>
      <c r="B27" s="680" t="s">
        <v>372</v>
      </c>
      <c r="C27" s="311">
        <f ca="1">ROUND(F21*F26,4)</f>
        <v>0</v>
      </c>
      <c r="D27" s="705" t="s">
        <v>955</v>
      </c>
      <c r="E27" s="700"/>
      <c r="F27" s="701"/>
      <c r="G27" s="2269"/>
      <c r="H27" s="682"/>
      <c r="I27" s="683"/>
      <c r="J27" s="684"/>
      <c r="K27" s="714" t="s">
        <v>956</v>
      </c>
      <c r="L27" s="680" t="s">
        <v>378</v>
      </c>
      <c r="M27" s="715">
        <f ca="1">INDIRECT("'数据-取费表'!ag"&amp;$G$1)</f>
        <v>0</v>
      </c>
    </row>
    <row r="28" spans="1:37" s="702" customFormat="1" ht="18" customHeight="1">
      <c r="A28" s="2419" t="s">
        <v>2371</v>
      </c>
      <c r="B28" s="680" t="s">
        <v>373</v>
      </c>
      <c r="C28" s="311">
        <f>ROUND(F28/(1+'数据-取费表'!C42),4)</f>
        <v>5.2400000000000002E-2</v>
      </c>
      <c r="D28" s="705" t="s">
        <v>962</v>
      </c>
      <c r="E28" s="680" t="s">
        <v>362</v>
      </c>
      <c r="F28" s="703">
        <f>'数据-取费表'!B41</f>
        <v>5.5000000000000007E-2</v>
      </c>
      <c r="G28" s="2270"/>
      <c r="H28" s="686"/>
      <c r="I28" s="687"/>
      <c r="J28" s="688"/>
      <c r="K28" s="709"/>
      <c r="L28" s="680" t="s">
        <v>379</v>
      </c>
      <c r="M28" s="690">
        <f ca="1">INDIRECT("'数据-取费表'!aa"&amp;$G$1)</f>
        <v>0</v>
      </c>
      <c r="N28" s="1450"/>
      <c r="O28" s="1450"/>
      <c r="P28" s="1450"/>
      <c r="Q28" s="1450"/>
      <c r="R28" s="1450"/>
      <c r="S28" s="1450"/>
      <c r="T28" s="1450"/>
      <c r="U28" s="1450"/>
      <c r="V28" s="1450"/>
      <c r="W28" s="1450"/>
      <c r="X28" s="1450"/>
      <c r="Y28" s="1450"/>
      <c r="Z28" s="1450"/>
      <c r="AA28" s="1450"/>
      <c r="AB28" s="1450"/>
      <c r="AC28" s="1450"/>
      <c r="AD28" s="1450"/>
      <c r="AE28" s="1450"/>
      <c r="AF28" s="1450"/>
      <c r="AG28" s="1450"/>
      <c r="AH28" s="1450"/>
      <c r="AI28" s="1450"/>
      <c r="AJ28" s="1450"/>
      <c r="AK28" s="1450"/>
    </row>
    <row r="29" spans="1:37" s="702" customFormat="1" ht="18" customHeight="1" thickBot="1">
      <c r="A29" s="2659" t="s">
        <v>2372</v>
      </c>
      <c r="B29" s="2660" t="s">
        <v>964</v>
      </c>
      <c r="C29" s="2661">
        <f ca="1">ROUND((C19+C20+C23+C26)/(1-F21-C24-C27-C28),0)</f>
        <v>0</v>
      </c>
      <c r="D29" s="2662"/>
      <c r="E29" s="2660"/>
      <c r="F29" s="2663"/>
      <c r="G29" s="2270"/>
      <c r="H29" s="716" t="s">
        <v>2356</v>
      </c>
      <c r="I29" s="717" t="s">
        <v>957</v>
      </c>
      <c r="J29" s="718">
        <f ca="1">ROUND(J26/(1+F40)^F41,0)</f>
        <v>0</v>
      </c>
      <c r="K29" s="719" t="s">
        <v>958</v>
      </c>
      <c r="L29" s="720"/>
      <c r="M29" s="721">
        <f ca="1">INDIRECT("'数据-取费表'!k"&amp;$G$1)</f>
        <v>0</v>
      </c>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row>
    <row r="30" spans="1:37" ht="18" customHeight="1" thickTop="1">
      <c r="A30" s="2647" t="s">
        <v>2331</v>
      </c>
      <c r="B30" s="2648" t="s">
        <v>922</v>
      </c>
      <c r="C30" s="688">
        <f ca="1">ROUND(C31+C36+C37+C38,0)</f>
        <v>0</v>
      </c>
      <c r="D30" s="2657" t="s">
        <v>923</v>
      </c>
      <c r="E30" s="2658"/>
      <c r="F30" s="2609"/>
      <c r="G30" s="2269"/>
      <c r="H30" s="1268"/>
      <c r="I30" s="1269"/>
      <c r="J30" s="1270"/>
      <c r="K30" s="1271"/>
      <c r="L30" s="1272"/>
      <c r="M30" s="1273"/>
    </row>
    <row r="31" spans="1:37" ht="18" customHeight="1">
      <c r="A31" s="2419" t="s">
        <v>2366</v>
      </c>
      <c r="B31" s="680" t="s">
        <v>360</v>
      </c>
      <c r="C31" s="311">
        <f ca="1">ROUND(IF(项目基本情况!B11="自然人",C5*F31,C32+C33+C34),0)</f>
        <v>0</v>
      </c>
      <c r="D31" s="2700" t="s">
        <v>926</v>
      </c>
      <c r="E31" s="2701" t="s">
        <v>965</v>
      </c>
      <c r="F31" s="704" t="str">
        <f ca="1">IF(项目基本情况!B11="企业","",IF(INDIRECT("'数据-取费表'!c"&amp;$G$1)="住宅",5%,IF(F6*F7*F8/12/(1+'数据-取费表'!C42)&gt;20000,12%,7%)))</f>
        <v/>
      </c>
      <c r="G31" s="2269"/>
      <c r="H31" s="1268"/>
      <c r="I31" s="1269"/>
      <c r="J31" s="1270"/>
      <c r="K31" s="1271"/>
      <c r="L31" s="1272"/>
      <c r="M31" s="1273"/>
    </row>
    <row r="32" spans="1:37" ht="18" customHeight="1">
      <c r="A32" s="2419" t="s">
        <v>2363</v>
      </c>
      <c r="B32" s="680" t="s">
        <v>928</v>
      </c>
      <c r="C32" s="311">
        <f ca="1">IF(项目基本情况!B11="自然人","——",ROUND(C5*F32/(1+'数据-取费表'!C42),0))</f>
        <v>0</v>
      </c>
      <c r="D32" s="2701" t="s">
        <v>929</v>
      </c>
      <c r="E32" s="680" t="s">
        <v>362</v>
      </c>
      <c r="F32" s="713">
        <f>'数据-取费表'!B41</f>
        <v>5.5000000000000007E-2</v>
      </c>
      <c r="G32" s="2269"/>
      <c r="H32" s="1274"/>
      <c r="I32" s="1275"/>
      <c r="J32" s="1276"/>
      <c r="K32" s="1277"/>
      <c r="L32" s="1278"/>
      <c r="M32" s="1279"/>
    </row>
    <row r="33" spans="1:18" ht="18" customHeight="1">
      <c r="A33" s="2419" t="s">
        <v>2599</v>
      </c>
      <c r="B33" s="680" t="s">
        <v>931</v>
      </c>
      <c r="C33" s="311">
        <f ca="1">IF(项目基本情况!B11="自然人","——",IF(D33="按租金收入计税",ROUND(C5*F33,0),IF(D33="按房产原值计税",ROUND(C29*F33*0.7,0),INDIRECT("'数据-取费表'!Aj"&amp;$G$1))))</f>
        <v>0</v>
      </c>
      <c r="D33" s="1291" t="s">
        <v>2406</v>
      </c>
      <c r="E33" s="680" t="s">
        <v>362</v>
      </c>
      <c r="F33" s="703">
        <f>IF(D33="按票据","——",IF(D33="按租金收入计税",'数据-取费表'!B51,'数据-取费表'!B50))</f>
        <v>1.2E-2</v>
      </c>
      <c r="G33" s="2269"/>
      <c r="H33" s="1280"/>
      <c r="I33" s="2862"/>
      <c r="J33" s="2863"/>
      <c r="K33" s="1281"/>
      <c r="L33" s="1280"/>
      <c r="M33" s="1280"/>
    </row>
    <row r="34" spans="1:18" ht="18" customHeight="1">
      <c r="A34" s="2603" t="s">
        <v>2600</v>
      </c>
      <c r="B34" s="492" t="s">
        <v>933</v>
      </c>
      <c r="C34" s="312">
        <f ca="1">IF(项目基本情况!B11="自然人","——",ROUND(F34*F35,))</f>
        <v>0</v>
      </c>
      <c r="D34" s="706" t="s">
        <v>934</v>
      </c>
      <c r="E34" s="680" t="s">
        <v>935</v>
      </c>
      <c r="F34" s="707">
        <f>'数据-取费表'!B52</f>
        <v>1.5</v>
      </c>
      <c r="G34" s="2269"/>
      <c r="H34" s="1268"/>
      <c r="I34" s="2862"/>
      <c r="J34" s="2863"/>
      <c r="K34" s="1282"/>
      <c r="L34" s="1283"/>
      <c r="M34" s="1283"/>
    </row>
    <row r="35" spans="1:18" ht="18" customHeight="1">
      <c r="A35" s="2677"/>
      <c r="B35" s="2675"/>
      <c r="C35" s="316"/>
      <c r="D35" s="709"/>
      <c r="E35" s="680" t="s">
        <v>939</v>
      </c>
      <c r="F35" s="681">
        <f ca="1">INDIRECT("'数据-取费表'!r"&amp;$G$1)</f>
        <v>0</v>
      </c>
      <c r="G35" s="2269"/>
      <c r="H35" s="1268"/>
      <c r="I35" s="2862"/>
      <c r="J35" s="2863"/>
      <c r="K35" s="1281"/>
      <c r="L35" s="1280"/>
      <c r="M35" s="1280"/>
    </row>
    <row r="36" spans="1:18" ht="18" customHeight="1">
      <c r="A36" s="2676" t="s">
        <v>2373</v>
      </c>
      <c r="B36" s="680" t="s">
        <v>941</v>
      </c>
      <c r="C36" s="311">
        <f ca="1">ROUND(C29*F36,0)</f>
        <v>0</v>
      </c>
      <c r="D36" s="2701" t="s">
        <v>971</v>
      </c>
      <c r="E36" s="680" t="s">
        <v>362</v>
      </c>
      <c r="F36" s="710">
        <f ca="1">INDIRECT("'数据-取费表'!Ak"&amp;$G$1)</f>
        <v>0</v>
      </c>
      <c r="G36" s="2269"/>
      <c r="H36" s="1280"/>
      <c r="I36" s="2862"/>
      <c r="J36" s="2863"/>
      <c r="K36" s="1284"/>
      <c r="L36" s="1280"/>
      <c r="M36" s="1280"/>
    </row>
    <row r="37" spans="1:18" ht="18" customHeight="1">
      <c r="A37" s="2419" t="s">
        <v>2604</v>
      </c>
      <c r="B37" s="680" t="s">
        <v>365</v>
      </c>
      <c r="C37" s="311">
        <f ca="1">ROUND(C13*F37,0)</f>
        <v>0</v>
      </c>
      <c r="D37" s="2701" t="s">
        <v>366</v>
      </c>
      <c r="E37" s="680" t="s">
        <v>362</v>
      </c>
      <c r="F37" s="712">
        <f ca="1">INDIRECT("'数据-取费表'!Al"&amp;$G$1)</f>
        <v>0</v>
      </c>
      <c r="G37" s="2269"/>
      <c r="H37" s="1280"/>
      <c r="I37" s="2862"/>
      <c r="J37" s="2863"/>
      <c r="K37" s="1284"/>
      <c r="L37" s="1280"/>
      <c r="M37" s="1280"/>
    </row>
    <row r="38" spans="1:18" ht="18" customHeight="1" thickBot="1">
      <c r="A38" s="2659" t="s">
        <v>2605</v>
      </c>
      <c r="B38" s="2660" t="s">
        <v>364</v>
      </c>
      <c r="C38" s="2661">
        <f ca="1">ROUND(C5*F38,1)</f>
        <v>0</v>
      </c>
      <c r="D38" s="2662" t="s">
        <v>368</v>
      </c>
      <c r="E38" s="2660" t="s">
        <v>362</v>
      </c>
      <c r="F38" s="2656">
        <f ca="1">INDIRECT("'数据-取费表'!Am"&amp;$G$1)</f>
        <v>0</v>
      </c>
      <c r="G38" s="2269"/>
      <c r="H38" s="1280"/>
      <c r="I38" s="2862"/>
      <c r="J38" s="2863"/>
      <c r="K38" s="1285"/>
      <c r="L38" s="1280"/>
      <c r="M38" s="1280"/>
    </row>
    <row r="39" spans="1:18" ht="24.6" customHeight="1" thickTop="1">
      <c r="A39" s="2647" t="s">
        <v>2346</v>
      </c>
      <c r="B39" s="2664" t="s">
        <v>374</v>
      </c>
      <c r="C39" s="688">
        <f ca="1">C5-C30</f>
        <v>0</v>
      </c>
      <c r="D39" s="2665" t="s">
        <v>375</v>
      </c>
      <c r="E39" s="2666"/>
      <c r="F39" s="2667"/>
      <c r="G39" s="2269"/>
      <c r="H39" s="1280"/>
      <c r="I39" s="2862"/>
      <c r="J39" s="2863"/>
      <c r="K39" s="1285"/>
      <c r="L39" s="1280"/>
      <c r="M39" s="1280"/>
    </row>
    <row r="40" spans="1:18" ht="18" customHeight="1">
      <c r="A40" s="677" t="s">
        <v>2349</v>
      </c>
      <c r="B40" s="678" t="s">
        <v>376</v>
      </c>
      <c r="C40" s="679" t="e">
        <f ca="1">ROUND(C39*(1-((1+F42)/(1+F40))^F41)/(F40-F42),0)</f>
        <v>#DIV/0!</v>
      </c>
      <c r="D40" s="706" t="s">
        <v>370</v>
      </c>
      <c r="E40" s="680" t="s">
        <v>371</v>
      </c>
      <c r="F40" s="690">
        <f ca="1">INDIRECT("'数据-取费表'!I"&amp;$G$1)</f>
        <v>0</v>
      </c>
      <c r="G40" s="2269"/>
      <c r="H40" s="1286"/>
      <c r="I40" s="2862"/>
      <c r="J40" s="2863"/>
      <c r="K40" s="1285"/>
      <c r="L40" s="1286"/>
      <c r="M40" s="1286"/>
    </row>
    <row r="41" spans="1:18" ht="18" customHeight="1">
      <c r="A41" s="682"/>
      <c r="B41" s="683"/>
      <c r="C41" s="684"/>
      <c r="D41" s="714" t="s">
        <v>377</v>
      </c>
      <c r="E41" s="680" t="s">
        <v>378</v>
      </c>
      <c r="F41" s="715">
        <f ca="1">IF(INDIRECT("'数据-取费表'!af"&amp;$G$1)=0,INDIRECT("'数据-取费表'!ae"&amp;$G$1),INDIRECT("'数据-取费表'!af"&amp;$G$1))</f>
        <v>0</v>
      </c>
      <c r="G41" s="2269"/>
      <c r="H41" s="1182"/>
      <c r="I41" s="2862"/>
      <c r="J41" s="2863"/>
      <c r="K41" s="1284"/>
      <c r="L41" s="1182"/>
      <c r="M41" s="1182"/>
    </row>
    <row r="42" spans="1:18" ht="18" customHeight="1">
      <c r="A42" s="686"/>
      <c r="B42" s="687"/>
      <c r="C42" s="688"/>
      <c r="D42" s="709"/>
      <c r="E42" s="680" t="s">
        <v>379</v>
      </c>
      <c r="F42" s="690">
        <f ca="1">INDIRECT("'数据-取费表'!v"&amp;$G$1)</f>
        <v>0</v>
      </c>
      <c r="G42" s="2269"/>
      <c r="H42" s="1182"/>
      <c r="I42" s="2862"/>
      <c r="J42" s="2863"/>
      <c r="K42" s="1284"/>
      <c r="L42" s="1182"/>
      <c r="M42" s="1182"/>
    </row>
    <row r="43" spans="1:18" ht="18" customHeight="1" thickBot="1">
      <c r="A43" s="716" t="s">
        <v>2356</v>
      </c>
      <c r="B43" s="717" t="s">
        <v>380</v>
      </c>
      <c r="C43" s="718" t="e">
        <f ca="1">ROUND(C40/F43,0)</f>
        <v>#DIV/0!</v>
      </c>
      <c r="D43" s="719" t="s">
        <v>381</v>
      </c>
      <c r="E43" s="720" t="s">
        <v>382</v>
      </c>
      <c r="F43" s="721">
        <f ca="1">INDIRECT("'数据-取费表'!k"&amp;$G$1)</f>
        <v>0</v>
      </c>
      <c r="G43" s="2269"/>
      <c r="H43" s="1182"/>
      <c r="I43" s="1182"/>
      <c r="J43" s="1182"/>
      <c r="K43" s="1284"/>
      <c r="L43" s="1182"/>
      <c r="M43" s="1182"/>
    </row>
    <row r="44" spans="1:18" s="1444" customFormat="1" ht="18" customHeight="1">
      <c r="A44" s="1422"/>
      <c r="B44" s="1422"/>
      <c r="C44" s="1443"/>
      <c r="D44" s="1422"/>
      <c r="E44" s="1422"/>
      <c r="F44" s="1422"/>
      <c r="K44" s="1445"/>
    </row>
    <row r="45" spans="1:18" s="1444" customFormat="1" ht="18" customHeight="1" thickBot="1">
      <c r="A45" s="1422"/>
      <c r="B45" s="1422"/>
      <c r="C45" s="2708" t="e">
        <f ca="1">C68-C40</f>
        <v>#DIV/0!</v>
      </c>
      <c r="D45" s="2709" t="s">
        <v>2615</v>
      </c>
      <c r="E45" s="1422"/>
      <c r="F45" s="1422"/>
      <c r="O45" s="2572" t="s">
        <v>2479</v>
      </c>
      <c r="P45" s="1286"/>
      <c r="Q45" s="1286"/>
      <c r="R45" s="1286"/>
    </row>
    <row r="46" spans="1:18" s="1444" customFormat="1" ht="21" thickBot="1">
      <c r="A46" s="2377" t="s">
        <v>2318</v>
      </c>
      <c r="B46" s="2378"/>
      <c r="C46" s="2706" t="e">
        <f ca="1">ROUND(C45/10000,0)</f>
        <v>#DIV/0!</v>
      </c>
      <c r="D46" s="2707" t="str">
        <f>C2</f>
        <v>万元</v>
      </c>
      <c r="I46" s="2559" t="s">
        <v>2414</v>
      </c>
      <c r="J46" s="2560"/>
      <c r="K46" s="2561"/>
      <c r="L46" s="2563" t="e">
        <f ca="1">IF(M47="住宅",0,IF(L48&gt;J51,L60,J60))</f>
        <v>#DIV/0!</v>
      </c>
      <c r="O46" s="2575" t="s">
        <v>2457</v>
      </c>
      <c r="P46" s="2576" t="s">
        <v>2458</v>
      </c>
      <c r="Q46" s="2577" t="s">
        <v>2456</v>
      </c>
      <c r="R46" s="2577" t="s">
        <v>2459</v>
      </c>
    </row>
    <row r="47" spans="1:18" s="1444" customFormat="1" ht="15.75" thickBot="1">
      <c r="A47" s="2379" t="s">
        <v>906</v>
      </c>
      <c r="B47" s="2415" t="s">
        <v>907</v>
      </c>
      <c r="C47" s="2415" t="s">
        <v>908</v>
      </c>
      <c r="D47" s="2415" t="s">
        <v>909</v>
      </c>
      <c r="E47" s="2518" t="s">
        <v>910</v>
      </c>
      <c r="F47" s="2519"/>
      <c r="G47" s="1446"/>
      <c r="I47" s="2534" t="s">
        <v>2407</v>
      </c>
      <c r="J47" s="2535"/>
      <c r="K47" s="2544" t="s">
        <v>2430</v>
      </c>
      <c r="L47" s="2545">
        <f ca="1">INDIRECT("'数据-取费表'!d"&amp;$G$1)</f>
        <v>0</v>
      </c>
      <c r="M47" s="2565" t="str">
        <f>IF(ISNUMBER(FIND("住宅",C1)),"住宅","非住宅")</f>
        <v>非住宅</v>
      </c>
      <c r="O47" s="2568" t="s">
        <v>2442</v>
      </c>
      <c r="P47" s="2578" t="s">
        <v>2460</v>
      </c>
      <c r="Q47" s="2569" t="e">
        <f ca="1">C40+J29</f>
        <v>#DIV/0!</v>
      </c>
      <c r="R47" s="2569" t="s">
        <v>2461</v>
      </c>
    </row>
    <row r="48" spans="1:18" s="1444" customFormat="1" ht="47.25" thickBot="1">
      <c r="A48" s="2692" t="s">
        <v>2610</v>
      </c>
      <c r="B48" s="678" t="s">
        <v>2325</v>
      </c>
      <c r="C48" s="2702">
        <f ca="1">C49+C53+C55</f>
        <v>0</v>
      </c>
      <c r="D48" s="2696"/>
      <c r="E48" s="2697"/>
      <c r="F48" s="2399"/>
      <c r="G48" s="1446"/>
      <c r="H48" s="1447"/>
      <c r="I48" s="2525" t="s">
        <v>2408</v>
      </c>
      <c r="J48" s="2536"/>
      <c r="K48" s="2546" t="s">
        <v>680</v>
      </c>
      <c r="L48" s="2149">
        <f ca="1">INDIRECT("'数据-取费表'!f"&amp;$G$1)</f>
        <v>0</v>
      </c>
      <c r="O48" s="2568" t="s">
        <v>2443</v>
      </c>
      <c r="P48" s="2578" t="s">
        <v>2462</v>
      </c>
      <c r="Q48" s="2569" t="e">
        <f ca="1">J60</f>
        <v>#DIV/0!</v>
      </c>
      <c r="R48" s="2569" t="s">
        <v>2470</v>
      </c>
    </row>
    <row r="49" spans="1:18" s="1444" customFormat="1" ht="15.75" thickBot="1">
      <c r="A49" s="2412" t="s">
        <v>2611</v>
      </c>
      <c r="B49" s="2695" t="s">
        <v>2613</v>
      </c>
      <c r="C49" s="2704">
        <f ca="1">ROUND(F49*F51*F50*(1-F52),0)</f>
        <v>0</v>
      </c>
      <c r="D49" s="2514" t="s">
        <v>2326</v>
      </c>
      <c r="E49" s="2517" t="s">
        <v>2319</v>
      </c>
      <c r="F49" s="2520"/>
      <c r="G49" s="1448"/>
      <c r="H49" s="1447"/>
      <c r="I49" s="2525" t="s">
        <v>2428</v>
      </c>
      <c r="J49" s="2537"/>
      <c r="K49" s="2547" t="s">
        <v>2433</v>
      </c>
      <c r="L49" s="2548"/>
      <c r="O49" s="2570" t="s">
        <v>2444</v>
      </c>
      <c r="P49" s="2578" t="s">
        <v>2463</v>
      </c>
      <c r="Q49" s="2569">
        <f ca="1">C29</f>
        <v>0</v>
      </c>
      <c r="R49" s="2569" t="s">
        <v>2461</v>
      </c>
    </row>
    <row r="50" spans="1:18" s="1444" customFormat="1" ht="15.75" thickBot="1">
      <c r="A50" s="2413"/>
      <c r="B50" s="2416"/>
      <c r="C50" s="2417"/>
      <c r="D50" s="2386"/>
      <c r="E50" s="2515" t="s">
        <v>912</v>
      </c>
      <c r="F50" s="2516">
        <f ca="1">F7</f>
        <v>0</v>
      </c>
      <c r="H50" s="1447"/>
      <c r="I50" s="2525" t="s">
        <v>2410</v>
      </c>
      <c r="J50" s="2538">
        <f>SUMPRODUCT((I63:I65=J47)*(J62:L62=J48)*(J63:L65))</f>
        <v>0</v>
      </c>
      <c r="K50" s="2547" t="s">
        <v>2434</v>
      </c>
      <c r="L50" s="2548"/>
      <c r="M50" s="2542"/>
      <c r="O50" s="2570" t="s">
        <v>2445</v>
      </c>
      <c r="P50" s="2578" t="s">
        <v>2471</v>
      </c>
      <c r="Q50" s="2571" t="e">
        <f ca="1">J58</f>
        <v>#DIV/0!</v>
      </c>
      <c r="R50" s="2569"/>
    </row>
    <row r="51" spans="1:18" s="1444" customFormat="1" ht="15.75" thickBot="1">
      <c r="A51" s="2414"/>
      <c r="B51" s="2416"/>
      <c r="C51" s="2417"/>
      <c r="D51" s="2386"/>
      <c r="E51" s="2418" t="s">
        <v>913</v>
      </c>
      <c r="F51" s="681">
        <f ca="1">F8</f>
        <v>0</v>
      </c>
      <c r="I51" s="2539" t="s">
        <v>2415</v>
      </c>
      <c r="J51" s="2540">
        <f>IF(J49="",J50,J49+J50-YEAR('数据-取费表'!B2))</f>
        <v>0</v>
      </c>
      <c r="K51" s="2549" t="s">
        <v>2435</v>
      </c>
      <c r="L51" s="2562">
        <f ca="1">ROUND(-PV(INDIRECT("'数据-取费表'!h"&amp;$G$1),L48,(C39-C13*C76),0),0)</f>
        <v>0</v>
      </c>
      <c r="M51" s="2543"/>
      <c r="O51" s="2570" t="s">
        <v>2446</v>
      </c>
      <c r="P51" s="2578" t="s">
        <v>2472</v>
      </c>
      <c r="Q51" s="2571">
        <f>J52</f>
        <v>0</v>
      </c>
      <c r="R51" s="2569"/>
    </row>
    <row r="52" spans="1:18" s="1444" customFormat="1" ht="15.75" thickBot="1">
      <c r="A52" s="2414"/>
      <c r="B52" s="2416"/>
      <c r="C52" s="2417"/>
      <c r="D52" s="2386"/>
      <c r="E52" s="2418" t="s">
        <v>914</v>
      </c>
      <c r="F52" s="2513"/>
      <c r="I52" s="2541" t="s">
        <v>2438</v>
      </c>
      <c r="J52" s="2555"/>
      <c r="K52" s="2541" t="s">
        <v>2423</v>
      </c>
      <c r="L52" s="2555"/>
      <c r="M52" s="2378"/>
      <c r="O52" s="2570" t="s">
        <v>2447</v>
      </c>
      <c r="P52" s="2578" t="s">
        <v>2464</v>
      </c>
      <c r="Q52" s="2569">
        <f ca="1">J53</f>
        <v>0</v>
      </c>
      <c r="R52" s="2569" t="s">
        <v>2465</v>
      </c>
    </row>
    <row r="53" spans="1:18" s="1444" customFormat="1" ht="43.5" thickBot="1">
      <c r="A53" s="2693" t="s">
        <v>2612</v>
      </c>
      <c r="B53" s="2694" t="s">
        <v>2522</v>
      </c>
      <c r="C53" s="694">
        <f ca="1">ROUND(IF(F53="押一",F49*F51*F50/12*F11,IF(F53="押二",F49*F51*F50/12*2*F11,IF(F53="押三",F49*F51*F50/12*3*F11,C54*F11))),0)</f>
        <v>0</v>
      </c>
      <c r="D53" s="2615" t="s">
        <v>2530</v>
      </c>
      <c r="E53" s="2078" t="s">
        <v>2524</v>
      </c>
      <c r="F53" s="2809"/>
      <c r="I53" s="2551" t="s">
        <v>2440</v>
      </c>
      <c r="J53" s="2552">
        <f ca="1">IF(M47="住宅",J51,MIN(J51,L48))</f>
        <v>0</v>
      </c>
      <c r="K53" s="3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4"/>
      <c r="O53" s="2568" t="s">
        <v>2448</v>
      </c>
      <c r="P53" s="2578" t="s">
        <v>2466</v>
      </c>
      <c r="Q53" s="2569" t="e">
        <f ca="1">Q47+Q48</f>
        <v>#DIV/0!</v>
      </c>
      <c r="R53" s="2569" t="s">
        <v>2449</v>
      </c>
    </row>
    <row r="54" spans="1:18" s="1444" customFormat="1" ht="16.5" thickBot="1">
      <c r="A54" s="2412"/>
      <c r="B54" s="2806" t="s">
        <v>2687</v>
      </c>
      <c r="C54" s="2396"/>
      <c r="D54" s="2615"/>
      <c r="E54" s="2759"/>
      <c r="F54" s="2521"/>
      <c r="I54" s="2393"/>
      <c r="J54" s="2550"/>
      <c r="K54" s="2550"/>
      <c r="L54" s="2550"/>
      <c r="M54" s="1448"/>
      <c r="O54" s="2572" t="s">
        <v>2473</v>
      </c>
      <c r="P54" s="1286"/>
      <c r="Q54" s="1286"/>
      <c r="R54" s="1286"/>
    </row>
    <row r="55" spans="1:18" s="1444" customFormat="1" ht="15.75" thickBot="1">
      <c r="A55" s="2651" t="s">
        <v>2535</v>
      </c>
      <c r="B55" s="2652" t="s">
        <v>2523</v>
      </c>
      <c r="C55" s="2653"/>
      <c r="D55" s="2615"/>
      <c r="E55" s="2698"/>
      <c r="F55" s="2521"/>
      <c r="I55" s="3296" t="s">
        <v>2416</v>
      </c>
      <c r="J55" s="3295" t="e">
        <f ca="1">ROUND(IF(J47="钢混",J57/J50,1-(1-2%)*(J50-J57)/J50),3)</f>
        <v>#DIV/0!</v>
      </c>
      <c r="K55" s="2532" t="s">
        <v>2417</v>
      </c>
      <c r="L55" s="2554"/>
      <c r="O55" s="2575" t="s">
        <v>2457</v>
      </c>
      <c r="P55" s="2576" t="s">
        <v>2458</v>
      </c>
      <c r="Q55" s="2577" t="s">
        <v>2456</v>
      </c>
      <c r="R55" s="2577" t="s">
        <v>2459</v>
      </c>
    </row>
    <row r="56" spans="1:18" s="1444" customFormat="1" ht="44.25" thickTop="1" thickBot="1">
      <c r="A56" s="2390">
        <v>2</v>
      </c>
      <c r="B56" s="2391" t="s">
        <v>915</v>
      </c>
      <c r="C56" s="604">
        <f ca="1">C13</f>
        <v>0</v>
      </c>
      <c r="D56" s="2679"/>
      <c r="E56" s="2392"/>
      <c r="F56" s="2521"/>
      <c r="I56" s="2524" t="s">
        <v>2418</v>
      </c>
      <c r="J56" s="2553"/>
      <c r="K56" s="2525" t="s">
        <v>2422</v>
      </c>
      <c r="L56" s="2149">
        <f ca="1">IF(L48&lt;J51,"——",L48-J51)</f>
        <v>0</v>
      </c>
      <c r="O56" s="2568" t="s">
        <v>2442</v>
      </c>
      <c r="P56" s="2578" t="s">
        <v>2460</v>
      </c>
      <c r="Q56" s="2569" t="e">
        <f ca="1">C40+J29</f>
        <v>#DIV/0!</v>
      </c>
      <c r="R56" s="2569" t="s">
        <v>2461</v>
      </c>
    </row>
    <row r="57" spans="1:18" s="1444" customFormat="1" ht="29.25" thickBot="1">
      <c r="A57" s="2522"/>
      <c r="B57" s="2383" t="s">
        <v>964</v>
      </c>
      <c r="C57" s="610">
        <f ca="1">C29</f>
        <v>0</v>
      </c>
      <c r="D57" s="2394"/>
      <c r="E57" s="2395"/>
      <c r="F57" s="2523"/>
      <c r="I57" s="2526" t="s">
        <v>2439</v>
      </c>
      <c r="J57" s="2530">
        <f ca="1">IF(OR(M47="住宅",J51&lt;L48,J56="是"),"——",J51-L48)</f>
        <v>0</v>
      </c>
      <c r="K57" s="2525" t="s">
        <v>2432</v>
      </c>
      <c r="L57" s="2149">
        <f ca="1">IF(L48&lt;J51,"——",IF(L55="比较法",L49,IF(L55="基准地价",L50,L51)))</f>
        <v>0</v>
      </c>
      <c r="O57" s="2568" t="s">
        <v>2443</v>
      </c>
      <c r="P57" s="2578" t="s">
        <v>2467</v>
      </c>
      <c r="Q57" s="2569" t="e">
        <f ca="1">L60</f>
        <v>#DIV/0!</v>
      </c>
      <c r="R57" s="2569" t="s">
        <v>2482</v>
      </c>
    </row>
    <row r="58" spans="1:18" s="1444" customFormat="1" ht="29.25" thickBot="1">
      <c r="A58" s="693" t="s">
        <v>2331</v>
      </c>
      <c r="B58" s="2391" t="s">
        <v>922</v>
      </c>
      <c r="C58" s="694">
        <f ca="1">ROUND(C59+C64+C65+C66,0)</f>
        <v>0</v>
      </c>
      <c r="D58" s="2397" t="s">
        <v>923</v>
      </c>
      <c r="E58" s="2398"/>
      <c r="F58" s="2399"/>
      <c r="I58" s="2526" t="s">
        <v>2419</v>
      </c>
      <c r="J58" s="3297" t="e">
        <f ca="1">IF(J55&lt;0.4,0.4,J55)</f>
        <v>#DIV/0!</v>
      </c>
      <c r="K58" s="2549" t="s">
        <v>2441</v>
      </c>
      <c r="L58" s="2149">
        <f ca="1">IF(ISERROR(POWER(1+L52,L47-L48)*(POWER(1+L52,L48)-1)/(POWER(1+L52,L47)-1)),0,POWER(1+L52,L47-L48)*(POWER(1+L52,L48)-1)/(POWER(1+L52,L47)-1))</f>
        <v>0</v>
      </c>
      <c r="O58" s="2570" t="s">
        <v>2444</v>
      </c>
      <c r="P58" s="2578" t="s">
        <v>2474</v>
      </c>
      <c r="Q58" s="2569">
        <f>IF(L55="比较法",L49,IF(L55="基准地价",L50,0))</f>
        <v>0</v>
      </c>
      <c r="R58" s="2569" t="s">
        <v>2461</v>
      </c>
    </row>
    <row r="59" spans="1:18" s="1444" customFormat="1" ht="29.25" thickBot="1">
      <c r="A59" s="2419" t="s">
        <v>2366</v>
      </c>
      <c r="B59" s="2383" t="s">
        <v>360</v>
      </c>
      <c r="C59" s="311">
        <f ca="1">ROUND(IF(项目基本情况!B11="自然人",C48*F59,C60+C61+C62),0)</f>
        <v>0</v>
      </c>
      <c r="D59" s="2400" t="s">
        <v>926</v>
      </c>
      <c r="E59" s="2401" t="s">
        <v>927</v>
      </c>
      <c r="F59" s="704" t="str">
        <f ca="1">IF(项目基本情况!B11="企业","",IF(INDIRECT("'数据-取费表'!c"&amp;$G$1)="住宅",5%,IF(F49*F50*F51/12/(1+'数据-取费表'!C42)&gt;20000,12%,7%)))</f>
        <v/>
      </c>
      <c r="I59" s="2526" t="s">
        <v>2420</v>
      </c>
      <c r="J59" s="2530" t="e">
        <f ca="1">IF(OR(M47="住宅",J51&lt;L48,J56="是"),"——",ROUND(C29*J58,0))</f>
        <v>#DIV/0!</v>
      </c>
      <c r="K59" s="2549" t="s">
        <v>2429</v>
      </c>
      <c r="L59" s="2149">
        <f ca="1">IF(ISERROR(POWER(1+L52,L47-J51)*(POWER(1+L52,J51)-1)/(POWER(1+L52,L47)-1)),0,POWER(1+L52,L47-J51)*(POWER(1+L52,J51)-1)/(POWER(1+L52,L47)-1))</f>
        <v>0</v>
      </c>
      <c r="O59" s="2570" t="s">
        <v>2445</v>
      </c>
      <c r="P59" s="2578" t="s">
        <v>2475</v>
      </c>
      <c r="Q59" s="2571">
        <f>L52</f>
        <v>0</v>
      </c>
      <c r="R59" s="2569"/>
    </row>
    <row r="60" spans="1:18" s="1444" customFormat="1" ht="20.25" thickBot="1">
      <c r="A60" s="2419" t="s">
        <v>2363</v>
      </c>
      <c r="B60" s="2383" t="s">
        <v>928</v>
      </c>
      <c r="C60" s="311">
        <f ca="1">IF(项目基本情况!B11="自然人","——",ROUND(C48*F60/(1+'数据-取费表'!C42),0))</f>
        <v>0</v>
      </c>
      <c r="D60" s="2401" t="s">
        <v>929</v>
      </c>
      <c r="E60" s="2383" t="s">
        <v>362</v>
      </c>
      <c r="F60" s="713">
        <f t="shared" ref="F60:F66" si="0">F32</f>
        <v>5.5000000000000007E-2</v>
      </c>
      <c r="I60" s="2527" t="s">
        <v>2421</v>
      </c>
      <c r="J60" s="2531" t="e">
        <f ca="1">IF(OR(M47="住宅",J51&lt;L48,J56="是"),"0",ROUND(J59/(1+J52)^J53,0))</f>
        <v>#DIV/0!</v>
      </c>
      <c r="K60" s="2533" t="s">
        <v>2424</v>
      </c>
      <c r="L60" s="2531" t="e">
        <f ca="1">IF(OR(M47="住宅",L48&lt;J51),0,ROUND(L57*(L58/L59-1),0))</f>
        <v>#DIV/0!</v>
      </c>
      <c r="O60" s="2570" t="s">
        <v>2446</v>
      </c>
      <c r="P60" s="2578" t="s">
        <v>2476</v>
      </c>
      <c r="Q60" s="2569">
        <f ca="1">L58</f>
        <v>0</v>
      </c>
      <c r="R60" s="2569" t="s">
        <v>2451</v>
      </c>
    </row>
    <row r="61" spans="1:18" s="1444" customFormat="1" ht="20.25" thickBot="1">
      <c r="A61" s="2419" t="s">
        <v>2364</v>
      </c>
      <c r="B61" s="2383" t="s">
        <v>931</v>
      </c>
      <c r="C61" s="311">
        <f ca="1">IF(项目基本情况!B11="自然人","——",IF(D61="按租金收入计税",ROUND(C48*F61,0),IF(D61="按房产原值计税",ROUND(C57*F61*0.7,0),INDIRECT("'数据-取费表'!Aj"&amp;$G$1))))</f>
        <v>0</v>
      </c>
      <c r="D61" s="1291" t="s">
        <v>2406</v>
      </c>
      <c r="E61" s="2383" t="s">
        <v>362</v>
      </c>
      <c r="F61" s="703">
        <f t="shared" si="0"/>
        <v>1.2E-2</v>
      </c>
      <c r="I61" s="2393"/>
      <c r="J61" s="2393"/>
      <c r="K61" s="2393"/>
      <c r="L61" s="2393"/>
      <c r="O61" s="2570" t="s">
        <v>2447</v>
      </c>
      <c r="P61" s="2578" t="s">
        <v>2477</v>
      </c>
      <c r="Q61" s="2569">
        <f ca="1">L59</f>
        <v>0</v>
      </c>
      <c r="R61" s="2569" t="s">
        <v>2452</v>
      </c>
    </row>
    <row r="62" spans="1:18" s="1444" customFormat="1" ht="15.75" thickBot="1">
      <c r="A62" s="2419" t="s">
        <v>2365</v>
      </c>
      <c r="B62" s="2382" t="s">
        <v>933</v>
      </c>
      <c r="C62" s="312">
        <f ca="1">IF(项目基本情况!B11="自然人","——",ROUND(F62*F63,0))</f>
        <v>0</v>
      </c>
      <c r="D62" s="2402" t="s">
        <v>934</v>
      </c>
      <c r="E62" s="2383" t="s">
        <v>935</v>
      </c>
      <c r="F62" s="707">
        <f t="shared" si="0"/>
        <v>1.5</v>
      </c>
      <c r="I62" s="2528" t="s">
        <v>2411</v>
      </c>
      <c r="J62" s="2529" t="s">
        <v>2412</v>
      </c>
      <c r="K62" s="2529" t="s">
        <v>2413</v>
      </c>
      <c r="L62" s="2529" t="s">
        <v>2409</v>
      </c>
      <c r="M62" s="3298" t="s">
        <v>3026</v>
      </c>
      <c r="O62" s="2568" t="s">
        <v>2448</v>
      </c>
      <c r="P62" s="2578" t="s">
        <v>2466</v>
      </c>
      <c r="Q62" s="2569" t="e">
        <f ca="1">Q56+Q57</f>
        <v>#DIV/0!</v>
      </c>
      <c r="R62" s="2569" t="s">
        <v>2449</v>
      </c>
    </row>
    <row r="63" spans="1:18" s="1444" customFormat="1" ht="16.5" thickBot="1">
      <c r="A63" s="708"/>
      <c r="B63" s="2389"/>
      <c r="C63" s="316"/>
      <c r="D63" s="2403"/>
      <c r="E63" s="2383" t="s">
        <v>939</v>
      </c>
      <c r="F63" s="681">
        <f t="shared" ca="1" si="0"/>
        <v>0</v>
      </c>
      <c r="I63" s="2528" t="s">
        <v>2425</v>
      </c>
      <c r="J63" s="3301">
        <v>70</v>
      </c>
      <c r="K63" s="3301">
        <v>50</v>
      </c>
      <c r="L63" s="3301">
        <v>80</v>
      </c>
      <c r="M63" s="3299">
        <v>0.02</v>
      </c>
      <c r="O63" s="2572" t="s">
        <v>2480</v>
      </c>
      <c r="P63" s="1286"/>
      <c r="Q63" s="1286"/>
      <c r="R63" s="1286"/>
    </row>
    <row r="64" spans="1:18" s="1444" customFormat="1" ht="15.75" thickBot="1">
      <c r="A64" s="2419" t="s">
        <v>2373</v>
      </c>
      <c r="B64" s="2383" t="s">
        <v>941</v>
      </c>
      <c r="C64" s="311">
        <f ca="1">ROUND(C57*F64,0)</f>
        <v>0</v>
      </c>
      <c r="D64" s="2401" t="s">
        <v>971</v>
      </c>
      <c r="E64" s="2383" t="s">
        <v>362</v>
      </c>
      <c r="F64" s="710">
        <f t="shared" ca="1" si="0"/>
        <v>0</v>
      </c>
      <c r="I64" s="2528" t="s">
        <v>107</v>
      </c>
      <c r="J64" s="3301">
        <v>50</v>
      </c>
      <c r="K64" s="3301">
        <v>35</v>
      </c>
      <c r="L64" s="3301">
        <v>60</v>
      </c>
      <c r="M64" s="3300">
        <v>0</v>
      </c>
      <c r="O64" s="2575" t="s">
        <v>2457</v>
      </c>
      <c r="P64" s="2576" t="s">
        <v>2458</v>
      </c>
      <c r="Q64" s="2577" t="s">
        <v>2456</v>
      </c>
      <c r="R64" s="2577" t="s">
        <v>2459</v>
      </c>
    </row>
    <row r="65" spans="1:18" s="1444" customFormat="1" ht="15.75" thickBot="1">
      <c r="A65" s="2419" t="s">
        <v>2367</v>
      </c>
      <c r="B65" s="2383" t="s">
        <v>365</v>
      </c>
      <c r="C65" s="311">
        <f ca="1">ROUND(C56*F65,0)</f>
        <v>0</v>
      </c>
      <c r="D65" s="2401" t="s">
        <v>366</v>
      </c>
      <c r="E65" s="2383" t="s">
        <v>362</v>
      </c>
      <c r="F65" s="712">
        <f t="shared" ca="1" si="0"/>
        <v>0</v>
      </c>
      <c r="I65" s="2528" t="s">
        <v>2427</v>
      </c>
      <c r="J65" s="3301">
        <v>40</v>
      </c>
      <c r="K65" s="3301">
        <v>30</v>
      </c>
      <c r="L65" s="3301">
        <v>50</v>
      </c>
      <c r="M65" s="3299">
        <v>0.02</v>
      </c>
      <c r="O65" s="2568" t="s">
        <v>2442</v>
      </c>
      <c r="P65" s="2578" t="s">
        <v>2460</v>
      </c>
      <c r="Q65" s="2569" t="e">
        <f ca="1">C40+J29</f>
        <v>#DIV/0!</v>
      </c>
      <c r="R65" s="2569" t="s">
        <v>2461</v>
      </c>
    </row>
    <row r="66" spans="1:18" s="1444" customFormat="1" ht="20.25" thickBot="1">
      <c r="A66" s="2419" t="s">
        <v>2368</v>
      </c>
      <c r="B66" s="2383" t="s">
        <v>364</v>
      </c>
      <c r="C66" s="311">
        <f ca="1">ROUND(C48*F66,0)</f>
        <v>0</v>
      </c>
      <c r="D66" s="2401" t="s">
        <v>368</v>
      </c>
      <c r="E66" s="2383" t="s">
        <v>362</v>
      </c>
      <c r="F66" s="690">
        <f t="shared" ca="1" si="0"/>
        <v>0</v>
      </c>
      <c r="O66" s="2568" t="s">
        <v>2443</v>
      </c>
      <c r="P66" s="2578" t="s">
        <v>2467</v>
      </c>
      <c r="Q66" s="2569" t="e">
        <f ca="1">L60</f>
        <v>#DIV/0!</v>
      </c>
      <c r="R66" s="2569" t="s">
        <v>2450</v>
      </c>
    </row>
    <row r="67" spans="1:18" s="1444" customFormat="1" ht="24.75" thickBot="1">
      <c r="A67" s="2390" t="s">
        <v>2346</v>
      </c>
      <c r="B67" s="2404" t="s">
        <v>374</v>
      </c>
      <c r="C67" s="694">
        <f ca="1">C48-C58</f>
        <v>0</v>
      </c>
      <c r="D67" s="2400" t="s">
        <v>375</v>
      </c>
      <c r="E67" s="2405"/>
      <c r="F67" s="2406"/>
      <c r="O67" s="2570" t="s">
        <v>2444</v>
      </c>
      <c r="P67" s="2578" t="s">
        <v>2474</v>
      </c>
      <c r="Q67" s="2573">
        <f ca="1">L51</f>
        <v>0</v>
      </c>
      <c r="R67" s="2574" t="s">
        <v>2484</v>
      </c>
    </row>
    <row r="68" spans="1:18" s="1444" customFormat="1" ht="20.25" thickBot="1">
      <c r="A68" s="2380" t="s">
        <v>2349</v>
      </c>
      <c r="B68" s="2381" t="s">
        <v>376</v>
      </c>
      <c r="C68" s="679" t="e">
        <f ca="1">ROUND(C67*(1-((1+F70)/(1+F68))^F69)/(F68-F70),0)</f>
        <v>#DIV/0!</v>
      </c>
      <c r="D68" s="2402" t="s">
        <v>370</v>
      </c>
      <c r="E68" s="2383" t="s">
        <v>371</v>
      </c>
      <c r="F68" s="690">
        <f ca="1">F40</f>
        <v>0</v>
      </c>
      <c r="O68" s="2570" t="s">
        <v>2445</v>
      </c>
      <c r="P68" s="2579" t="s">
        <v>2478</v>
      </c>
      <c r="Q68" s="2569">
        <f ca="1">ROUND(Q69-Q70*Q71,0)</f>
        <v>0</v>
      </c>
      <c r="R68" s="2569" t="s">
        <v>2483</v>
      </c>
    </row>
    <row r="69" spans="1:18" s="1444" customFormat="1" ht="15.75" thickBot="1">
      <c r="A69" s="2384"/>
      <c r="B69" s="2385"/>
      <c r="C69" s="684"/>
      <c r="D69" s="2407" t="s">
        <v>956</v>
      </c>
      <c r="E69" s="2383" t="s">
        <v>378</v>
      </c>
      <c r="F69" s="715">
        <f ca="1">F41</f>
        <v>0</v>
      </c>
      <c r="O69" s="2570" t="s">
        <v>2453</v>
      </c>
      <c r="P69" s="2579" t="s">
        <v>2468</v>
      </c>
      <c r="Q69" s="2569">
        <f ca="1">C39</f>
        <v>0</v>
      </c>
      <c r="R69" s="2569" t="s">
        <v>2461</v>
      </c>
    </row>
    <row r="70" spans="1:18" s="1444" customFormat="1" ht="15.75" thickBot="1">
      <c r="A70" s="2387"/>
      <c r="B70" s="2388"/>
      <c r="C70" s="688"/>
      <c r="D70" s="2403"/>
      <c r="E70" s="2383" t="s">
        <v>379</v>
      </c>
      <c r="F70" s="2513">
        <f ca="1">F42</f>
        <v>0</v>
      </c>
      <c r="O70" s="2570" t="s">
        <v>2454</v>
      </c>
      <c r="P70" s="2579" t="s">
        <v>2469</v>
      </c>
      <c r="Q70" s="2569">
        <f ca="1">C13</f>
        <v>0</v>
      </c>
      <c r="R70" s="2569" t="s">
        <v>2461</v>
      </c>
    </row>
    <row r="71" spans="1:18" s="1444" customFormat="1" ht="15.75" thickBot="1">
      <c r="A71" s="2408" t="s">
        <v>2356</v>
      </c>
      <c r="B71" s="2409" t="s">
        <v>380</v>
      </c>
      <c r="C71" s="718" t="e">
        <f ca="1">ROUND(C68/F71,0)</f>
        <v>#DIV/0!</v>
      </c>
      <c r="D71" s="2410" t="s">
        <v>381</v>
      </c>
      <c r="E71" s="2411" t="s">
        <v>382</v>
      </c>
      <c r="F71" s="721">
        <f ca="1">F43</f>
        <v>0</v>
      </c>
      <c r="I71" s="2378"/>
      <c r="K71" s="2378"/>
      <c r="O71" s="2570" t="s">
        <v>2455</v>
      </c>
      <c r="P71" s="2579" t="s">
        <v>2481</v>
      </c>
      <c r="Q71" s="2571">
        <f ca="1">C76</f>
        <v>0</v>
      </c>
      <c r="R71" s="2569"/>
    </row>
    <row r="72" spans="1:18" s="1444" customFormat="1" ht="15.75" thickBot="1">
      <c r="B72" s="1449"/>
      <c r="C72" s="1449"/>
      <c r="I72" s="2378"/>
      <c r="O72" s="2570" t="s">
        <v>2446</v>
      </c>
      <c r="P72" s="2578" t="s">
        <v>2475</v>
      </c>
      <c r="Q72" s="2571">
        <f>L52</f>
        <v>0</v>
      </c>
      <c r="R72" s="2569"/>
    </row>
    <row r="73" spans="1:18" ht="20.25" thickBot="1">
      <c r="A73" s="1444"/>
      <c r="B73" s="1449"/>
      <c r="C73" s="1449"/>
      <c r="D73" s="1444"/>
      <c r="E73" s="1444"/>
      <c r="F73" s="1444"/>
      <c r="I73" s="2564"/>
      <c r="O73" s="2570" t="s">
        <v>2447</v>
      </c>
      <c r="P73" s="2578" t="s">
        <v>2476</v>
      </c>
      <c r="Q73" s="2569">
        <f ca="1">L58</f>
        <v>0</v>
      </c>
      <c r="R73" s="2569" t="s">
        <v>2451</v>
      </c>
    </row>
    <row r="74" spans="1:18" ht="20.25" thickBot="1">
      <c r="A74" s="1444"/>
      <c r="B74" s="723" t="s">
        <v>383</v>
      </c>
      <c r="C74" s="724"/>
      <c r="D74" s="1444"/>
      <c r="E74" s="1444"/>
      <c r="F74" s="1444"/>
      <c r="O74" s="2570" t="s">
        <v>2485</v>
      </c>
      <c r="P74" s="2578" t="s">
        <v>2477</v>
      </c>
      <c r="Q74" s="2569">
        <f ca="1">L59</f>
        <v>0</v>
      </c>
      <c r="R74" s="2569" t="s">
        <v>2452</v>
      </c>
    </row>
    <row r="75" spans="1:18" ht="15.75" thickBot="1">
      <c r="A75" s="1444"/>
      <c r="B75" s="725" t="s">
        <v>969</v>
      </c>
      <c r="C75" s="726">
        <f ca="1">ROUND(C13*C76,0)</f>
        <v>0</v>
      </c>
      <c r="D75" s="1444"/>
      <c r="E75" s="1444"/>
      <c r="F75" s="1444"/>
      <c r="K75" s="1445"/>
      <c r="L75" s="1444"/>
      <c r="O75" s="2568" t="s">
        <v>2448</v>
      </c>
      <c r="P75" s="2578" t="s">
        <v>2466</v>
      </c>
      <c r="Q75" s="2569" t="e">
        <f ca="1">Q65+Q66</f>
        <v>#DIV/0!</v>
      </c>
      <c r="R75" s="2569" t="s">
        <v>2449</v>
      </c>
    </row>
    <row r="76" spans="1:18">
      <c r="B76" s="727" t="s">
        <v>970</v>
      </c>
      <c r="C76" s="728">
        <f ca="1">INDIRECT("'数据-取费表'!j"&amp;$G$1)</f>
        <v>0</v>
      </c>
      <c r="I76" s="1444"/>
      <c r="J76" s="1444"/>
      <c r="K76" s="1445"/>
      <c r="L76" s="1444"/>
    </row>
    <row r="77" spans="1:18">
      <c r="B77" s="729" t="s">
        <v>973</v>
      </c>
      <c r="C77" s="730"/>
      <c r="I77" s="1444"/>
      <c r="J77" s="1444"/>
      <c r="K77" s="1445"/>
      <c r="L77" s="1444"/>
    </row>
    <row r="78" spans="1:18">
      <c r="B78" s="642" t="s">
        <v>959</v>
      </c>
      <c r="C78" s="731"/>
    </row>
    <row r="79" spans="1:18">
      <c r="B79" s="2854" t="s">
        <v>2694</v>
      </c>
      <c r="C79" s="646" t="e">
        <f ca="1">1-C80</f>
        <v>#DIV/0!</v>
      </c>
    </row>
    <row r="80" spans="1:18">
      <c r="B80" s="2854" t="s">
        <v>2695</v>
      </c>
      <c r="C80" s="646" t="e">
        <f ca="1">ROUND(C75/C39,3)</f>
        <v>#DIV/0!</v>
      </c>
    </row>
    <row r="81" spans="2:3">
      <c r="B81" s="642" t="s">
        <v>384</v>
      </c>
      <c r="C81" s="643"/>
    </row>
    <row r="82" spans="2:3">
      <c r="B82" s="2853" t="s">
        <v>2692</v>
      </c>
      <c r="C82" s="647" t="e">
        <f ca="1">1-C83</f>
        <v>#DIV/0!</v>
      </c>
    </row>
    <row r="83" spans="2:3">
      <c r="B83" s="2853" t="s">
        <v>2691</v>
      </c>
      <c r="C83" s="646"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0" sqref="F30"/>
    </sheetView>
  </sheetViews>
  <sheetFormatPr defaultRowHeight="13.5"/>
  <cols>
    <col min="1" max="1" width="23.625" customWidth="1"/>
    <col min="2" max="2" width="12" customWidth="1"/>
    <col min="4" max="4" width="14.125" customWidth="1"/>
    <col min="6" max="6" width="12.875" customWidth="1"/>
  </cols>
  <sheetData>
    <row r="1" spans="1:6" ht="20.25">
      <c r="A1" s="2764" t="s">
        <v>2665</v>
      </c>
      <c r="B1" s="2765"/>
      <c r="C1" s="2765"/>
      <c r="D1" s="2765"/>
      <c r="E1" s="2766"/>
    </row>
    <row r="2" spans="1:6" ht="14.25">
      <c r="A2" s="2767" t="s">
        <v>2666</v>
      </c>
      <c r="B2" s="2761">
        <f ca="1">SUMIF(B6:B13,"&lt;&gt;#ref!",B6:B13)</f>
        <v>0</v>
      </c>
      <c r="C2" s="2762" t="s">
        <v>2663</v>
      </c>
      <c r="D2" s="2763" t="s">
        <v>2668</v>
      </c>
      <c r="E2" s="2771">
        <f>SUM(E6:E13)</f>
        <v>0</v>
      </c>
    </row>
    <row r="3" spans="1:6" ht="14.25">
      <c r="A3" s="2767" t="s">
        <v>2667</v>
      </c>
      <c r="B3" s="2761" t="e">
        <f ca="1">ROUND(B2*10000/E2,0)</f>
        <v>#DIV/0!</v>
      </c>
      <c r="C3" s="2762" t="s">
        <v>2664</v>
      </c>
      <c r="D3" s="2768"/>
      <c r="E3" s="2772"/>
    </row>
    <row r="4" spans="1:6" ht="14.25">
      <c r="A4" s="2773"/>
      <c r="B4" s="2768"/>
      <c r="C4" s="2768"/>
      <c r="D4" s="2768"/>
      <c r="E4" s="2772"/>
    </row>
    <row r="5" spans="1:6">
      <c r="A5" s="2777" t="s">
        <v>2670</v>
      </c>
      <c r="B5" s="3635" t="s">
        <v>2672</v>
      </c>
      <c r="C5" s="3635"/>
      <c r="D5" s="2776"/>
      <c r="E5" s="3315" t="s">
        <v>2671</v>
      </c>
      <c r="F5" s="3316" t="s">
        <v>3042</v>
      </c>
    </row>
    <row r="6" spans="1:6">
      <c r="A6" s="2774">
        <f>'数据-取费表'!AN6</f>
        <v>0</v>
      </c>
      <c r="B6" s="2770">
        <f>IF(F6="是",'数据-取费表'!AO6,0)</f>
        <v>0</v>
      </c>
      <c r="C6" s="2762" t="s">
        <v>2663</v>
      </c>
      <c r="D6" s="2768"/>
      <c r="E6" s="1525">
        <f>IF(OR(A6=0,F6="否"),0,'数据-取费表'!K6+'数据-取费表'!S6)</f>
        <v>0</v>
      </c>
      <c r="F6" s="3317" t="s">
        <v>3043</v>
      </c>
    </row>
    <row r="7" spans="1:6">
      <c r="A7" s="2774">
        <f>'数据-取费表'!AN7</f>
        <v>0</v>
      </c>
      <c r="B7" s="2770">
        <f>IF(F7="是",'数据-取费表'!AO7,0)</f>
        <v>0</v>
      </c>
      <c r="C7" s="2762" t="s">
        <v>2663</v>
      </c>
      <c r="D7" s="2768"/>
      <c r="E7" s="1525">
        <f>IF(OR(A7=0,F7="否"),0,'数据-取费表'!K7+'数据-取费表'!S7)</f>
        <v>0</v>
      </c>
      <c r="F7" s="3317" t="s">
        <v>3043</v>
      </c>
    </row>
    <row r="8" spans="1:6">
      <c r="A8" s="2774">
        <f>'数据-取费表'!AN8</f>
        <v>0</v>
      </c>
      <c r="B8" s="2770" t="e">
        <f ca="1">IF(F8="是",'数据-取费表'!AO8,0)</f>
        <v>#REF!</v>
      </c>
      <c r="C8" s="2762" t="s">
        <v>2663</v>
      </c>
      <c r="D8" s="2768"/>
      <c r="E8" s="1525">
        <f>IF(OR(A8=0,F8="否"),0,'数据-取费表'!K8+'数据-取费表'!S8)</f>
        <v>0</v>
      </c>
      <c r="F8" s="3317" t="s">
        <v>3043</v>
      </c>
    </row>
    <row r="9" spans="1:6">
      <c r="A9" s="2774">
        <f>'数据-取费表'!AN9</f>
        <v>0</v>
      </c>
      <c r="B9" s="2770" t="e">
        <f ca="1">IF(F9="是",'数据-取费表'!AO9,0)</f>
        <v>#REF!</v>
      </c>
      <c r="C9" s="2762" t="s">
        <v>2663</v>
      </c>
      <c r="D9" s="2768"/>
      <c r="E9" s="1525">
        <f>IF(OR(A9=0,F9="否"),0,'数据-取费表'!K9+'数据-取费表'!S9)</f>
        <v>0</v>
      </c>
      <c r="F9" s="3317" t="s">
        <v>3043</v>
      </c>
    </row>
    <row r="10" spans="1:6">
      <c r="A10" s="2774">
        <f>'数据-取费表'!AN10</f>
        <v>0</v>
      </c>
      <c r="B10" s="2770" t="e">
        <f ca="1">IF(F10="是",'数据-取费表'!AO10,0)</f>
        <v>#REF!</v>
      </c>
      <c r="C10" s="2762" t="s">
        <v>2663</v>
      </c>
      <c r="D10" s="2768"/>
      <c r="E10" s="1525">
        <f>IF(OR(A10=0,F10="否"),0,'数据-取费表'!K10+'数据-取费表'!S10)</f>
        <v>0</v>
      </c>
      <c r="F10" s="3317" t="s">
        <v>3043</v>
      </c>
    </row>
    <row r="11" spans="1:6">
      <c r="A11" s="2774">
        <f>'数据-取费表'!AN11</f>
        <v>0</v>
      </c>
      <c r="B11" s="2770" t="e">
        <f ca="1">IF(F11="是",'数据-取费表'!AO11,0)</f>
        <v>#REF!</v>
      </c>
      <c r="C11" s="2762" t="s">
        <v>2663</v>
      </c>
      <c r="D11" s="2768"/>
      <c r="E11" s="1525">
        <f>IF(OR(A11=0,F11="否"),0,'数据-取费表'!K11+'数据-取费表'!S11)</f>
        <v>0</v>
      </c>
      <c r="F11" s="3317" t="s">
        <v>3043</v>
      </c>
    </row>
    <row r="12" spans="1:6">
      <c r="A12" s="2774">
        <f>'数据-取费表'!AN12</f>
        <v>0</v>
      </c>
      <c r="B12" s="2770" t="e">
        <f ca="1">IF(F12="是",'数据-取费表'!AO12,0)</f>
        <v>#REF!</v>
      </c>
      <c r="C12" s="2762" t="s">
        <v>2663</v>
      </c>
      <c r="D12" s="2768"/>
      <c r="E12" s="1525">
        <f>IF(OR(A12=0,F12="否"),0,'数据-取费表'!K12+'数据-取费表'!S12)</f>
        <v>0</v>
      </c>
      <c r="F12" s="3317" t="s">
        <v>3043</v>
      </c>
    </row>
    <row r="13" spans="1:6" ht="14.25" thickBot="1">
      <c r="A13" s="2775">
        <f>'数据-取费表'!AN13</f>
        <v>0</v>
      </c>
      <c r="B13" s="2770" t="e">
        <f ca="1">IF(F13="是",'数据-取费表'!AO13,0)</f>
        <v>#REF!</v>
      </c>
      <c r="C13" s="2778" t="s">
        <v>2663</v>
      </c>
      <c r="D13" s="2769"/>
      <c r="E13" s="1525">
        <f>IF(OR(A13=0,F13="否"),0,'数据-取费表'!K13+'数据-取费表'!S13)</f>
        <v>0</v>
      </c>
      <c r="F13" s="3317" t="s">
        <v>3043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0" sqref="F30"/>
    </sheetView>
  </sheetViews>
  <sheetFormatPr defaultRowHeight="13.5"/>
  <cols>
    <col min="1" max="1" width="10.5" customWidth="1"/>
    <col min="2" max="2" width="12.875" customWidth="1"/>
    <col min="3" max="3" width="8.75" customWidth="1"/>
  </cols>
  <sheetData>
    <row r="1" spans="1:9" ht="14.25">
      <c r="A1" s="3652" t="s">
        <v>2539</v>
      </c>
      <c r="B1" s="3653"/>
      <c r="C1" s="3654"/>
      <c r="D1" s="3655">
        <f>SUM(I10,I15,I20,I21,I23)</f>
        <v>0</v>
      </c>
      <c r="E1" s="3655"/>
      <c r="F1" s="3655"/>
      <c r="G1" s="3655"/>
      <c r="H1" s="3655"/>
      <c r="I1" s="3656"/>
    </row>
    <row r="2" spans="1:9">
      <c r="A2" s="3642" t="s">
        <v>2540</v>
      </c>
      <c r="B2" s="3643" t="s">
        <v>2541</v>
      </c>
      <c r="C2" s="3643"/>
      <c r="D2" s="2619" t="s">
        <v>2542</v>
      </c>
      <c r="E2" s="2619" t="s">
        <v>2543</v>
      </c>
      <c r="F2" s="2619" t="s">
        <v>2544</v>
      </c>
      <c r="G2" s="2619" t="s">
        <v>2545</v>
      </c>
      <c r="H2" s="2619" t="s">
        <v>2546</v>
      </c>
      <c r="I2" s="2620" t="s">
        <v>2547</v>
      </c>
    </row>
    <row r="3" spans="1:9">
      <c r="A3" s="3642"/>
      <c r="B3" s="3643" t="s">
        <v>2548</v>
      </c>
      <c r="C3" s="3643"/>
      <c r="D3" s="2621"/>
      <c r="E3" s="2619"/>
      <c r="F3" s="2622"/>
      <c r="G3" s="2622"/>
      <c r="H3" s="2623"/>
      <c r="I3" s="2624">
        <f>ROUND(D3*E3*F3*G3*H3/10000,0)</f>
        <v>0</v>
      </c>
    </row>
    <row r="4" spans="1:9">
      <c r="A4" s="3642"/>
      <c r="B4" s="3643" t="s">
        <v>2549</v>
      </c>
      <c r="C4" s="3643"/>
      <c r="D4" s="2621"/>
      <c r="E4" s="2619"/>
      <c r="F4" s="2622"/>
      <c r="G4" s="2622"/>
      <c r="H4" s="2623"/>
      <c r="I4" s="2624">
        <f t="shared" ref="I4:I9" si="0">ROUND(D4*E4*F4*G4*H4/10000,0)</f>
        <v>0</v>
      </c>
    </row>
    <row r="5" spans="1:9">
      <c r="A5" s="3642"/>
      <c r="B5" s="3643" t="s">
        <v>2550</v>
      </c>
      <c r="C5" s="3643"/>
      <c r="D5" s="2621"/>
      <c r="E5" s="2619"/>
      <c r="F5" s="2622"/>
      <c r="G5" s="2622"/>
      <c r="H5" s="2623"/>
      <c r="I5" s="2624">
        <f t="shared" si="0"/>
        <v>0</v>
      </c>
    </row>
    <row r="6" spans="1:9">
      <c r="A6" s="3642"/>
      <c r="B6" s="3643" t="s">
        <v>2551</v>
      </c>
      <c r="C6" s="3643"/>
      <c r="D6" s="2621"/>
      <c r="E6" s="2619"/>
      <c r="F6" s="2622"/>
      <c r="G6" s="2622"/>
      <c r="H6" s="2623"/>
      <c r="I6" s="2624">
        <f t="shared" si="0"/>
        <v>0</v>
      </c>
    </row>
    <row r="7" spans="1:9">
      <c r="A7" s="3642"/>
      <c r="B7" s="3643" t="s">
        <v>2552</v>
      </c>
      <c r="C7" s="3643"/>
      <c r="D7" s="2621"/>
      <c r="E7" s="2619"/>
      <c r="F7" s="2622"/>
      <c r="G7" s="2622"/>
      <c r="H7" s="2623"/>
      <c r="I7" s="2624">
        <f t="shared" si="0"/>
        <v>0</v>
      </c>
    </row>
    <row r="8" spans="1:9">
      <c r="A8" s="3642"/>
      <c r="B8" s="3643" t="s">
        <v>2553</v>
      </c>
      <c r="C8" s="3643"/>
      <c r="D8" s="2621"/>
      <c r="E8" s="2619"/>
      <c r="F8" s="2622"/>
      <c r="G8" s="2622"/>
      <c r="H8" s="2623"/>
      <c r="I8" s="2624">
        <f t="shared" si="0"/>
        <v>0</v>
      </c>
    </row>
    <row r="9" spans="1:9">
      <c r="A9" s="3642"/>
      <c r="B9" s="3643" t="s">
        <v>2554</v>
      </c>
      <c r="C9" s="3643"/>
      <c r="D9" s="2621"/>
      <c r="E9" s="2619"/>
      <c r="F9" s="2622"/>
      <c r="G9" s="2622"/>
      <c r="H9" s="2623"/>
      <c r="I9" s="2624">
        <f t="shared" si="0"/>
        <v>0</v>
      </c>
    </row>
    <row r="10" spans="1:9">
      <c r="A10" s="3642"/>
      <c r="B10" s="3644" t="s">
        <v>2555</v>
      </c>
      <c r="C10" s="3644"/>
      <c r="D10" s="2625"/>
      <c r="E10" s="2625" t="e">
        <f>ROUND(D1*10000/D10/H9,0)</f>
        <v>#DIV/0!</v>
      </c>
      <c r="F10" s="2626"/>
      <c r="G10" s="2626"/>
      <c r="H10" s="2627"/>
      <c r="I10" s="2628">
        <f>SUM(I3:I9)</f>
        <v>0</v>
      </c>
    </row>
    <row r="11" spans="1:9" ht="14.25">
      <c r="A11" s="3642" t="s">
        <v>2556</v>
      </c>
      <c r="B11" s="3643" t="s">
        <v>2557</v>
      </c>
      <c r="C11" s="3643"/>
      <c r="D11" s="2621" t="s">
        <v>2558</v>
      </c>
      <c r="E11" s="2621" t="s">
        <v>2559</v>
      </c>
      <c r="F11" s="2622" t="s">
        <v>2560</v>
      </c>
      <c r="G11" s="2622" t="s">
        <v>2546</v>
      </c>
      <c r="H11" s="2629" t="s">
        <v>2561</v>
      </c>
      <c r="I11" s="2620" t="s">
        <v>2547</v>
      </c>
    </row>
    <row r="12" spans="1:9">
      <c r="A12" s="3642"/>
      <c r="B12" s="3643" t="s">
        <v>2562</v>
      </c>
      <c r="C12" s="3643"/>
      <c r="D12" s="2621"/>
      <c r="E12" s="2621"/>
      <c r="F12" s="2622"/>
      <c r="G12" s="2623"/>
      <c r="H12" s="2630"/>
      <c r="I12" s="2620">
        <f>ROUND(D12*E12*F12*G12/10000,0)</f>
        <v>0</v>
      </c>
    </row>
    <row r="13" spans="1:9">
      <c r="A13" s="3642"/>
      <c r="B13" s="3643" t="s">
        <v>2563</v>
      </c>
      <c r="C13" s="3643"/>
      <c r="D13" s="2621"/>
      <c r="E13" s="2621"/>
      <c r="F13" s="2622"/>
      <c r="G13" s="2623"/>
      <c r="H13" s="2630"/>
      <c r="I13" s="2620">
        <f>ROUND(D13*E13*F13*G13/10000,0)</f>
        <v>0</v>
      </c>
    </row>
    <row r="14" spans="1:9">
      <c r="A14" s="3642"/>
      <c r="B14" s="3643" t="s">
        <v>2564</v>
      </c>
      <c r="C14" s="3643"/>
      <c r="D14" s="2621"/>
      <c r="E14" s="2621"/>
      <c r="F14" s="2622"/>
      <c r="G14" s="2623"/>
      <c r="H14" s="2630"/>
      <c r="I14" s="2620">
        <f>ROUND(D14*E14*F14*G14/10000,0)</f>
        <v>0</v>
      </c>
    </row>
    <row r="15" spans="1:9">
      <c r="A15" s="3642"/>
      <c r="B15" s="3644" t="s">
        <v>2555</v>
      </c>
      <c r="C15" s="3644"/>
      <c r="D15" s="2625"/>
      <c r="E15" s="2625">
        <f>SUM(E12:E14)</f>
        <v>0</v>
      </c>
      <c r="F15" s="2626"/>
      <c r="G15" s="2623"/>
      <c r="H15" s="2630"/>
      <c r="I15" s="2631">
        <f>SUM(I12:I14)</f>
        <v>0</v>
      </c>
    </row>
    <row r="16" spans="1:9" ht="24">
      <c r="A16" s="3642" t="s">
        <v>2565</v>
      </c>
      <c r="B16" s="3643" t="s">
        <v>2566</v>
      </c>
      <c r="C16" s="3643"/>
      <c r="D16" s="2621" t="s">
        <v>2542</v>
      </c>
      <c r="E16" s="2632" t="s">
        <v>2567</v>
      </c>
      <c r="F16" s="2622" t="s">
        <v>2568</v>
      </c>
      <c r="G16" s="2623" t="s">
        <v>2546</v>
      </c>
      <c r="H16" s="2629" t="s">
        <v>2561</v>
      </c>
      <c r="I16" s="2620" t="s">
        <v>2547</v>
      </c>
    </row>
    <row r="17" spans="1:9" ht="14.25">
      <c r="A17" s="3642"/>
      <c r="B17" s="3643" t="s">
        <v>2569</v>
      </c>
      <c r="C17" s="3643"/>
      <c r="D17" s="2621"/>
      <c r="E17" s="2621"/>
      <c r="F17" s="2622"/>
      <c r="G17" s="2623"/>
      <c r="H17" s="2633"/>
      <c r="I17" s="2634">
        <f>ROUND(D17*E17*F17*G17/10000,0)</f>
        <v>0</v>
      </c>
    </row>
    <row r="18" spans="1:9" ht="14.25">
      <c r="A18" s="3642"/>
      <c r="B18" s="3643" t="s">
        <v>2570</v>
      </c>
      <c r="C18" s="3643"/>
      <c r="D18" s="2621"/>
      <c r="E18" s="2621"/>
      <c r="F18" s="2622"/>
      <c r="G18" s="2623"/>
      <c r="H18" s="2633"/>
      <c r="I18" s="2634">
        <f>ROUND(D18*E18*F18*G18/10000,0)</f>
        <v>0</v>
      </c>
    </row>
    <row r="19" spans="1:9" ht="14.25">
      <c r="A19" s="3642"/>
      <c r="B19" s="3643" t="s">
        <v>2571</v>
      </c>
      <c r="C19" s="3643"/>
      <c r="D19" s="2621"/>
      <c r="E19" s="2621"/>
      <c r="F19" s="2622"/>
      <c r="G19" s="2623"/>
      <c r="H19" s="2633"/>
      <c r="I19" s="2634">
        <f>ROUND(D19*E19*F19*G19/10000,0)</f>
        <v>0</v>
      </c>
    </row>
    <row r="20" spans="1:9">
      <c r="A20" s="3642"/>
      <c r="B20" s="3644" t="s">
        <v>2555</v>
      </c>
      <c r="C20" s="3644"/>
      <c r="D20" s="2625">
        <f>SUM(D17:D19)</f>
        <v>0</v>
      </c>
      <c r="E20" s="2625"/>
      <c r="F20" s="2626"/>
      <c r="G20" s="2623"/>
      <c r="H20" s="2630"/>
      <c r="I20" s="2631">
        <f>SUM(I17:I19)</f>
        <v>0</v>
      </c>
    </row>
    <row r="21" spans="1:9">
      <c r="A21" s="3642" t="s">
        <v>2572</v>
      </c>
      <c r="B21" s="3645"/>
      <c r="C21" s="3645"/>
      <c r="D21" s="3645"/>
      <c r="E21" s="3645"/>
      <c r="F21" s="3645"/>
      <c r="G21" s="3645"/>
      <c r="H21" s="3276">
        <v>0.1</v>
      </c>
      <c r="I21" s="2628">
        <f>ROUND(I10*H21,0)</f>
        <v>0</v>
      </c>
    </row>
    <row r="22" spans="1:9" ht="14.25">
      <c r="A22" s="3646" t="s">
        <v>2573</v>
      </c>
      <c r="B22" s="3647"/>
      <c r="C22" s="3648"/>
      <c r="D22" s="2635" t="s">
        <v>2574</v>
      </c>
      <c r="E22" s="2635" t="s">
        <v>2575</v>
      </c>
      <c r="F22" s="2636" t="s">
        <v>2576</v>
      </c>
      <c r="G22" s="2636" t="s">
        <v>2577</v>
      </c>
      <c r="H22" s="2629" t="s">
        <v>2578</v>
      </c>
      <c r="I22" s="2620" t="s">
        <v>2579</v>
      </c>
    </row>
    <row r="23" spans="1:9" ht="14.25" thickBot="1">
      <c r="A23" s="3649"/>
      <c r="B23" s="3650"/>
      <c r="C23" s="3651"/>
      <c r="D23" s="2637"/>
      <c r="E23" s="2637"/>
      <c r="F23" s="2637"/>
      <c r="G23" s="2638"/>
      <c r="H23" s="2639"/>
      <c r="I23" s="2640">
        <f>ROUND(E23*D23*F23*(1-G23)/10000,0)</f>
        <v>0</v>
      </c>
    </row>
    <row r="26" spans="1:9">
      <c r="A26" s="2641" t="s">
        <v>2580</v>
      </c>
      <c r="B26" s="2641"/>
      <c r="C26" s="2641"/>
      <c r="D26" s="2641"/>
      <c r="E26" s="3639">
        <f>C27-C30-C31-C32</f>
        <v>0</v>
      </c>
      <c r="F26" s="3639"/>
      <c r="G26" s="3639"/>
      <c r="H26" s="3231" t="s">
        <v>2951</v>
      </c>
    </row>
    <row r="27" spans="1:9">
      <c r="A27" s="2642">
        <v>1</v>
      </c>
      <c r="B27" s="2643" t="s">
        <v>2581</v>
      </c>
      <c r="C27" s="2643">
        <f>C28+C29</f>
        <v>0</v>
      </c>
      <c r="D27" s="2643"/>
      <c r="E27" s="3640"/>
      <c r="F27" s="3640"/>
      <c r="G27" s="3640"/>
    </row>
    <row r="28" spans="1:9">
      <c r="A28" s="2644" t="s">
        <v>2582</v>
      </c>
      <c r="B28" s="2643" t="s">
        <v>2583</v>
      </c>
      <c r="C28" s="2643"/>
      <c r="D28" s="2643"/>
      <c r="E28" s="3640"/>
      <c r="F28" s="3640"/>
      <c r="G28" s="3640"/>
    </row>
    <row r="29" spans="1:9">
      <c r="A29" s="2644" t="s">
        <v>2584</v>
      </c>
      <c r="B29" s="2643" t="s">
        <v>2585</v>
      </c>
      <c r="C29" s="2643"/>
      <c r="D29" s="2643"/>
      <c r="E29" s="2643" t="s">
        <v>2586</v>
      </c>
      <c r="F29" s="2643"/>
      <c r="G29" s="2643"/>
    </row>
    <row r="30" spans="1:9">
      <c r="A30" s="2642">
        <v>2</v>
      </c>
      <c r="B30" s="2643" t="s">
        <v>2587</v>
      </c>
      <c r="C30" s="2643">
        <f>C27*D30</f>
        <v>0</v>
      </c>
      <c r="D30" s="2645">
        <v>0.2</v>
      </c>
      <c r="E30" s="2643" t="s">
        <v>2588</v>
      </c>
      <c r="F30" s="2643"/>
      <c r="G30" s="2643"/>
    </row>
    <row r="31" spans="1:9">
      <c r="A31" s="2642">
        <v>3</v>
      </c>
      <c r="B31" s="2643" t="s">
        <v>2589</v>
      </c>
      <c r="C31" s="2643">
        <f>C25*D31</f>
        <v>0</v>
      </c>
      <c r="D31" s="2645">
        <v>0.15</v>
      </c>
      <c r="E31" s="2643" t="s">
        <v>2590</v>
      </c>
      <c r="F31" s="2643"/>
      <c r="G31" s="2643"/>
    </row>
    <row r="32" spans="1:9">
      <c r="A32" s="2642">
        <v>4</v>
      </c>
      <c r="B32" s="2643" t="s">
        <v>2591</v>
      </c>
      <c r="C32" s="2643">
        <f>C27*D32</f>
        <v>0</v>
      </c>
      <c r="D32" s="2645">
        <v>0.05</v>
      </c>
      <c r="E32" s="3641"/>
      <c r="F32" s="3641"/>
      <c r="G32" s="3641"/>
    </row>
    <row r="33" spans="1:7" hidden="1">
      <c r="A33" s="3636" t="s">
        <v>2592</v>
      </c>
      <c r="B33" s="3637"/>
      <c r="C33" s="3637"/>
      <c r="D33" s="3638"/>
      <c r="E33" s="3639"/>
      <c r="F33" s="3639"/>
      <c r="G33" s="3639"/>
    </row>
    <row r="34" spans="1:7" hidden="1">
      <c r="A34" s="2646">
        <v>1</v>
      </c>
      <c r="B34" s="2643" t="s">
        <v>2593</v>
      </c>
      <c r="C34" s="2643"/>
      <c r="D34" s="2643"/>
      <c r="E34" s="3640"/>
      <c r="F34" s="3640"/>
      <c r="G34" s="3640"/>
    </row>
    <row r="35" spans="1:7" hidden="1">
      <c r="A35" s="2646">
        <v>2</v>
      </c>
      <c r="B35" s="2643" t="s">
        <v>2594</v>
      </c>
      <c r="C35" s="2643"/>
      <c r="D35" s="2643"/>
      <c r="E35" s="3640"/>
      <c r="F35" s="3640"/>
      <c r="G35" s="3640"/>
    </row>
    <row r="36" spans="1:7" hidden="1">
      <c r="A36" s="2646">
        <v>3</v>
      </c>
      <c r="B36" s="2643" t="s">
        <v>2595</v>
      </c>
      <c r="C36" s="2643"/>
      <c r="D36" s="2643"/>
      <c r="E36" s="3640"/>
      <c r="F36" s="3640"/>
      <c r="G36" s="3640"/>
    </row>
    <row r="37" spans="1:7" hidden="1">
      <c r="A37" s="2646">
        <v>4</v>
      </c>
      <c r="B37" s="2643" t="s">
        <v>2596</v>
      </c>
      <c r="C37" s="2643"/>
      <c r="D37" s="2643"/>
      <c r="E37" s="3640"/>
      <c r="F37" s="3640"/>
      <c r="G37" s="3640"/>
    </row>
    <row r="38" spans="1:7" hidden="1">
      <c r="A38" s="3636" t="s">
        <v>2597</v>
      </c>
      <c r="B38" s="3637"/>
      <c r="C38" s="3637"/>
      <c r="D38" s="3638"/>
      <c r="E38" s="3639"/>
      <c r="F38" s="3639"/>
      <c r="G38" s="36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23" sqref="H2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135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95" customFormat="1" ht="28.5" customHeight="1" thickBot="1">
      <c r="A1" s="3081" t="s">
        <v>974</v>
      </c>
      <c r="B1" s="3082" t="s">
        <v>975</v>
      </c>
      <c r="C1" s="3083" t="s">
        <v>976</v>
      </c>
      <c r="D1" s="3084"/>
      <c r="E1" s="3085"/>
      <c r="F1" s="3086" t="s">
        <v>2688</v>
      </c>
      <c r="G1" s="3088" t="s">
        <v>977</v>
      </c>
      <c r="H1" s="3089"/>
      <c r="I1" s="3089"/>
      <c r="J1" s="3089"/>
      <c r="K1" s="3090"/>
      <c r="L1" s="3091"/>
      <c r="M1" s="3083"/>
      <c r="N1" s="3083"/>
      <c r="O1" s="3083"/>
      <c r="P1" s="3092"/>
      <c r="Q1" s="3093"/>
      <c r="R1" s="3093"/>
      <c r="S1" s="3093"/>
      <c r="T1" s="3093"/>
      <c r="U1" s="3093"/>
      <c r="V1" s="3093"/>
      <c r="W1" s="3093"/>
      <c r="X1" s="3093"/>
      <c r="Y1" s="3093"/>
      <c r="Z1" s="3093"/>
      <c r="AA1" s="3093"/>
      <c r="AB1" s="3093"/>
      <c r="AC1" s="3094"/>
    </row>
    <row r="2" spans="1:29" s="89" customFormat="1" ht="28.5" customHeight="1" thickTop="1">
      <c r="A2" s="3077" t="s">
        <v>978</v>
      </c>
      <c r="B2" s="2825">
        <f>IF(C2="——",ROUND(C49*D3/10000,0),ROUND(C49*D3/10000,0)-D2)</f>
        <v>330390</v>
      </c>
      <c r="C2" s="3078" t="s">
        <v>528</v>
      </c>
      <c r="D2" s="2705" t="e">
        <f ca="1">SUMIF(INDIRECT("'"&amp;F2&amp;"'"&amp;"!A:A"),"承租人权益价值",INDIRECT("'"&amp;F2&amp;"'"&amp;"!c:c"))</f>
        <v>#REF!</v>
      </c>
      <c r="E2" s="3079" t="s">
        <v>863</v>
      </c>
      <c r="F2" s="3080"/>
      <c r="G2" s="2271"/>
      <c r="H2" s="2271"/>
      <c r="I2" s="2271"/>
      <c r="J2" s="2271"/>
      <c r="K2" s="2273"/>
      <c r="L2" s="2274"/>
      <c r="M2" s="2275"/>
      <c r="N2" s="2275"/>
      <c r="O2" s="2275"/>
      <c r="P2" s="1327"/>
      <c r="Q2" s="1326"/>
      <c r="R2" s="1326"/>
      <c r="S2" s="1326"/>
      <c r="T2" s="1326"/>
      <c r="U2" s="1326"/>
      <c r="V2" s="1326"/>
      <c r="W2" s="1326"/>
      <c r="X2" s="1326"/>
      <c r="Y2" s="1326"/>
      <c r="Z2" s="1326"/>
      <c r="AA2" s="1326"/>
      <c r="AB2" s="1326"/>
      <c r="AC2" s="1328"/>
    </row>
    <row r="3" spans="1:29" s="89" customFormat="1" ht="28.5" customHeight="1" thickBot="1">
      <c r="A3" s="87" t="s">
        <v>979</v>
      </c>
      <c r="B3" s="738">
        <f>IF(C2="——",C49,ROUND(B2*10000/D3,0))</f>
        <v>75503</v>
      </c>
      <c r="C3" s="140" t="s">
        <v>980</v>
      </c>
      <c r="D3" s="738">
        <f>IF(D1="",'数据-汇总表'!E3,SUMIF('数据-汇总表'!$C19:$C33,D1,'数据-汇总表'!$E19:$E33))</f>
        <v>43758.520000000004</v>
      </c>
      <c r="E3" s="2271"/>
      <c r="F3" s="2272"/>
      <c r="G3" s="2271"/>
      <c r="H3" s="2271"/>
      <c r="I3" s="2271"/>
      <c r="J3" s="2271"/>
      <c r="K3" s="2273"/>
      <c r="L3" s="2274"/>
      <c r="M3" s="2275"/>
      <c r="N3" s="2275"/>
      <c r="O3" s="2275"/>
      <c r="P3" s="1327"/>
      <c r="Q3" s="1326"/>
      <c r="R3" s="1326"/>
      <c r="S3" s="1326"/>
      <c r="T3" s="1326"/>
      <c r="U3" s="1326"/>
      <c r="V3" s="1326"/>
      <c r="W3" s="1326"/>
      <c r="X3" s="1326"/>
      <c r="Y3" s="1326"/>
      <c r="Z3" s="1326"/>
      <c r="AA3" s="1326"/>
      <c r="AB3" s="1326"/>
      <c r="AC3" s="1329"/>
    </row>
    <row r="4" spans="1:29">
      <c r="A4" s="141" t="s">
        <v>981</v>
      </c>
      <c r="B4" s="142"/>
      <c r="C4" s="3675" t="s">
        <v>982</v>
      </c>
      <c r="D4" s="3676"/>
      <c r="E4" s="3677" t="s">
        <v>983</v>
      </c>
      <c r="F4" s="3678"/>
      <c r="G4" s="3675" t="s">
        <v>984</v>
      </c>
      <c r="H4" s="3676"/>
      <c r="I4" s="3675" t="s">
        <v>985</v>
      </c>
      <c r="J4" s="3676"/>
      <c r="K4" s="143" t="s">
        <v>986</v>
      </c>
      <c r="L4" s="2276"/>
      <c r="M4" s="2277"/>
      <c r="N4" s="2277"/>
      <c r="O4" s="2277"/>
      <c r="P4" s="3679" t="s">
        <v>981</v>
      </c>
      <c r="Q4" s="3680"/>
      <c r="R4" s="3685" t="s">
        <v>983</v>
      </c>
      <c r="S4" s="3686"/>
      <c r="T4" s="3685" t="s">
        <v>984</v>
      </c>
      <c r="U4" s="3686"/>
      <c r="V4" s="3691" t="s">
        <v>985</v>
      </c>
      <c r="W4" s="3691"/>
      <c r="X4" s="1330"/>
      <c r="Y4" s="3685" t="s">
        <v>981</v>
      </c>
      <c r="Z4" s="3686"/>
      <c r="AA4" s="3672" t="s">
        <v>983</v>
      </c>
      <c r="AB4" s="3672" t="s">
        <v>984</v>
      </c>
      <c r="AC4" s="3672" t="s">
        <v>985</v>
      </c>
    </row>
    <row r="5" spans="1:29" ht="14.25">
      <c r="A5" s="144"/>
      <c r="B5" s="145"/>
      <c r="C5" s="3624"/>
      <c r="D5" s="3625"/>
      <c r="E5" s="3701" t="s">
        <v>3215</v>
      </c>
      <c r="F5" s="3702"/>
      <c r="G5" s="3692" t="s">
        <v>3195</v>
      </c>
      <c r="H5" s="3693"/>
      <c r="I5" s="3624" t="s">
        <v>3216</v>
      </c>
      <c r="J5" s="3625"/>
      <c r="K5" s="150"/>
      <c r="L5" s="2276"/>
      <c r="M5" s="2277"/>
      <c r="N5" s="2277"/>
      <c r="O5" s="2277"/>
      <c r="P5" s="3681"/>
      <c r="Q5" s="3682"/>
      <c r="R5" s="3687"/>
      <c r="S5" s="3688"/>
      <c r="T5" s="3687"/>
      <c r="U5" s="3688"/>
      <c r="V5" s="3691"/>
      <c r="W5" s="3691"/>
      <c r="X5" s="1330"/>
      <c r="Y5" s="3687"/>
      <c r="Z5" s="3688"/>
      <c r="AA5" s="3673"/>
      <c r="AB5" s="3673"/>
      <c r="AC5" s="3673"/>
    </row>
    <row r="6" spans="1:29" ht="15" thickBot="1">
      <c r="A6" s="146"/>
      <c r="B6" s="147"/>
      <c r="C6" s="3626"/>
      <c r="D6" s="3627"/>
      <c r="E6" s="3697" t="s">
        <v>3196</v>
      </c>
      <c r="F6" s="3698"/>
      <c r="G6" s="3699" t="s">
        <v>3197</v>
      </c>
      <c r="H6" s="3700"/>
      <c r="I6" s="3626"/>
      <c r="J6" s="3627"/>
      <c r="K6" s="150" t="s">
        <v>987</v>
      </c>
      <c r="L6" s="2276"/>
      <c r="M6" s="2277"/>
      <c r="N6" s="2277"/>
      <c r="O6" s="2277"/>
      <c r="P6" s="3683"/>
      <c r="Q6" s="3684"/>
      <c r="R6" s="3687"/>
      <c r="S6" s="3688"/>
      <c r="T6" s="3689"/>
      <c r="U6" s="3690"/>
      <c r="V6" s="3691"/>
      <c r="W6" s="3691"/>
      <c r="X6" s="1330"/>
      <c r="Y6" s="3689"/>
      <c r="Z6" s="3690"/>
      <c r="AA6" s="3674"/>
      <c r="AB6" s="3674"/>
      <c r="AC6" s="3674"/>
    </row>
    <row r="7" spans="1:29" s="40" customFormat="1" ht="15" thickBot="1">
      <c r="A7" s="1006" t="s">
        <v>988</v>
      </c>
      <c r="B7" s="1007"/>
      <c r="C7" s="1008">
        <f>'数据-取费表'!B2</f>
        <v>43006</v>
      </c>
      <c r="D7" s="750">
        <v>100</v>
      </c>
      <c r="E7" s="751">
        <v>42887</v>
      </c>
      <c r="F7" s="752">
        <f>SUMIF(58:58,YEAR(E7)&amp;"-"&amp;MONTH(E7),59:59)</f>
        <v>99.5</v>
      </c>
      <c r="G7" s="751">
        <v>42917</v>
      </c>
      <c r="H7" s="750">
        <f>SUMIF(58:58,YEAR(G7)&amp;"-"&amp;MONTH(G7),59:59)</f>
        <v>100</v>
      </c>
      <c r="I7" s="1009">
        <v>42979</v>
      </c>
      <c r="J7" s="750">
        <f>SUMIF(58:58,YEAR(I7)&amp;"-"&amp;MONTH(I7),59:59)</f>
        <v>100</v>
      </c>
      <c r="K7" s="1331"/>
      <c r="L7" s="2278"/>
      <c r="M7" s="2240"/>
      <c r="N7" s="2240"/>
      <c r="O7" s="2240"/>
      <c r="P7" s="3694" t="s">
        <v>988</v>
      </c>
      <c r="Q7" s="3696"/>
      <c r="R7" s="1332" t="s">
        <v>115</v>
      </c>
      <c r="S7" s="1333">
        <f t="shared" ref="S7:S15" si="0">F7</f>
        <v>99.5</v>
      </c>
      <c r="T7" s="1332" t="s">
        <v>115</v>
      </c>
      <c r="U7" s="1333">
        <f t="shared" ref="U7:U15" si="1">H7</f>
        <v>100</v>
      </c>
      <c r="V7" s="1332" t="s">
        <v>115</v>
      </c>
      <c r="W7" s="1333">
        <f t="shared" ref="W7:W15" si="2">J7</f>
        <v>100</v>
      </c>
      <c r="X7" s="285"/>
      <c r="Y7" s="3694" t="s">
        <v>988</v>
      </c>
      <c r="Z7" s="3695"/>
      <c r="AA7" s="1334">
        <f>D7/F7</f>
        <v>1.0050251256281406</v>
      </c>
      <c r="AB7" s="1334">
        <f>D7/H7</f>
        <v>1</v>
      </c>
      <c r="AC7" s="1334">
        <f>D7/J7</f>
        <v>1</v>
      </c>
    </row>
    <row r="8" spans="1:29" s="40" customFormat="1" ht="15" thickBot="1">
      <c r="A8" s="1006" t="s">
        <v>989</v>
      </c>
      <c r="B8" s="1007"/>
      <c r="C8" s="1012" t="s">
        <v>155</v>
      </c>
      <c r="D8" s="750">
        <v>100</v>
      </c>
      <c r="E8" s="3373" t="s">
        <v>3198</v>
      </c>
      <c r="F8" s="752">
        <f>SUMIF(61:61,E8,62:62)-SUMIF(61:61,C8,62:62)+100</f>
        <v>100</v>
      </c>
      <c r="G8" s="753" t="s">
        <v>3198</v>
      </c>
      <c r="H8" s="750">
        <f>SUMIF(61:61,G8,62:62)-SUMIF(61:61,C8,62:62)+100</f>
        <v>100</v>
      </c>
      <c r="I8" s="753" t="s">
        <v>3198</v>
      </c>
      <c r="J8" s="750">
        <f>SUMIF(61:61,I8,62:62)-SUMIF(61:61,C8,62:62)+100</f>
        <v>100</v>
      </c>
      <c r="K8" s="1331"/>
      <c r="L8" s="2278"/>
      <c r="M8" s="2240"/>
      <c r="N8" s="2240"/>
      <c r="O8" s="2240"/>
      <c r="P8" s="3694" t="s">
        <v>989</v>
      </c>
      <c r="Q8" s="3695"/>
      <c r="R8" s="1332" t="s">
        <v>115</v>
      </c>
      <c r="S8" s="1333">
        <f t="shared" si="0"/>
        <v>100</v>
      </c>
      <c r="T8" s="1332" t="s">
        <v>115</v>
      </c>
      <c r="U8" s="1333">
        <f t="shared" si="1"/>
        <v>100</v>
      </c>
      <c r="V8" s="1332" t="s">
        <v>115</v>
      </c>
      <c r="W8" s="1333">
        <f t="shared" si="2"/>
        <v>100</v>
      </c>
      <c r="X8" s="285"/>
      <c r="Y8" s="3694" t="s">
        <v>989</v>
      </c>
      <c r="Z8" s="3695"/>
      <c r="AA8" s="1334">
        <f t="shared" ref="AA8:AA19" si="3">D8/F8</f>
        <v>1</v>
      </c>
      <c r="AB8" s="1334">
        <f t="shared" ref="AB8:AB19" si="4">D8/H8</f>
        <v>1</v>
      </c>
      <c r="AC8" s="1334">
        <f t="shared" ref="AC8:AC19" si="5">D8/J8</f>
        <v>1</v>
      </c>
    </row>
    <row r="9" spans="1:29" s="40" customFormat="1" ht="14.25">
      <c r="A9" s="1013" t="s">
        <v>990</v>
      </c>
      <c r="B9" s="62" t="s">
        <v>991</v>
      </c>
      <c r="C9" s="1335" t="s">
        <v>3174</v>
      </c>
      <c r="D9" s="421">
        <v>100</v>
      </c>
      <c r="E9" s="3374" t="s">
        <v>3199</v>
      </c>
      <c r="F9" s="755">
        <f>SUMIF(63:63,E9,64:64)-SUMIF(63:63,C9,64:64)+100</f>
        <v>100</v>
      </c>
      <c r="G9" s="756" t="s">
        <v>3201</v>
      </c>
      <c r="H9" s="421">
        <f>SUMIF(63:63,G9,64:64)-SUMIF(63:63,C9,64:64)+100</f>
        <v>100</v>
      </c>
      <c r="I9" s="756" t="s">
        <v>3201</v>
      </c>
      <c r="J9" s="421">
        <f>SUMIF(63:63,I9,64:64)-SUMIF(63:63,C9,64:64)+100</f>
        <v>100</v>
      </c>
      <c r="K9" s="1331"/>
      <c r="L9" s="2278"/>
      <c r="M9" s="2240"/>
      <c r="N9" s="2240"/>
      <c r="O9" s="2240"/>
      <c r="P9" s="3671" t="s">
        <v>67</v>
      </c>
      <c r="Q9" s="7" t="str">
        <f t="shared" ref="Q9:Q15" si="6">B9</f>
        <v>用途</v>
      </c>
      <c r="R9" s="1332" t="s">
        <v>65</v>
      </c>
      <c r="S9" s="1333">
        <f t="shared" si="0"/>
        <v>100</v>
      </c>
      <c r="T9" s="1332" t="s">
        <v>65</v>
      </c>
      <c r="U9" s="1333">
        <f t="shared" si="1"/>
        <v>100</v>
      </c>
      <c r="V9" s="1332" t="s">
        <v>65</v>
      </c>
      <c r="W9" s="1333">
        <f t="shared" si="2"/>
        <v>100</v>
      </c>
      <c r="X9" s="285"/>
      <c r="Y9" s="3429" t="s">
        <v>67</v>
      </c>
      <c r="Z9" s="286" t="str">
        <f t="shared" ref="Z9:Z15" si="7">Q9</f>
        <v>用途</v>
      </c>
      <c r="AA9" s="1334">
        <f t="shared" si="3"/>
        <v>1</v>
      </c>
      <c r="AB9" s="1334">
        <f t="shared" si="4"/>
        <v>1</v>
      </c>
      <c r="AC9" s="1334">
        <f t="shared" si="5"/>
        <v>1</v>
      </c>
    </row>
    <row r="10" spans="1:29" s="92" customFormat="1" ht="27">
      <c r="A10" s="148"/>
      <c r="B10" s="12" t="s">
        <v>106</v>
      </c>
      <c r="C10" s="1338" t="s">
        <v>3175</v>
      </c>
      <c r="D10" s="422">
        <v>100</v>
      </c>
      <c r="E10" s="3375" t="s">
        <v>3200</v>
      </c>
      <c r="F10" s="761">
        <f>SUMIF(65:65,E10,66:66)-SUMIF(65:65,C10,66:66)+100</f>
        <v>100</v>
      </c>
      <c r="G10" s="760" t="s">
        <v>3200</v>
      </c>
      <c r="H10" s="422">
        <f>SUMIF(65:65,G10,66:66)-SUMIF(65:65,C10,66:66)+100</f>
        <v>100</v>
      </c>
      <c r="I10" s="760" t="s">
        <v>3200</v>
      </c>
      <c r="J10" s="422">
        <f>SUMIF(65:65,I10,66:66)-SUMIF(65:65,C10,66:66)+100</f>
        <v>100</v>
      </c>
      <c r="K10" s="762">
        <f>'比较法-车位'!K10</f>
        <v>1</v>
      </c>
      <c r="L10" s="2279"/>
      <c r="M10" s="2280"/>
      <c r="N10" s="2280"/>
      <c r="O10" s="2280"/>
      <c r="P10" s="3671"/>
      <c r="Q10" s="7" t="str">
        <f t="shared" si="6"/>
        <v>土地使用年限（年）</v>
      </c>
      <c r="R10" s="1332" t="s">
        <v>65</v>
      </c>
      <c r="S10" s="1333">
        <f t="shared" si="0"/>
        <v>100</v>
      </c>
      <c r="T10" s="1332" t="s">
        <v>65</v>
      </c>
      <c r="U10" s="1333">
        <f t="shared" si="1"/>
        <v>100</v>
      </c>
      <c r="V10" s="1332" t="s">
        <v>65</v>
      </c>
      <c r="W10" s="1333">
        <f t="shared" si="2"/>
        <v>100</v>
      </c>
      <c r="X10" s="285"/>
      <c r="Y10" s="3429"/>
      <c r="Z10" s="286" t="str">
        <f t="shared" si="7"/>
        <v>土地使用年限（年）</v>
      </c>
      <c r="AA10" s="1334">
        <f t="shared" si="3"/>
        <v>1</v>
      </c>
      <c r="AB10" s="1334">
        <f t="shared" si="4"/>
        <v>1</v>
      </c>
      <c r="AC10" s="1334">
        <f t="shared" si="5"/>
        <v>1</v>
      </c>
    </row>
    <row r="11" spans="1:29" ht="15">
      <c r="A11" s="149"/>
      <c r="B11" s="12" t="s">
        <v>93</v>
      </c>
      <c r="C11" s="765">
        <v>2.8</v>
      </c>
      <c r="D11" s="422">
        <v>100</v>
      </c>
      <c r="E11" s="766">
        <v>2.2000000000000002</v>
      </c>
      <c r="F11" s="761">
        <f>LOOKUP(E11,68:68,69:69)-LOOKUP(C11,68:68,69:69)+100</f>
        <v>100</v>
      </c>
      <c r="G11" s="765">
        <v>2.5</v>
      </c>
      <c r="H11" s="422">
        <f>LOOKUP(G11,68:68,69:69)-LOOKUP(C11,68:68,69:69)+100</f>
        <v>100</v>
      </c>
      <c r="I11" s="765">
        <v>2.5</v>
      </c>
      <c r="J11" s="422">
        <f>LOOKUP(I11,68:68,69:69)-LOOKUP(C11,68:68,69:69)+100</f>
        <v>100</v>
      </c>
      <c r="K11" s="762">
        <v>2</v>
      </c>
      <c r="L11" s="2281"/>
      <c r="M11" s="2277"/>
      <c r="N11" s="2277"/>
      <c r="O11" s="2277"/>
      <c r="P11" s="3671"/>
      <c r="Q11" s="7" t="str">
        <f t="shared" si="6"/>
        <v>容积率</v>
      </c>
      <c r="R11" s="1332" t="s">
        <v>104</v>
      </c>
      <c r="S11" s="1333">
        <f t="shared" si="0"/>
        <v>100</v>
      </c>
      <c r="T11" s="1332" t="s">
        <v>104</v>
      </c>
      <c r="U11" s="1333">
        <f t="shared" si="1"/>
        <v>100</v>
      </c>
      <c r="V11" s="1332" t="s">
        <v>104</v>
      </c>
      <c r="W11" s="1333">
        <f t="shared" si="2"/>
        <v>100</v>
      </c>
      <c r="X11" s="285"/>
      <c r="Y11" s="3429"/>
      <c r="Z11" s="286" t="str">
        <f t="shared" si="7"/>
        <v>容积率</v>
      </c>
      <c r="AA11" s="1334">
        <f t="shared" si="3"/>
        <v>1</v>
      </c>
      <c r="AB11" s="1334">
        <f t="shared" si="4"/>
        <v>1</v>
      </c>
      <c r="AC11" s="1334">
        <f t="shared" si="5"/>
        <v>1</v>
      </c>
    </row>
    <row r="12" spans="1:29" s="40" customFormat="1" ht="14.25">
      <c r="A12" s="1020"/>
      <c r="B12" s="1021"/>
      <c r="C12" s="1016"/>
      <c r="D12" s="769">
        <v>100</v>
      </c>
      <c r="E12" s="1016"/>
      <c r="F12" s="761">
        <f>SUMIF(70:70,E12,71:71)-SUMIF(70:70,C12,71:71)+100</f>
        <v>100</v>
      </c>
      <c r="G12" s="1016"/>
      <c r="H12" s="422">
        <f>SUMIF(70:70,G12,71:71)-SUMIF(70:70,C12,71:71)+100</f>
        <v>100</v>
      </c>
      <c r="I12" s="1016"/>
      <c r="J12" s="422">
        <f>SUMIF(70:70,I12,71:71)-SUMIF(70:70,C12,71:71)+100</f>
        <v>100</v>
      </c>
      <c r="K12" s="151"/>
      <c r="L12" s="2278"/>
      <c r="M12" s="2240"/>
      <c r="N12" s="2240"/>
      <c r="O12" s="2240"/>
      <c r="P12" s="3671"/>
      <c r="Q12" s="7">
        <f t="shared" si="6"/>
        <v>0</v>
      </c>
      <c r="R12" s="1332" t="s">
        <v>104</v>
      </c>
      <c r="S12" s="1333">
        <f t="shared" si="0"/>
        <v>100</v>
      </c>
      <c r="T12" s="1332" t="s">
        <v>104</v>
      </c>
      <c r="U12" s="1333">
        <f t="shared" si="1"/>
        <v>100</v>
      </c>
      <c r="V12" s="1332" t="s">
        <v>104</v>
      </c>
      <c r="W12" s="1333">
        <f t="shared" si="2"/>
        <v>100</v>
      </c>
      <c r="X12" s="285"/>
      <c r="Y12" s="3429"/>
      <c r="Z12" s="286">
        <f t="shared" si="7"/>
        <v>0</v>
      </c>
      <c r="AA12" s="1334">
        <f>D12/F12</f>
        <v>1</v>
      </c>
      <c r="AB12" s="1334">
        <f>D12/H12</f>
        <v>1</v>
      </c>
      <c r="AC12" s="1334">
        <f>D12/J12</f>
        <v>1</v>
      </c>
    </row>
    <row r="13" spans="1:29" ht="14.25">
      <c r="A13" s="149"/>
      <c r="B13" s="1021"/>
      <c r="C13" s="93"/>
      <c r="D13" s="771">
        <v>100</v>
      </c>
      <c r="E13" s="93"/>
      <c r="F13" s="761">
        <f>SUMIF(72:72,E13,73:73)-SUMIF(72:72,C13,73:73)+100</f>
        <v>100</v>
      </c>
      <c r="G13" s="93"/>
      <c r="H13" s="771">
        <f>SUMIF(72:72,G13,73:73)-SUMIF(72:72,C13,73:73)+100</f>
        <v>100</v>
      </c>
      <c r="I13" s="93"/>
      <c r="J13" s="771">
        <f>SUMIF(72:72,I13,73:73)-SUMIF(72:72,C13,73:73)+100</f>
        <v>100</v>
      </c>
      <c r="K13" s="151"/>
      <c r="L13" s="2282"/>
      <c r="M13" s="2277"/>
      <c r="N13" s="2277"/>
      <c r="O13" s="2277"/>
      <c r="P13" s="3671"/>
      <c r="Q13" s="7">
        <f t="shared" si="6"/>
        <v>0</v>
      </c>
      <c r="R13" s="1332" t="s">
        <v>104</v>
      </c>
      <c r="S13" s="1333">
        <f t="shared" si="0"/>
        <v>100</v>
      </c>
      <c r="T13" s="1332" t="s">
        <v>104</v>
      </c>
      <c r="U13" s="1333">
        <f t="shared" si="1"/>
        <v>100</v>
      </c>
      <c r="V13" s="1332" t="s">
        <v>104</v>
      </c>
      <c r="W13" s="1333">
        <f t="shared" si="2"/>
        <v>100</v>
      </c>
      <c r="X13" s="285"/>
      <c r="Y13" s="3429"/>
      <c r="Z13" s="286">
        <f t="shared" si="7"/>
        <v>0</v>
      </c>
      <c r="AA13" s="1334">
        <f t="shared" si="3"/>
        <v>1</v>
      </c>
      <c r="AB13" s="1334">
        <f t="shared" si="4"/>
        <v>1</v>
      </c>
      <c r="AC13" s="1334">
        <f t="shared" si="5"/>
        <v>1</v>
      </c>
    </row>
    <row r="14" spans="1:29" ht="15" thickBot="1">
      <c r="A14" s="152"/>
      <c r="B14" s="1022"/>
      <c r="C14" s="94"/>
      <c r="D14" s="774">
        <v>100</v>
      </c>
      <c r="E14" s="94"/>
      <c r="F14" s="775">
        <f>SUMIF(74:74,E14,75:75)-SUMIF(74:74,C14,75:75)+100</f>
        <v>100</v>
      </c>
      <c r="G14" s="94"/>
      <c r="H14" s="774">
        <f>SUMIF(74:74,G14,75:75)-SUMIF(74:74,C14,75:75)+100</f>
        <v>100</v>
      </c>
      <c r="I14" s="94"/>
      <c r="J14" s="774">
        <f>SUMIF(74:74,I14,75:75)-SUMIF(74:74,C14,75:75)+100</f>
        <v>100</v>
      </c>
      <c r="K14" s="151"/>
      <c r="L14" s="2282"/>
      <c r="M14" s="2277"/>
      <c r="N14" s="2277"/>
      <c r="O14" s="2277"/>
      <c r="P14" s="3671"/>
      <c r="Q14" s="7">
        <f t="shared" si="6"/>
        <v>0</v>
      </c>
      <c r="R14" s="1332" t="s">
        <v>104</v>
      </c>
      <c r="S14" s="1333">
        <f t="shared" si="0"/>
        <v>100</v>
      </c>
      <c r="T14" s="1332" t="s">
        <v>104</v>
      </c>
      <c r="U14" s="1333">
        <f t="shared" si="1"/>
        <v>100</v>
      </c>
      <c r="V14" s="1332" t="s">
        <v>104</v>
      </c>
      <c r="W14" s="1333">
        <f t="shared" si="2"/>
        <v>100</v>
      </c>
      <c r="X14" s="285"/>
      <c r="Y14" s="3429"/>
      <c r="Z14" s="286">
        <f t="shared" si="7"/>
        <v>0</v>
      </c>
      <c r="AA14" s="1334">
        <f t="shared" si="3"/>
        <v>1</v>
      </c>
      <c r="AB14" s="1334">
        <f t="shared" si="4"/>
        <v>1</v>
      </c>
      <c r="AC14" s="1334">
        <f t="shared" si="5"/>
        <v>1</v>
      </c>
    </row>
    <row r="15" spans="1:29" ht="67.5">
      <c r="A15" s="153" t="s">
        <v>69</v>
      </c>
      <c r="B15" s="58" t="s">
        <v>52</v>
      </c>
      <c r="C15" s="155" t="str">
        <f>估价对象房地状况!C3</f>
        <v>估价对象周边有新安里、双河北里等住宅小区，综合评价居住社区成熟度较好</v>
      </c>
      <c r="D15" s="777">
        <v>100</v>
      </c>
      <c r="E15" s="3364" t="s">
        <v>3202</v>
      </c>
      <c r="F15" s="777">
        <f>SUMIF(76:76,E16,77:77)-SUMIF(76:76,C16,77:77)+100</f>
        <v>98</v>
      </c>
      <c r="G15" s="3364" t="s">
        <v>3208</v>
      </c>
      <c r="H15" s="777">
        <f>SUMIF(76:76,G16,77:77)-SUMIF(76:76,C16,77:77)+100</f>
        <v>98</v>
      </c>
      <c r="I15" s="3364" t="s">
        <v>3208</v>
      </c>
      <c r="J15" s="777">
        <f>SUMIF(76:76,I16,77:77)-SUMIF(76:76,C16,77:77)+100</f>
        <v>98</v>
      </c>
      <c r="K15" s="781">
        <v>2</v>
      </c>
      <c r="L15" s="2282"/>
      <c r="M15" s="2277"/>
      <c r="N15" s="2277"/>
      <c r="O15" s="2277"/>
      <c r="P15" s="3669" t="s">
        <v>69</v>
      </c>
      <c r="Q15" s="1340" t="str">
        <f t="shared" si="6"/>
        <v>居住社区成熟度</v>
      </c>
      <c r="R15" s="1341" t="s">
        <v>104</v>
      </c>
      <c r="S15" s="1342">
        <f t="shared" si="0"/>
        <v>98</v>
      </c>
      <c r="T15" s="1341" t="s">
        <v>104</v>
      </c>
      <c r="U15" s="1342">
        <f t="shared" si="1"/>
        <v>98</v>
      </c>
      <c r="V15" s="1341" t="s">
        <v>104</v>
      </c>
      <c r="W15" s="1342">
        <f t="shared" si="2"/>
        <v>98</v>
      </c>
      <c r="X15" s="1330"/>
      <c r="Y15" s="3662" t="s">
        <v>69</v>
      </c>
      <c r="Z15" s="1343" t="str">
        <f t="shared" si="7"/>
        <v>居住社区成熟度</v>
      </c>
      <c r="AA15" s="1344">
        <f t="shared" si="3"/>
        <v>1.0204081632653061</v>
      </c>
      <c r="AB15" s="1344">
        <f t="shared" si="4"/>
        <v>1.0204081632653061</v>
      </c>
      <c r="AC15" s="1344">
        <f t="shared" si="5"/>
        <v>1.0204081632653061</v>
      </c>
    </row>
    <row r="16" spans="1:29" ht="14.25">
      <c r="A16" s="149"/>
      <c r="B16" s="154"/>
      <c r="C16" s="97" t="s">
        <v>3081</v>
      </c>
      <c r="D16" s="784"/>
      <c r="E16" s="3365" t="s">
        <v>3080</v>
      </c>
      <c r="F16" s="784"/>
      <c r="G16" s="3366" t="s">
        <v>3080</v>
      </c>
      <c r="H16" s="786"/>
      <c r="I16" s="3366" t="s">
        <v>3080</v>
      </c>
      <c r="J16" s="784"/>
      <c r="K16" s="157"/>
      <c r="L16" s="2282"/>
      <c r="M16" s="2277"/>
      <c r="N16" s="2277"/>
      <c r="O16" s="2277"/>
      <c r="P16" s="3670"/>
      <c r="Q16" s="1340"/>
      <c r="R16" s="1341"/>
      <c r="S16" s="1342"/>
      <c r="T16" s="1341"/>
      <c r="U16" s="1342"/>
      <c r="V16" s="1341"/>
      <c r="W16" s="1342"/>
      <c r="X16" s="1330"/>
      <c r="Y16" s="3663"/>
      <c r="Z16" s="1343"/>
      <c r="AA16" s="1344">
        <v>1</v>
      </c>
      <c r="AB16" s="1344">
        <v>1</v>
      </c>
      <c r="AC16" s="1344">
        <v>1</v>
      </c>
    </row>
    <row r="17" spans="1:29" ht="67.5">
      <c r="A17" s="149"/>
      <c r="B17" s="1345" t="s">
        <v>72</v>
      </c>
      <c r="C17" s="156" t="str">
        <f>估价对象房地状况!C6</f>
        <v>估价对象周边有849、兴23路等公交线路，综合评价交通便捷度一般</v>
      </c>
      <c r="D17" s="786">
        <v>100</v>
      </c>
      <c r="E17" s="788" t="s">
        <v>3203</v>
      </c>
      <c r="F17" s="786">
        <f>SUMIF(78:78,E18,79:79)-SUMIF(78:78,C18,79:79)+100</f>
        <v>100</v>
      </c>
      <c r="G17" s="3367" t="s">
        <v>3209</v>
      </c>
      <c r="H17" s="791">
        <f>SUMIF(78:78,G18,79:79)-SUMIF(78:78,C18,79:79)+100</f>
        <v>100</v>
      </c>
      <c r="I17" s="3367" t="s">
        <v>3209</v>
      </c>
      <c r="J17" s="791">
        <f>SUMIF(78:78,I18,79:79)-SUMIF(78:78,C18,79:79)+100</f>
        <v>100</v>
      </c>
      <c r="K17" s="781">
        <f>'比较法-车位'!K14</f>
        <v>1</v>
      </c>
      <c r="L17" s="2282"/>
      <c r="M17" s="2277"/>
      <c r="N17" s="2277"/>
      <c r="O17" s="2277"/>
      <c r="P17" s="3670"/>
      <c r="Q17" s="1340" t="str">
        <f>B17</f>
        <v>交通便捷度</v>
      </c>
      <c r="R17" s="1341" t="s">
        <v>104</v>
      </c>
      <c r="S17" s="1342">
        <f>F17</f>
        <v>100</v>
      </c>
      <c r="T17" s="1341" t="s">
        <v>104</v>
      </c>
      <c r="U17" s="1342">
        <f>H17</f>
        <v>100</v>
      </c>
      <c r="V17" s="1341" t="s">
        <v>104</v>
      </c>
      <c r="W17" s="1342">
        <f>J17</f>
        <v>100</v>
      </c>
      <c r="X17" s="1330"/>
      <c r="Y17" s="3663"/>
      <c r="Z17" s="1343" t="str">
        <f>Q17</f>
        <v>交通便捷度</v>
      </c>
      <c r="AA17" s="1344">
        <f t="shared" si="3"/>
        <v>1</v>
      </c>
      <c r="AB17" s="1344">
        <f t="shared" si="4"/>
        <v>1</v>
      </c>
      <c r="AC17" s="1344">
        <f t="shared" si="5"/>
        <v>1</v>
      </c>
    </row>
    <row r="18" spans="1:29" ht="14.25">
      <c r="A18" s="149"/>
      <c r="B18" s="1030"/>
      <c r="C18" s="102" t="s">
        <v>3080</v>
      </c>
      <c r="D18" s="786"/>
      <c r="E18" s="3376" t="s">
        <v>3080</v>
      </c>
      <c r="F18" s="786"/>
      <c r="G18" s="3381" t="s">
        <v>3080</v>
      </c>
      <c r="H18" s="784"/>
      <c r="I18" s="3381" t="s">
        <v>3080</v>
      </c>
      <c r="J18" s="784"/>
      <c r="K18" s="157"/>
      <c r="L18" s="2282"/>
      <c r="M18" s="2277"/>
      <c r="N18" s="2277"/>
      <c r="O18" s="2277"/>
      <c r="P18" s="3670"/>
      <c r="Q18" s="1340"/>
      <c r="R18" s="1341"/>
      <c r="S18" s="1342"/>
      <c r="T18" s="1341"/>
      <c r="U18" s="1342"/>
      <c r="V18" s="1341"/>
      <c r="W18" s="1342"/>
      <c r="X18" s="1330"/>
      <c r="Y18" s="3663"/>
      <c r="Z18" s="1343"/>
      <c r="AA18" s="1344">
        <v>1</v>
      </c>
      <c r="AB18" s="1344">
        <v>1</v>
      </c>
      <c r="AC18" s="1344">
        <v>1</v>
      </c>
    </row>
    <row r="19" spans="1:29" ht="40.5">
      <c r="A19" s="149"/>
      <c r="B19" s="1345" t="s">
        <v>2624</v>
      </c>
      <c r="C19" s="156" t="str">
        <f>估价对象房地状况!C7</f>
        <v>估价对象所在区域公共配套设施齐备较齐备</v>
      </c>
      <c r="D19" s="791">
        <v>100</v>
      </c>
      <c r="E19" s="106"/>
      <c r="F19" s="791">
        <f>SUMIF(80:80,E20,81:81)-SUMIF(80:80,C20,81:81)+100</f>
        <v>99.5</v>
      </c>
      <c r="G19" s="105"/>
      <c r="H19" s="786">
        <f>SUMIF(80:80,G20,81:81)-SUMIF(80:80,C20,81:81)+100</f>
        <v>100</v>
      </c>
      <c r="I19" s="105"/>
      <c r="J19" s="786">
        <f>SUMIF(80:80,I20,81:81)-SUMIF(80:80,C20,81:81)+100</f>
        <v>100</v>
      </c>
      <c r="K19" s="781">
        <f>'比较法-车位'!K16</f>
        <v>0.5</v>
      </c>
      <c r="L19" s="2282"/>
      <c r="M19" s="2277"/>
      <c r="N19" s="2277"/>
      <c r="O19" s="2277"/>
      <c r="P19" s="3670"/>
      <c r="Q19" s="1340" t="str">
        <f>B19</f>
        <v>公共配套设施</v>
      </c>
      <c r="R19" s="1341" t="s">
        <v>104</v>
      </c>
      <c r="S19" s="1342">
        <f>F19</f>
        <v>99.5</v>
      </c>
      <c r="T19" s="1341" t="s">
        <v>104</v>
      </c>
      <c r="U19" s="1342">
        <f>H19</f>
        <v>100</v>
      </c>
      <c r="V19" s="1341" t="s">
        <v>104</v>
      </c>
      <c r="W19" s="1342">
        <f>J19</f>
        <v>100</v>
      </c>
      <c r="X19" s="1330"/>
      <c r="Y19" s="3663"/>
      <c r="Z19" s="1343" t="str">
        <f>Q19</f>
        <v>公共配套设施</v>
      </c>
      <c r="AA19" s="1344">
        <f t="shared" si="3"/>
        <v>1.0050251256281406</v>
      </c>
      <c r="AB19" s="1344">
        <f t="shared" si="4"/>
        <v>1</v>
      </c>
      <c r="AC19" s="1344">
        <f t="shared" si="5"/>
        <v>1</v>
      </c>
    </row>
    <row r="20" spans="1:29" ht="14.25">
      <c r="A20" s="149"/>
      <c r="B20" s="1030"/>
      <c r="C20" s="97" t="s">
        <v>3081</v>
      </c>
      <c r="D20" s="784"/>
      <c r="E20" s="99" t="s">
        <v>3080</v>
      </c>
      <c r="F20" s="784"/>
      <c r="G20" s="98" t="s">
        <v>3081</v>
      </c>
      <c r="H20" s="784"/>
      <c r="I20" s="98" t="s">
        <v>3081</v>
      </c>
      <c r="J20" s="784"/>
      <c r="K20" s="157"/>
      <c r="L20" s="2282"/>
      <c r="M20" s="2277"/>
      <c r="N20" s="2277"/>
      <c r="O20" s="2277"/>
      <c r="P20" s="3670"/>
      <c r="Q20" s="1340"/>
      <c r="R20" s="1341"/>
      <c r="S20" s="1342"/>
      <c r="T20" s="1341"/>
      <c r="U20" s="1342"/>
      <c r="V20" s="1341"/>
      <c r="W20" s="1342"/>
      <c r="X20" s="1330"/>
      <c r="Y20" s="3663"/>
      <c r="Z20" s="1343"/>
      <c r="AA20" s="1344">
        <v>1</v>
      </c>
      <c r="AB20" s="1344">
        <v>1</v>
      </c>
      <c r="AC20" s="1344">
        <v>1</v>
      </c>
    </row>
    <row r="21" spans="1:29" ht="27">
      <c r="A21" s="149"/>
      <c r="B21" s="1401" t="s">
        <v>2635</v>
      </c>
      <c r="C21" s="156" t="str">
        <f>估价对象房地状况!C8</f>
        <v>区域基础设施水平达七通</v>
      </c>
      <c r="D21" s="786">
        <v>100</v>
      </c>
      <c r="E21" s="106"/>
      <c r="F21" s="791">
        <f>SUMIF(82:82,E22,83:83)-SUMIF(82:82,C22,83:83)+100</f>
        <v>100</v>
      </c>
      <c r="G21" s="105"/>
      <c r="H21" s="786">
        <f>SUMIF(82:82,G22,83:83)-SUMIF(82:82,C22,83:83)+100</f>
        <v>100</v>
      </c>
      <c r="I21" s="105"/>
      <c r="J21" s="786">
        <f>SUMIF(82:82,I22,83:83)-SUMIF(82:82,C22,83:83)+100</f>
        <v>100</v>
      </c>
      <c r="K21" s="781">
        <f>'比较法-车位'!K18</f>
        <v>1</v>
      </c>
      <c r="L21" s="2282"/>
      <c r="M21" s="2277"/>
      <c r="N21" s="2277"/>
      <c r="O21" s="2277"/>
      <c r="P21" s="3670"/>
      <c r="Q21" s="2727" t="str">
        <f>B21</f>
        <v>基础设施水平</v>
      </c>
      <c r="R21" s="1341" t="s">
        <v>65</v>
      </c>
      <c r="S21" s="1342">
        <f>F21</f>
        <v>100</v>
      </c>
      <c r="T21" s="1341" t="s">
        <v>65</v>
      </c>
      <c r="U21" s="1342">
        <f>H21</f>
        <v>100</v>
      </c>
      <c r="V21" s="1341" t="s">
        <v>65</v>
      </c>
      <c r="W21" s="1342">
        <f>J21</f>
        <v>100</v>
      </c>
      <c r="X21" s="2729"/>
      <c r="Y21" s="3663"/>
      <c r="Z21" s="2728" t="str">
        <f>Q21</f>
        <v>基础设施水平</v>
      </c>
      <c r="AA21" s="1344">
        <f t="shared" ref="AA21" si="8">D21/F21</f>
        <v>1</v>
      </c>
      <c r="AB21" s="1344">
        <f t="shared" ref="AB21" si="9">D21/H21</f>
        <v>1</v>
      </c>
      <c r="AC21" s="1344">
        <f t="shared" ref="AC21" si="10">D21/J21</f>
        <v>1</v>
      </c>
    </row>
    <row r="22" spans="1:29" ht="14.25">
      <c r="A22" s="149"/>
      <c r="B22" s="1401"/>
      <c r="C22" s="102" t="s">
        <v>3082</v>
      </c>
      <c r="D22" s="784"/>
      <c r="E22" s="97" t="s">
        <v>3082</v>
      </c>
      <c r="F22" s="784"/>
      <c r="G22" s="190" t="s">
        <v>3082</v>
      </c>
      <c r="H22" s="784"/>
      <c r="I22" s="190" t="s">
        <v>3082</v>
      </c>
      <c r="J22" s="784"/>
      <c r="K22" s="2744"/>
      <c r="L22" s="2282"/>
      <c r="M22" s="2277"/>
      <c r="N22" s="2277"/>
      <c r="O22" s="2277"/>
      <c r="P22" s="3670"/>
      <c r="Q22" s="2727"/>
      <c r="R22" s="1341"/>
      <c r="S22" s="1342"/>
      <c r="T22" s="1341"/>
      <c r="U22" s="1342"/>
      <c r="V22" s="1341"/>
      <c r="W22" s="1342"/>
      <c r="X22" s="2729"/>
      <c r="Y22" s="3663"/>
      <c r="Z22" s="2728"/>
      <c r="AA22" s="1344">
        <v>1</v>
      </c>
      <c r="AB22" s="1344">
        <v>1</v>
      </c>
      <c r="AC22" s="1344">
        <v>1</v>
      </c>
    </row>
    <row r="23" spans="1:29" ht="54">
      <c r="A23" s="149"/>
      <c r="B23" s="1345" t="s">
        <v>73</v>
      </c>
      <c r="C23" s="156" t="str">
        <f>估价对象房地状况!C9</f>
        <v>周边有北京广播电视大学、康庄公园；综合评价环境状况较好</v>
      </c>
      <c r="D23" s="786">
        <v>100</v>
      </c>
      <c r="E23" s="3367" t="s">
        <v>3160</v>
      </c>
      <c r="F23" s="786">
        <f>SUMIF(84:84,E24,85:85)-SUMIF(84:84,C24,85:85)+100</f>
        <v>99.5</v>
      </c>
      <c r="G23" s="3367" t="s">
        <v>3210</v>
      </c>
      <c r="H23" s="786">
        <f>SUMIF(84:84,G24,85:85)-SUMIF(84:84,C24,85:85)+100</f>
        <v>99.5</v>
      </c>
      <c r="I23" s="3367" t="s">
        <v>3210</v>
      </c>
      <c r="J23" s="786">
        <f>SUMIF(84:84,I24,85:85)-SUMIF(84:84,C24,85:85)+100</f>
        <v>99.5</v>
      </c>
      <c r="K23" s="781">
        <f>'比较法-车位'!K20</f>
        <v>0.5</v>
      </c>
      <c r="L23" s="2282"/>
      <c r="M23" s="2277"/>
      <c r="N23" s="2277"/>
      <c r="O23" s="2277"/>
      <c r="P23" s="3670"/>
      <c r="Q23" s="1340" t="str">
        <f>B23</f>
        <v>自然及人文环境</v>
      </c>
      <c r="R23" s="1341" t="s">
        <v>104</v>
      </c>
      <c r="S23" s="1342">
        <f>F23</f>
        <v>99.5</v>
      </c>
      <c r="T23" s="1341" t="s">
        <v>104</v>
      </c>
      <c r="U23" s="1342">
        <f>H23</f>
        <v>99.5</v>
      </c>
      <c r="V23" s="1341" t="s">
        <v>104</v>
      </c>
      <c r="W23" s="1342">
        <f>J23</f>
        <v>99.5</v>
      </c>
      <c r="X23" s="1330"/>
      <c r="Y23" s="3663"/>
      <c r="Z23" s="1343" t="str">
        <f>Q23</f>
        <v>自然及人文环境</v>
      </c>
      <c r="AA23" s="1344">
        <f>D23/F23</f>
        <v>1.0050251256281406</v>
      </c>
      <c r="AB23" s="1344">
        <f>D23/H23</f>
        <v>1.0050251256281406</v>
      </c>
      <c r="AC23" s="1344">
        <f>D23/J23</f>
        <v>1.0050251256281406</v>
      </c>
    </row>
    <row r="24" spans="1:29" ht="14.25">
      <c r="A24" s="149"/>
      <c r="B24" s="1030"/>
      <c r="C24" s="97" t="s">
        <v>3081</v>
      </c>
      <c r="D24" s="784"/>
      <c r="E24" s="3365" t="s">
        <v>3080</v>
      </c>
      <c r="F24" s="784"/>
      <c r="G24" s="3366" t="s">
        <v>3211</v>
      </c>
      <c r="H24" s="784"/>
      <c r="I24" s="3366" t="s">
        <v>3211</v>
      </c>
      <c r="J24" s="784"/>
      <c r="K24" s="157"/>
      <c r="L24" s="2282"/>
      <c r="M24" s="2277"/>
      <c r="N24" s="2277"/>
      <c r="O24" s="2277"/>
      <c r="P24" s="3670"/>
      <c r="Q24" s="1340"/>
      <c r="R24" s="1341"/>
      <c r="S24" s="1342"/>
      <c r="T24" s="1341"/>
      <c r="U24" s="1342"/>
      <c r="V24" s="1341"/>
      <c r="W24" s="1342"/>
      <c r="X24" s="1330"/>
      <c r="Y24" s="3663"/>
      <c r="Z24" s="1343"/>
      <c r="AA24" s="1344">
        <v>1</v>
      </c>
      <c r="AB24" s="1344">
        <v>1</v>
      </c>
      <c r="AC24" s="1344">
        <v>1</v>
      </c>
    </row>
    <row r="25" spans="1:29" ht="15">
      <c r="A25" s="149"/>
      <c r="B25" s="12" t="s">
        <v>2285</v>
      </c>
      <c r="C25" s="107"/>
      <c r="D25" s="771">
        <v>100</v>
      </c>
      <c r="E25" s="109"/>
      <c r="F25" s="771">
        <f>SUMIF(86:86,E25,87:87)-SUMIF(86:86,C25,87:87)+100</f>
        <v>100</v>
      </c>
      <c r="G25" s="108"/>
      <c r="H25" s="771">
        <f>SUMIF(86:86,G25,87:87)-SUMIF(86:86,C25,87:87)+100</f>
        <v>100</v>
      </c>
      <c r="I25" s="108"/>
      <c r="J25" s="771">
        <f>SUMIF(86:86,I25,87:87)-SUMIF(86:86,C25,87:87)+100</f>
        <v>100</v>
      </c>
      <c r="K25" s="762"/>
      <c r="L25" s="2282"/>
      <c r="M25" s="2277"/>
      <c r="N25" s="2277"/>
      <c r="O25" s="2277"/>
      <c r="P25" s="3670"/>
      <c r="Q25" s="1340" t="str">
        <f t="shared" ref="Q25:Q46" si="11">B25</f>
        <v>楼层-1</v>
      </c>
      <c r="R25" s="1341" t="s">
        <v>104</v>
      </c>
      <c r="S25" s="1342">
        <f t="shared" ref="S25:S46" si="12">F25</f>
        <v>100</v>
      </c>
      <c r="T25" s="1341" t="s">
        <v>104</v>
      </c>
      <c r="U25" s="1342">
        <f t="shared" ref="U25:U46" si="13">H25</f>
        <v>100</v>
      </c>
      <c r="V25" s="1341" t="s">
        <v>104</v>
      </c>
      <c r="W25" s="1342">
        <f t="shared" ref="W25:W46" si="14">J25</f>
        <v>100</v>
      </c>
      <c r="X25" s="1330"/>
      <c r="Y25" s="3663"/>
      <c r="Z25" s="1343" t="str">
        <f>Q25</f>
        <v>楼层-1</v>
      </c>
      <c r="AA25" s="1344">
        <f t="shared" ref="AA25:AA46" si="15">D25/F25</f>
        <v>1</v>
      </c>
      <c r="AB25" s="1344">
        <f t="shared" ref="AB25:AB46" si="16">D25/H25</f>
        <v>1</v>
      </c>
      <c r="AC25" s="1344">
        <f t="shared" ref="AC25:AC46" si="17">D25/J25</f>
        <v>1</v>
      </c>
    </row>
    <row r="26" spans="1:29" ht="15">
      <c r="A26" s="149"/>
      <c r="B26" s="12" t="s">
        <v>74</v>
      </c>
      <c r="C26" s="107"/>
      <c r="D26" s="771">
        <v>100</v>
      </c>
      <c r="E26" s="109"/>
      <c r="F26" s="771">
        <f>SUMIF(88:88,E26,89:89)-SUMIF(88:88,C26,89:89)+100</f>
        <v>100</v>
      </c>
      <c r="G26" s="108"/>
      <c r="H26" s="771">
        <f>SUMIF(88:88,G26,89:89)-SUMIF(88:88,C26,89:89)+100</f>
        <v>100</v>
      </c>
      <c r="I26" s="108"/>
      <c r="J26" s="771">
        <f>SUMIF(88:88,I26,89:89)-SUMIF(88:88,C26,89:89)+100</f>
        <v>100</v>
      </c>
      <c r="K26" s="762"/>
      <c r="L26" s="2282"/>
      <c r="M26" s="2277"/>
      <c r="N26" s="2277"/>
      <c r="O26" s="2277"/>
      <c r="P26" s="3670"/>
      <c r="Q26" s="1340" t="str">
        <f t="shared" si="11"/>
        <v>朝向</v>
      </c>
      <c r="R26" s="1341" t="s">
        <v>104</v>
      </c>
      <c r="S26" s="1342">
        <f t="shared" si="12"/>
        <v>100</v>
      </c>
      <c r="T26" s="1341" t="s">
        <v>104</v>
      </c>
      <c r="U26" s="1342">
        <f t="shared" si="13"/>
        <v>100</v>
      </c>
      <c r="V26" s="1341" t="s">
        <v>104</v>
      </c>
      <c r="W26" s="1342">
        <f t="shared" si="14"/>
        <v>100</v>
      </c>
      <c r="X26" s="1330"/>
      <c r="Y26" s="3663"/>
      <c r="Z26" s="1343" t="str">
        <f>Q26</f>
        <v>朝向</v>
      </c>
      <c r="AA26" s="1344">
        <f t="shared" si="15"/>
        <v>1</v>
      </c>
      <c r="AB26" s="1344">
        <f t="shared" si="16"/>
        <v>1</v>
      </c>
      <c r="AC26" s="1344">
        <f t="shared" si="17"/>
        <v>1</v>
      </c>
    </row>
    <row r="27" spans="1:29" s="40" customFormat="1" ht="14.25">
      <c r="A27" s="1020"/>
      <c r="B27" s="1346"/>
      <c r="C27" s="1016"/>
      <c r="D27" s="798">
        <v>100</v>
      </c>
      <c r="E27" s="1018"/>
      <c r="F27" s="798">
        <f>SUMIF(90:90,E27,91:91)-SUMIF(90:90,C27,91:91)+100</f>
        <v>100</v>
      </c>
      <c r="G27" s="1019"/>
      <c r="H27" s="798">
        <f>SUMIF(90:90,G27,91:91)-SUMIF(90:90,C27,91:91)+100</f>
        <v>100</v>
      </c>
      <c r="I27" s="1019"/>
      <c r="J27" s="798">
        <f>SUMIF(90:90,I27,91:91)-SUMIF(90:90,C27,91:91)+100</f>
        <v>100</v>
      </c>
      <c r="K27" s="151"/>
      <c r="L27" s="2278"/>
      <c r="M27" s="2240"/>
      <c r="N27" s="2240"/>
      <c r="O27" s="2240"/>
      <c r="P27" s="3670"/>
      <c r="Q27" s="7">
        <f t="shared" si="11"/>
        <v>0</v>
      </c>
      <c r="R27" s="1332" t="s">
        <v>104</v>
      </c>
      <c r="S27" s="1333">
        <f t="shared" si="12"/>
        <v>100</v>
      </c>
      <c r="T27" s="1332" t="s">
        <v>104</v>
      </c>
      <c r="U27" s="1333">
        <f t="shared" si="13"/>
        <v>100</v>
      </c>
      <c r="V27" s="1332" t="s">
        <v>104</v>
      </c>
      <c r="W27" s="1333">
        <f t="shared" si="14"/>
        <v>100</v>
      </c>
      <c r="X27" s="285"/>
      <c r="Y27" s="3663"/>
      <c r="Z27" s="286">
        <f>Q27</f>
        <v>0</v>
      </c>
      <c r="AA27" s="1344">
        <f t="shared" si="15"/>
        <v>1</v>
      </c>
      <c r="AB27" s="1344">
        <f t="shared" si="16"/>
        <v>1</v>
      </c>
      <c r="AC27" s="1344">
        <f t="shared" si="17"/>
        <v>1</v>
      </c>
    </row>
    <row r="28" spans="1:29" ht="14.25">
      <c r="A28" s="149"/>
      <c r="B28" s="1346"/>
      <c r="C28" s="93"/>
      <c r="D28" s="771">
        <v>100</v>
      </c>
      <c r="E28" s="93"/>
      <c r="F28" s="771">
        <f>SUMIF(92:92,E28,93:93)-SUMIF(92:92,C28,93:93)+100</f>
        <v>100</v>
      </c>
      <c r="G28" s="192"/>
      <c r="H28" s="771">
        <f>SUMIF(92:92,G28,93:93)-SUMIF(92:92,C28,93:93)+100</f>
        <v>100</v>
      </c>
      <c r="I28" s="93"/>
      <c r="J28" s="771">
        <f>SUMIF(92:92,I28,93:93)-SUMIF(92:92,C28,93:93)+100</f>
        <v>100</v>
      </c>
      <c r="K28" s="151"/>
      <c r="L28" s="2282"/>
      <c r="M28" s="2277"/>
      <c r="N28" s="2277"/>
      <c r="O28" s="2277"/>
      <c r="P28" s="3670"/>
      <c r="Q28" s="1340">
        <f t="shared" si="11"/>
        <v>0</v>
      </c>
      <c r="R28" s="1341" t="s">
        <v>104</v>
      </c>
      <c r="S28" s="1342">
        <f t="shared" si="12"/>
        <v>100</v>
      </c>
      <c r="T28" s="1341" t="s">
        <v>104</v>
      </c>
      <c r="U28" s="1342">
        <f t="shared" si="13"/>
        <v>100</v>
      </c>
      <c r="V28" s="1341" t="s">
        <v>104</v>
      </c>
      <c r="W28" s="1342">
        <f t="shared" si="14"/>
        <v>100</v>
      </c>
      <c r="X28" s="1330"/>
      <c r="Y28" s="3663"/>
      <c r="Z28" s="1343">
        <f t="shared" ref="Z28:Z46" si="18">Q28</f>
        <v>0</v>
      </c>
      <c r="AA28" s="1344">
        <f t="shared" si="15"/>
        <v>1</v>
      </c>
      <c r="AB28" s="1344">
        <f t="shared" si="16"/>
        <v>1</v>
      </c>
      <c r="AC28" s="1344">
        <f t="shared" si="17"/>
        <v>1</v>
      </c>
    </row>
    <row r="29" spans="1:29" ht="14.25">
      <c r="A29" s="149"/>
      <c r="B29" s="1346"/>
      <c r="C29" s="93"/>
      <c r="D29" s="771">
        <v>100</v>
      </c>
      <c r="E29" s="93"/>
      <c r="F29" s="771">
        <f>SUMIF(94:94,E29,95:95)-SUMIF(94:94,C29,95:95)+100</f>
        <v>100</v>
      </c>
      <c r="G29" s="192"/>
      <c r="H29" s="771">
        <f>SUMIF(94:94,G29,95:95)-SUMIF(94:94,C29,95:95)+100</f>
        <v>100</v>
      </c>
      <c r="I29" s="93"/>
      <c r="J29" s="771">
        <f>SUMIF(94:94,I29,95:95)-SUMIF(94:94,C29,95:95)+100</f>
        <v>100</v>
      </c>
      <c r="K29" s="151"/>
      <c r="L29" s="2282"/>
      <c r="M29" s="2277"/>
      <c r="N29" s="2277"/>
      <c r="O29" s="2277"/>
      <c r="P29" s="3670"/>
      <c r="Q29" s="1340">
        <f t="shared" si="11"/>
        <v>0</v>
      </c>
      <c r="R29" s="1341" t="s">
        <v>104</v>
      </c>
      <c r="S29" s="1342">
        <f t="shared" si="12"/>
        <v>100</v>
      </c>
      <c r="T29" s="1341" t="s">
        <v>104</v>
      </c>
      <c r="U29" s="1342">
        <f t="shared" si="13"/>
        <v>100</v>
      </c>
      <c r="V29" s="1341" t="s">
        <v>104</v>
      </c>
      <c r="W29" s="1342">
        <f t="shared" si="14"/>
        <v>100</v>
      </c>
      <c r="X29" s="1330"/>
      <c r="Y29" s="3663"/>
      <c r="Z29" s="1343">
        <f t="shared" si="18"/>
        <v>0</v>
      </c>
      <c r="AA29" s="1344">
        <f t="shared" si="15"/>
        <v>1</v>
      </c>
      <c r="AB29" s="1344">
        <f t="shared" si="16"/>
        <v>1</v>
      </c>
      <c r="AC29" s="1344">
        <f t="shared" si="17"/>
        <v>1</v>
      </c>
    </row>
    <row r="30" spans="1:29" ht="14.25">
      <c r="A30" s="149"/>
      <c r="B30" s="1346"/>
      <c r="C30" s="93"/>
      <c r="D30" s="771">
        <v>100</v>
      </c>
      <c r="E30" s="93"/>
      <c r="F30" s="771">
        <f>SUMIF(96:96,E30,97:97)-SUMIF(96:96,C30,97:97)+100</f>
        <v>100</v>
      </c>
      <c r="G30" s="192"/>
      <c r="H30" s="771">
        <f>SUMIF(96:96,G30,97:97)-SUMIF(96:96,C30,97:97)+100</f>
        <v>100</v>
      </c>
      <c r="I30" s="93"/>
      <c r="J30" s="771">
        <f>SUMIF(96:96,I30,97:97)-SUMIF(96:96,C30,97:97)+100</f>
        <v>100</v>
      </c>
      <c r="K30" s="151"/>
      <c r="L30" s="2282"/>
      <c r="M30" s="2277"/>
      <c r="N30" s="2277"/>
      <c r="O30" s="2277"/>
      <c r="P30" s="3670"/>
      <c r="Q30" s="1340">
        <f t="shared" si="11"/>
        <v>0</v>
      </c>
      <c r="R30" s="1341" t="s">
        <v>104</v>
      </c>
      <c r="S30" s="1342">
        <f t="shared" si="12"/>
        <v>100</v>
      </c>
      <c r="T30" s="1341" t="s">
        <v>104</v>
      </c>
      <c r="U30" s="1342">
        <f t="shared" si="13"/>
        <v>100</v>
      </c>
      <c r="V30" s="1341" t="s">
        <v>104</v>
      </c>
      <c r="W30" s="1342">
        <f t="shared" si="14"/>
        <v>100</v>
      </c>
      <c r="X30" s="1330"/>
      <c r="Y30" s="3663"/>
      <c r="Z30" s="1343">
        <f t="shared" si="18"/>
        <v>0</v>
      </c>
      <c r="AA30" s="1344">
        <f t="shared" si="15"/>
        <v>1</v>
      </c>
      <c r="AB30" s="1344">
        <f t="shared" si="16"/>
        <v>1</v>
      </c>
      <c r="AC30" s="1344">
        <f t="shared" si="17"/>
        <v>1</v>
      </c>
    </row>
    <row r="31" spans="1:29" ht="15" thickBot="1">
      <c r="A31" s="152"/>
      <c r="B31" s="1346"/>
      <c r="C31" s="94"/>
      <c r="D31" s="774">
        <v>100</v>
      </c>
      <c r="E31" s="94"/>
      <c r="F31" s="774">
        <f>SUMIF(98:98,E31,99:99)-SUMIF(98:98,C31,99:99)+100</f>
        <v>100</v>
      </c>
      <c r="G31" s="194"/>
      <c r="H31" s="774">
        <f>SUMIF(98:98,G31,99:99)-SUMIF(98:98,C31,99:99)+100</f>
        <v>100</v>
      </c>
      <c r="I31" s="94"/>
      <c r="J31" s="774">
        <f>SUMIF(98:98,I31,99:99)-SUMIF(98:98,C31,99:99)+100</f>
        <v>100</v>
      </c>
      <c r="K31" s="151"/>
      <c r="L31" s="2282"/>
      <c r="M31" s="2277"/>
      <c r="N31" s="2277"/>
      <c r="O31" s="2277"/>
      <c r="P31" s="3670"/>
      <c r="Q31" s="1340">
        <f t="shared" si="11"/>
        <v>0</v>
      </c>
      <c r="R31" s="1341" t="s">
        <v>104</v>
      </c>
      <c r="S31" s="1342">
        <f t="shared" si="12"/>
        <v>100</v>
      </c>
      <c r="T31" s="1341" t="s">
        <v>104</v>
      </c>
      <c r="U31" s="1342">
        <f t="shared" si="13"/>
        <v>100</v>
      </c>
      <c r="V31" s="1341" t="s">
        <v>104</v>
      </c>
      <c r="W31" s="1342">
        <f t="shared" si="14"/>
        <v>100</v>
      </c>
      <c r="X31" s="1330"/>
      <c r="Y31" s="3663"/>
      <c r="Z31" s="1343">
        <f t="shared" si="18"/>
        <v>0</v>
      </c>
      <c r="AA31" s="1344">
        <f t="shared" si="15"/>
        <v>1</v>
      </c>
      <c r="AB31" s="1344">
        <f t="shared" si="16"/>
        <v>1</v>
      </c>
      <c r="AC31" s="1344">
        <f t="shared" si="17"/>
        <v>1</v>
      </c>
    </row>
    <row r="32" spans="1:29" ht="15">
      <c r="A32" s="153" t="s">
        <v>992</v>
      </c>
      <c r="B32" s="62" t="s">
        <v>75</v>
      </c>
      <c r="C32" s="110" t="s">
        <v>3176</v>
      </c>
      <c r="D32" s="802">
        <v>100</v>
      </c>
      <c r="E32" s="3377" t="s">
        <v>3176</v>
      </c>
      <c r="F32" s="797">
        <f>SUMIF(100:100,E32,101:101)-SUMIF(100:100,C32,101:101)+100</f>
        <v>100</v>
      </c>
      <c r="G32" s="3382" t="s">
        <v>3176</v>
      </c>
      <c r="H32" s="802">
        <f>SUMIF(100:100,G32,101:101)-SUMIF(100:100,C32,101:101)+100</f>
        <v>100</v>
      </c>
      <c r="I32" s="3382" t="s">
        <v>3176</v>
      </c>
      <c r="J32" s="771">
        <f>SUMIF(100:100,I32,101:101)-SUMIF(100:100,C32,101:101)+100</f>
        <v>100</v>
      </c>
      <c r="K32" s="762">
        <v>1</v>
      </c>
      <c r="L32" s="2282"/>
      <c r="M32" s="2277"/>
      <c r="N32" s="2277"/>
      <c r="O32" s="2277"/>
      <c r="P32" s="3664" t="s">
        <v>70</v>
      </c>
      <c r="Q32" s="1340" t="str">
        <f t="shared" si="11"/>
        <v>建筑类型</v>
      </c>
      <c r="R32" s="1341" t="s">
        <v>104</v>
      </c>
      <c r="S32" s="1342">
        <f t="shared" si="12"/>
        <v>100</v>
      </c>
      <c r="T32" s="1341" t="s">
        <v>104</v>
      </c>
      <c r="U32" s="1342">
        <f t="shared" si="13"/>
        <v>100</v>
      </c>
      <c r="V32" s="1341" t="s">
        <v>104</v>
      </c>
      <c r="W32" s="1342">
        <f t="shared" si="14"/>
        <v>100</v>
      </c>
      <c r="X32" s="1330"/>
      <c r="Y32" s="3667" t="s">
        <v>70</v>
      </c>
      <c r="Z32" s="1343" t="str">
        <f t="shared" si="18"/>
        <v>建筑类型</v>
      </c>
      <c r="AA32" s="1344">
        <f t="shared" si="15"/>
        <v>1</v>
      </c>
      <c r="AB32" s="1344">
        <f t="shared" si="16"/>
        <v>1</v>
      </c>
      <c r="AC32" s="1344">
        <f t="shared" si="17"/>
        <v>1</v>
      </c>
    </row>
    <row r="33" spans="1:29" s="1029" customFormat="1" ht="14.25">
      <c r="A33" s="1033"/>
      <c r="B33" s="12" t="s">
        <v>76</v>
      </c>
      <c r="C33" s="804">
        <v>132937</v>
      </c>
      <c r="D33" s="422">
        <v>100</v>
      </c>
      <c r="E33" s="766">
        <v>41700</v>
      </c>
      <c r="F33" s="761">
        <f>LOOKUP(E33,103:103,104:104)-LOOKUP(C33,103:103,104:104)+100</f>
        <v>99.5</v>
      </c>
      <c r="G33" s="765">
        <v>206225</v>
      </c>
      <c r="H33" s="422">
        <f>LOOKUP(G33,103:103,104:104)-LOOKUP(C33,103:103,104:104)+100</f>
        <v>100.5</v>
      </c>
      <c r="I33" s="766">
        <v>67937</v>
      </c>
      <c r="J33" s="422">
        <f>LOOKUP(I33,103:103,104:104)-LOOKUP(C33,103:103,104:104)+100</f>
        <v>99.5</v>
      </c>
      <c r="K33" s="151"/>
      <c r="L33" s="2281"/>
      <c r="M33" s="2283"/>
      <c r="N33" s="2283"/>
      <c r="O33" s="2283"/>
      <c r="P33" s="3665"/>
      <c r="Q33" s="1348" t="str">
        <f t="shared" si="11"/>
        <v>项目建筑规模</v>
      </c>
      <c r="R33" s="1349" t="s">
        <v>104</v>
      </c>
      <c r="S33" s="1350">
        <f t="shared" si="12"/>
        <v>99.5</v>
      </c>
      <c r="T33" s="1349" t="s">
        <v>104</v>
      </c>
      <c r="U33" s="1350">
        <f t="shared" si="13"/>
        <v>100.5</v>
      </c>
      <c r="V33" s="1349" t="s">
        <v>104</v>
      </c>
      <c r="W33" s="1350">
        <f t="shared" si="14"/>
        <v>99.5</v>
      </c>
      <c r="X33" s="1351"/>
      <c r="Y33" s="3667"/>
      <c r="Z33" s="1352" t="str">
        <f t="shared" si="18"/>
        <v>项目建筑规模</v>
      </c>
      <c r="AA33" s="1344">
        <f t="shared" si="15"/>
        <v>1.0050251256281406</v>
      </c>
      <c r="AB33" s="1344">
        <f t="shared" si="16"/>
        <v>0.99502487562189057</v>
      </c>
      <c r="AC33" s="1344">
        <f t="shared" si="17"/>
        <v>1.0050251256281406</v>
      </c>
    </row>
    <row r="34" spans="1:29" ht="15">
      <c r="A34" s="159"/>
      <c r="B34" s="12" t="s">
        <v>77</v>
      </c>
      <c r="C34" s="111" t="s">
        <v>3110</v>
      </c>
      <c r="D34" s="771">
        <v>100</v>
      </c>
      <c r="E34" s="3378" t="s">
        <v>3204</v>
      </c>
      <c r="F34" s="797">
        <f>SUMIF(105:105,E34,106:106)-SUMIF(105:105,C34,106:106)+100</f>
        <v>100</v>
      </c>
      <c r="G34" s="3383" t="s">
        <v>3204</v>
      </c>
      <c r="H34" s="771">
        <f>SUMIF(105:105,G34,106:106)-SUMIF(105:105,C34,106:106)+100</f>
        <v>100</v>
      </c>
      <c r="I34" s="3383" t="s">
        <v>3204</v>
      </c>
      <c r="J34" s="771">
        <f>SUMIF(105:105,I34,106:106)-SUMIF(105:105,C34,106:106)+100</f>
        <v>100</v>
      </c>
      <c r="K34" s="762">
        <v>1</v>
      </c>
      <c r="L34" s="2282"/>
      <c r="M34" s="2277"/>
      <c r="N34" s="2277"/>
      <c r="O34" s="2277"/>
      <c r="P34" s="3665"/>
      <c r="Q34" s="1340" t="str">
        <f t="shared" si="11"/>
        <v>建筑结构</v>
      </c>
      <c r="R34" s="1341" t="s">
        <v>104</v>
      </c>
      <c r="S34" s="1342">
        <f t="shared" si="12"/>
        <v>100</v>
      </c>
      <c r="T34" s="1341" t="s">
        <v>104</v>
      </c>
      <c r="U34" s="1342">
        <f t="shared" si="13"/>
        <v>100</v>
      </c>
      <c r="V34" s="1341" t="s">
        <v>104</v>
      </c>
      <c r="W34" s="1342">
        <f t="shared" si="14"/>
        <v>100</v>
      </c>
      <c r="X34" s="1330"/>
      <c r="Y34" s="3667"/>
      <c r="Z34" s="1343" t="str">
        <f t="shared" si="18"/>
        <v>建筑结构</v>
      </c>
      <c r="AA34" s="1344">
        <f t="shared" si="15"/>
        <v>1</v>
      </c>
      <c r="AB34" s="1344">
        <f t="shared" si="16"/>
        <v>1</v>
      </c>
      <c r="AC34" s="1344">
        <f t="shared" si="17"/>
        <v>1</v>
      </c>
    </row>
    <row r="35" spans="1:29" ht="15">
      <c r="A35" s="159"/>
      <c r="B35" s="12" t="s">
        <v>78</v>
      </c>
      <c r="C35" s="109" t="s">
        <v>3179</v>
      </c>
      <c r="D35" s="771">
        <v>100</v>
      </c>
      <c r="E35" s="3379" t="s">
        <v>3179</v>
      </c>
      <c r="F35" s="797">
        <f>SUMIF(107:107,E35,108:108)-SUMIF(107:107,C35,108:108)+100</f>
        <v>100</v>
      </c>
      <c r="G35" s="3369" t="s">
        <v>3179</v>
      </c>
      <c r="H35" s="771">
        <f>SUMIF(107:107,G35,108:108)-SUMIF(107:107,C35,108:108)+100</f>
        <v>100</v>
      </c>
      <c r="I35" s="3369" t="s">
        <v>3179</v>
      </c>
      <c r="J35" s="771">
        <f>SUMIF(107:107,I35,108:108)-SUMIF(107:107,C35,108:108)+100</f>
        <v>100</v>
      </c>
      <c r="K35" s="762">
        <v>5</v>
      </c>
      <c r="L35" s="2282"/>
      <c r="M35" s="2277"/>
      <c r="N35" s="2277"/>
      <c r="O35" s="2277"/>
      <c r="P35" s="3665"/>
      <c r="Q35" s="1340" t="str">
        <f t="shared" si="11"/>
        <v>建筑品质</v>
      </c>
      <c r="R35" s="1341" t="s">
        <v>104</v>
      </c>
      <c r="S35" s="1342">
        <f t="shared" si="12"/>
        <v>100</v>
      </c>
      <c r="T35" s="1341" t="s">
        <v>104</v>
      </c>
      <c r="U35" s="1342">
        <f t="shared" si="13"/>
        <v>100</v>
      </c>
      <c r="V35" s="1341" t="s">
        <v>104</v>
      </c>
      <c r="W35" s="1342">
        <f t="shared" si="14"/>
        <v>100</v>
      </c>
      <c r="X35" s="1330"/>
      <c r="Y35" s="3667"/>
      <c r="Z35" s="1343" t="str">
        <f t="shared" si="18"/>
        <v>建筑品质</v>
      </c>
      <c r="AA35" s="1344">
        <f t="shared" si="15"/>
        <v>1</v>
      </c>
      <c r="AB35" s="1344">
        <f t="shared" si="16"/>
        <v>1</v>
      </c>
      <c r="AC35" s="1344">
        <f t="shared" si="17"/>
        <v>1</v>
      </c>
    </row>
    <row r="36" spans="1:29" ht="15">
      <c r="A36" s="159"/>
      <c r="B36" s="12" t="s">
        <v>79</v>
      </c>
      <c r="C36" s="109" t="s">
        <v>3182</v>
      </c>
      <c r="D36" s="771">
        <v>100</v>
      </c>
      <c r="E36" s="3379" t="s">
        <v>3182</v>
      </c>
      <c r="F36" s="797">
        <f>SUMIF(109:109,E36,110:110)-SUMIF(109:109,C36,110:110)+100</f>
        <v>100</v>
      </c>
      <c r="G36" s="3379" t="s">
        <v>3182</v>
      </c>
      <c r="H36" s="771">
        <f>SUMIF(109:109,G36,110:110)-SUMIF(109:109,C36,110:110)+100</f>
        <v>100</v>
      </c>
      <c r="I36" s="3379" t="s">
        <v>3182</v>
      </c>
      <c r="J36" s="771">
        <f>SUMIF(109:109,I36,110:110)-SUMIF(109:109,C36,110:110)+100</f>
        <v>100</v>
      </c>
      <c r="K36" s="762">
        <v>3</v>
      </c>
      <c r="L36" s="2282"/>
      <c r="M36" s="2277"/>
      <c r="N36" s="2277"/>
      <c r="O36" s="2277"/>
      <c r="P36" s="3665"/>
      <c r="Q36" s="1340" t="str">
        <f t="shared" si="11"/>
        <v>公共部分装修</v>
      </c>
      <c r="R36" s="1341" t="s">
        <v>104</v>
      </c>
      <c r="S36" s="1342">
        <f t="shared" si="12"/>
        <v>100</v>
      </c>
      <c r="T36" s="1341" t="s">
        <v>104</v>
      </c>
      <c r="U36" s="1342">
        <f t="shared" si="13"/>
        <v>100</v>
      </c>
      <c r="V36" s="1341" t="s">
        <v>104</v>
      </c>
      <c r="W36" s="1342">
        <f t="shared" si="14"/>
        <v>100</v>
      </c>
      <c r="X36" s="1330"/>
      <c r="Y36" s="3667"/>
      <c r="Z36" s="1343" t="str">
        <f t="shared" si="18"/>
        <v>公共部分装修</v>
      </c>
      <c r="AA36" s="1344">
        <f t="shared" si="15"/>
        <v>1</v>
      </c>
      <c r="AB36" s="1344">
        <f t="shared" si="16"/>
        <v>1</v>
      </c>
      <c r="AC36" s="1344">
        <f t="shared" si="17"/>
        <v>1</v>
      </c>
    </row>
    <row r="37" spans="1:29" s="40" customFormat="1" ht="15">
      <c r="A37" s="1031"/>
      <c r="B37" s="12" t="s">
        <v>80</v>
      </c>
      <c r="C37" s="809">
        <v>1</v>
      </c>
      <c r="D37" s="422">
        <v>100</v>
      </c>
      <c r="E37" s="810">
        <v>1</v>
      </c>
      <c r="F37" s="761">
        <f>LOOKUP(E37,112:112,113:113)-LOOKUP(C37,112:112,113:113)+100</f>
        <v>100</v>
      </c>
      <c r="G37" s="811">
        <v>1</v>
      </c>
      <c r="H37" s="422">
        <f>LOOKUP(G37,112:112,113:113)-LOOKUP(C37,112:112,113:113)+100</f>
        <v>100</v>
      </c>
      <c r="I37" s="811">
        <v>1</v>
      </c>
      <c r="J37" s="422">
        <f>LOOKUP(I37,112:112,113:113)-LOOKUP(C37,112:112,113:113)+100</f>
        <v>100</v>
      </c>
      <c r="K37" s="762">
        <v>1</v>
      </c>
      <c r="L37" s="2278"/>
      <c r="M37" s="2240"/>
      <c r="N37" s="2240"/>
      <c r="O37" s="2240"/>
      <c r="P37" s="3665"/>
      <c r="Q37" s="7" t="str">
        <f t="shared" si="11"/>
        <v>成新度</v>
      </c>
      <c r="R37" s="1332" t="s">
        <v>104</v>
      </c>
      <c r="S37" s="1333">
        <f t="shared" si="12"/>
        <v>100</v>
      </c>
      <c r="T37" s="1332" t="s">
        <v>104</v>
      </c>
      <c r="U37" s="1333">
        <f t="shared" si="13"/>
        <v>100</v>
      </c>
      <c r="V37" s="1332" t="s">
        <v>104</v>
      </c>
      <c r="W37" s="1333">
        <f t="shared" si="14"/>
        <v>100</v>
      </c>
      <c r="X37" s="285"/>
      <c r="Y37" s="3667"/>
      <c r="Z37" s="286" t="str">
        <f t="shared" si="18"/>
        <v>成新度</v>
      </c>
      <c r="AA37" s="1334">
        <f t="shared" si="15"/>
        <v>1</v>
      </c>
      <c r="AB37" s="1334">
        <f t="shared" si="16"/>
        <v>1</v>
      </c>
      <c r="AC37" s="1334">
        <f t="shared" si="17"/>
        <v>1</v>
      </c>
    </row>
    <row r="38" spans="1:29" ht="15">
      <c r="A38" s="159"/>
      <c r="B38" s="12" t="s">
        <v>81</v>
      </c>
      <c r="C38" s="109" t="s">
        <v>3121</v>
      </c>
      <c r="D38" s="771">
        <v>100</v>
      </c>
      <c r="E38" s="3379" t="s">
        <v>3205</v>
      </c>
      <c r="F38" s="797">
        <f>SUMIF(114:114,E38,115:115)-SUMIF(114:114,C38,115:115)+100</f>
        <v>100</v>
      </c>
      <c r="G38" s="3369" t="s">
        <v>3205</v>
      </c>
      <c r="H38" s="771">
        <f>SUMIF(114:114,G38,115:115)-SUMIF(114:114,C38,115:115)+100</f>
        <v>100</v>
      </c>
      <c r="I38" s="3369" t="s">
        <v>3205</v>
      </c>
      <c r="J38" s="771">
        <f>SUMIF(114:114,I38,115:115)-SUMIF(114:114,C38,115:115)+100</f>
        <v>100</v>
      </c>
      <c r="K38" s="762">
        <v>1</v>
      </c>
      <c r="L38" s="2282"/>
      <c r="M38" s="2277"/>
      <c r="N38" s="2277"/>
      <c r="O38" s="2277"/>
      <c r="P38" s="3665" t="s">
        <v>70</v>
      </c>
      <c r="Q38" s="1340" t="str">
        <f t="shared" si="11"/>
        <v>物业管理</v>
      </c>
      <c r="R38" s="1341" t="s">
        <v>104</v>
      </c>
      <c r="S38" s="1342">
        <f t="shared" si="12"/>
        <v>100</v>
      </c>
      <c r="T38" s="1341" t="s">
        <v>104</v>
      </c>
      <c r="U38" s="1342">
        <f t="shared" si="13"/>
        <v>100</v>
      </c>
      <c r="V38" s="1341" t="s">
        <v>104</v>
      </c>
      <c r="W38" s="1342">
        <f t="shared" si="14"/>
        <v>100</v>
      </c>
      <c r="X38" s="1330"/>
      <c r="Y38" s="3667" t="s">
        <v>70</v>
      </c>
      <c r="Z38" s="1343" t="str">
        <f t="shared" si="18"/>
        <v>物业管理</v>
      </c>
      <c r="AA38" s="1344">
        <f t="shared" si="15"/>
        <v>1</v>
      </c>
      <c r="AB38" s="1344">
        <f t="shared" si="16"/>
        <v>1</v>
      </c>
      <c r="AC38" s="1344">
        <f t="shared" si="17"/>
        <v>1</v>
      </c>
    </row>
    <row r="39" spans="1:29" ht="15">
      <c r="A39" s="159"/>
      <c r="B39" s="12" t="s">
        <v>2636</v>
      </c>
      <c r="C39" s="109" t="s">
        <v>3098</v>
      </c>
      <c r="D39" s="771">
        <v>100</v>
      </c>
      <c r="E39" s="3380" t="s">
        <v>3098</v>
      </c>
      <c r="F39" s="797">
        <f>SUMIF(116:116,E39,117:117)-SUMIF(116:116,C39,117:117)+100</f>
        <v>100</v>
      </c>
      <c r="G39" s="3384" t="s">
        <v>3098</v>
      </c>
      <c r="H39" s="771">
        <f>SUMIF(116:116,G39,117:117)-SUMIF(116:116,C39,117:117)+100</f>
        <v>100</v>
      </c>
      <c r="I39" s="3384" t="s">
        <v>3098</v>
      </c>
      <c r="J39" s="771">
        <f>SUMIF(116:116,I39,117:117)-SUMIF(116:116,C39,117:117)+100</f>
        <v>100</v>
      </c>
      <c r="K39" s="762">
        <v>1</v>
      </c>
      <c r="L39" s="2282"/>
      <c r="M39" s="2277"/>
      <c r="N39" s="2277"/>
      <c r="O39" s="2277"/>
      <c r="P39" s="3665"/>
      <c r="Q39" s="1340" t="str">
        <f t="shared" si="11"/>
        <v>市政基础设施</v>
      </c>
      <c r="R39" s="1341" t="s">
        <v>104</v>
      </c>
      <c r="S39" s="1342">
        <f t="shared" si="12"/>
        <v>100</v>
      </c>
      <c r="T39" s="1341" t="s">
        <v>104</v>
      </c>
      <c r="U39" s="1342">
        <f t="shared" si="13"/>
        <v>100</v>
      </c>
      <c r="V39" s="1341" t="s">
        <v>104</v>
      </c>
      <c r="W39" s="1342">
        <f t="shared" si="14"/>
        <v>100</v>
      </c>
      <c r="X39" s="1330"/>
      <c r="Y39" s="3667"/>
      <c r="Z39" s="1343" t="str">
        <f t="shared" si="18"/>
        <v>市政基础设施</v>
      </c>
      <c r="AA39" s="1344">
        <f t="shared" si="15"/>
        <v>1</v>
      </c>
      <c r="AB39" s="1344">
        <f t="shared" si="16"/>
        <v>1</v>
      </c>
      <c r="AC39" s="1344">
        <f t="shared" si="17"/>
        <v>1</v>
      </c>
    </row>
    <row r="40" spans="1:29" ht="15">
      <c r="A40" s="159"/>
      <c r="B40" s="12" t="s">
        <v>82</v>
      </c>
      <c r="C40" s="3379" t="s">
        <v>3206</v>
      </c>
      <c r="D40" s="771">
        <v>100</v>
      </c>
      <c r="E40" s="3379" t="s">
        <v>3206</v>
      </c>
      <c r="F40" s="797">
        <f>SUMIF(118:118,E40,119:119)-SUMIF(118:118,C40,119:119)+100</f>
        <v>100</v>
      </c>
      <c r="G40" s="3369" t="s">
        <v>3206</v>
      </c>
      <c r="H40" s="771">
        <f>SUMIF(118:118,G40,119:119)-SUMIF(118:118,C40,119:119)+100</f>
        <v>100</v>
      </c>
      <c r="I40" s="3369" t="s">
        <v>3206</v>
      </c>
      <c r="J40" s="771">
        <f>SUMIF(118:118,I40,119:119)-SUMIF(118:118,C40,119:119)+100</f>
        <v>100</v>
      </c>
      <c r="K40" s="762">
        <v>1</v>
      </c>
      <c r="L40" s="2282"/>
      <c r="M40" s="2277"/>
      <c r="N40" s="2277"/>
      <c r="O40" s="2277"/>
      <c r="P40" s="3665"/>
      <c r="Q40" s="1340" t="str">
        <f t="shared" si="11"/>
        <v>房型</v>
      </c>
      <c r="R40" s="1341" t="s">
        <v>104</v>
      </c>
      <c r="S40" s="1342">
        <f t="shared" si="12"/>
        <v>100</v>
      </c>
      <c r="T40" s="1341" t="s">
        <v>104</v>
      </c>
      <c r="U40" s="1342">
        <f t="shared" si="13"/>
        <v>100</v>
      </c>
      <c r="V40" s="1341" t="s">
        <v>104</v>
      </c>
      <c r="W40" s="1342">
        <f t="shared" si="14"/>
        <v>100</v>
      </c>
      <c r="X40" s="1330"/>
      <c r="Y40" s="3667"/>
      <c r="Z40" s="1343" t="str">
        <f t="shared" si="18"/>
        <v>房型</v>
      </c>
      <c r="AA40" s="1344">
        <f t="shared" si="15"/>
        <v>1</v>
      </c>
      <c r="AB40" s="1344">
        <f t="shared" si="16"/>
        <v>1</v>
      </c>
      <c r="AC40" s="1344">
        <f t="shared" si="17"/>
        <v>1</v>
      </c>
    </row>
    <row r="41" spans="1:29" s="1029" customFormat="1" ht="27">
      <c r="A41" s="1033"/>
      <c r="B41" s="12" t="s">
        <v>105</v>
      </c>
      <c r="C41" s="1347"/>
      <c r="D41" s="422">
        <v>100</v>
      </c>
      <c r="E41" s="766"/>
      <c r="F41" s="761">
        <f>SUMIF(120:120,E41,121:121)-SUMIF(120:120,C41,121:121)+100</f>
        <v>100</v>
      </c>
      <c r="G41" s="765"/>
      <c r="H41" s="422">
        <f>SUMIF(120:120,G41,121:121)-SUMIF(120:120,C41,121:121)+100</f>
        <v>100</v>
      </c>
      <c r="I41" s="112"/>
      <c r="J41" s="771">
        <f>SUMIF(120:120,I41,121:121)-SUMIF(120:120,C41,121:121)+100</f>
        <v>100</v>
      </c>
      <c r="K41" s="151"/>
      <c r="L41" s="2281"/>
      <c r="M41" s="2283"/>
      <c r="N41" s="2283"/>
      <c r="O41" s="2283"/>
      <c r="P41" s="3665"/>
      <c r="Q41" s="1348" t="str">
        <f t="shared" si="11"/>
        <v>单套/主力户型建筑面积</v>
      </c>
      <c r="R41" s="1349" t="s">
        <v>104</v>
      </c>
      <c r="S41" s="1350">
        <f t="shared" si="12"/>
        <v>100</v>
      </c>
      <c r="T41" s="1349" t="s">
        <v>104</v>
      </c>
      <c r="U41" s="1350">
        <f t="shared" si="13"/>
        <v>100</v>
      </c>
      <c r="V41" s="1349" t="s">
        <v>104</v>
      </c>
      <c r="W41" s="1350">
        <f t="shared" si="14"/>
        <v>100</v>
      </c>
      <c r="X41" s="1351"/>
      <c r="Y41" s="3667"/>
      <c r="Z41" s="1352" t="str">
        <f t="shared" si="18"/>
        <v>单套/主力户型建筑面积</v>
      </c>
      <c r="AA41" s="1344">
        <f t="shared" si="15"/>
        <v>1</v>
      </c>
      <c r="AB41" s="1344">
        <f t="shared" si="16"/>
        <v>1</v>
      </c>
      <c r="AC41" s="1344">
        <f t="shared" si="17"/>
        <v>1</v>
      </c>
    </row>
    <row r="42" spans="1:29" ht="15">
      <c r="A42" s="159"/>
      <c r="B42" s="12" t="s">
        <v>83</v>
      </c>
      <c r="C42" s="109" t="s">
        <v>3194</v>
      </c>
      <c r="D42" s="771">
        <v>100</v>
      </c>
      <c r="E42" s="3379" t="s">
        <v>3207</v>
      </c>
      <c r="F42" s="797">
        <f>SUMIF(122:122,E42,123:123)-SUMIF(122:122,C42,123:123)+100</f>
        <v>94</v>
      </c>
      <c r="G42" s="3369" t="s">
        <v>3194</v>
      </c>
      <c r="H42" s="771">
        <f>SUMIF(122:122,G42,123:123)-SUMIF(122:122,C42,123:123)+100</f>
        <v>100</v>
      </c>
      <c r="I42" s="3379" t="s">
        <v>3194</v>
      </c>
      <c r="J42" s="771">
        <f>SUMIF(122:122,I42,123:123)-SUMIF(122:122,C42,123:123)+100</f>
        <v>100</v>
      </c>
      <c r="K42" s="762">
        <v>2</v>
      </c>
      <c r="L42" s="2282"/>
      <c r="M42" s="2277"/>
      <c r="N42" s="2277"/>
      <c r="O42" s="2277"/>
      <c r="P42" s="3665"/>
      <c r="Q42" s="1340" t="str">
        <f t="shared" si="11"/>
        <v>内部装修</v>
      </c>
      <c r="R42" s="1341" t="s">
        <v>104</v>
      </c>
      <c r="S42" s="1342">
        <f t="shared" si="12"/>
        <v>94</v>
      </c>
      <c r="T42" s="1341" t="s">
        <v>104</v>
      </c>
      <c r="U42" s="1342">
        <f t="shared" si="13"/>
        <v>100</v>
      </c>
      <c r="V42" s="1341" t="s">
        <v>104</v>
      </c>
      <c r="W42" s="1342">
        <f t="shared" si="14"/>
        <v>100</v>
      </c>
      <c r="X42" s="1330"/>
      <c r="Y42" s="3667"/>
      <c r="Z42" s="1343" t="str">
        <f t="shared" si="18"/>
        <v>内部装修</v>
      </c>
      <c r="AA42" s="1344">
        <f t="shared" si="15"/>
        <v>1.0638297872340425</v>
      </c>
      <c r="AB42" s="1344">
        <f t="shared" si="16"/>
        <v>1</v>
      </c>
      <c r="AC42" s="1344">
        <f t="shared" si="17"/>
        <v>1</v>
      </c>
    </row>
    <row r="43" spans="1:29" ht="27">
      <c r="A43" s="159"/>
      <c r="B43" s="12" t="s">
        <v>84</v>
      </c>
      <c r="C43" s="109" t="s">
        <v>3081</v>
      </c>
      <c r="D43" s="771">
        <v>100</v>
      </c>
      <c r="E43" s="109" t="s">
        <v>3081</v>
      </c>
      <c r="F43" s="797">
        <f>SUMIF(124:124,E43,125:125)-SUMIF(124:124,C43,125:125)+100</f>
        <v>100</v>
      </c>
      <c r="G43" s="109" t="s">
        <v>3081</v>
      </c>
      <c r="H43" s="771">
        <f>SUMIF(124:124,G43,125:125)-SUMIF(124:124,C43,125:125)+100</f>
        <v>100</v>
      </c>
      <c r="I43" s="109" t="s">
        <v>3081</v>
      </c>
      <c r="J43" s="771">
        <f>SUMIF(124:124,I43,125:125)-SUMIF(124:124,C43,125:125)+100</f>
        <v>100</v>
      </c>
      <c r="K43" s="762">
        <v>1</v>
      </c>
      <c r="L43" s="2282"/>
      <c r="M43" s="2277"/>
      <c r="N43" s="2277"/>
      <c r="O43" s="2277"/>
      <c r="P43" s="3665"/>
      <c r="Q43" s="1340" t="str">
        <f t="shared" si="11"/>
        <v>内部装修维护情况</v>
      </c>
      <c r="R43" s="1341" t="s">
        <v>104</v>
      </c>
      <c r="S43" s="1342">
        <f t="shared" si="12"/>
        <v>100</v>
      </c>
      <c r="T43" s="1341" t="s">
        <v>104</v>
      </c>
      <c r="U43" s="1342">
        <f t="shared" si="13"/>
        <v>100</v>
      </c>
      <c r="V43" s="1341" t="s">
        <v>104</v>
      </c>
      <c r="W43" s="1342">
        <f t="shared" si="14"/>
        <v>100</v>
      </c>
      <c r="X43" s="1330"/>
      <c r="Y43" s="3667"/>
      <c r="Z43" s="1343" t="str">
        <f t="shared" si="18"/>
        <v>内部装修维护情况</v>
      </c>
      <c r="AA43" s="1344">
        <f t="shared" si="15"/>
        <v>1</v>
      </c>
      <c r="AB43" s="1344">
        <f t="shared" si="16"/>
        <v>1</v>
      </c>
      <c r="AC43" s="1344">
        <f t="shared" si="17"/>
        <v>1</v>
      </c>
    </row>
    <row r="44" spans="1:29" s="40" customFormat="1" ht="14.25">
      <c r="A44" s="1031"/>
      <c r="B44" s="1346"/>
      <c r="C44" s="1347"/>
      <c r="D44" s="422">
        <v>100</v>
      </c>
      <c r="E44" s="1347"/>
      <c r="F44" s="761">
        <f>SUMIF(126:126,E44,127:127)-SUMIF(126:126,C44,127:127)+100</f>
        <v>100</v>
      </c>
      <c r="G44" s="1347"/>
      <c r="H44" s="422">
        <f>SUMIF(126:126,G44,127:127)-SUMIF(126:126,C44,127:127)+100</f>
        <v>100</v>
      </c>
      <c r="I44" s="1347"/>
      <c r="J44" s="422">
        <f>SUMIF(126:126,I44,127:127)-SUMIF(126:126,C44,127:127)+100</f>
        <v>100</v>
      </c>
      <c r="K44" s="151"/>
      <c r="L44" s="2278"/>
      <c r="M44" s="2240"/>
      <c r="N44" s="2240"/>
      <c r="O44" s="2240"/>
      <c r="P44" s="3665"/>
      <c r="Q44" s="7">
        <f t="shared" si="11"/>
        <v>0</v>
      </c>
      <c r="R44" s="1332" t="s">
        <v>104</v>
      </c>
      <c r="S44" s="1333">
        <f t="shared" si="12"/>
        <v>100</v>
      </c>
      <c r="T44" s="1332" t="s">
        <v>104</v>
      </c>
      <c r="U44" s="1333">
        <f t="shared" si="13"/>
        <v>100</v>
      </c>
      <c r="V44" s="1332" t="s">
        <v>104</v>
      </c>
      <c r="W44" s="1333">
        <f t="shared" si="14"/>
        <v>100</v>
      </c>
      <c r="X44" s="285"/>
      <c r="Y44" s="3667"/>
      <c r="Z44" s="286">
        <f t="shared" si="18"/>
        <v>0</v>
      </c>
      <c r="AA44" s="1334">
        <f t="shared" si="15"/>
        <v>1</v>
      </c>
      <c r="AB44" s="1334">
        <f t="shared" si="16"/>
        <v>1</v>
      </c>
      <c r="AC44" s="1334">
        <f t="shared" si="17"/>
        <v>1</v>
      </c>
    </row>
    <row r="45" spans="1:29" ht="14.25">
      <c r="A45" s="159"/>
      <c r="B45" s="1346"/>
      <c r="C45" s="93"/>
      <c r="D45" s="771">
        <v>100</v>
      </c>
      <c r="E45" s="93"/>
      <c r="F45" s="797">
        <f>SUMIF(128:128,E45,129:129)-SUMIF(128:128,C45,129:129)+100</f>
        <v>100</v>
      </c>
      <c r="G45" s="93"/>
      <c r="H45" s="771">
        <f>SUMIF(128:128,G45,129:129)-SUMIF(128:128,C45,129:129)+100</f>
        <v>100</v>
      </c>
      <c r="I45" s="93"/>
      <c r="J45" s="771">
        <f>SUMIF(128:128,I45,129:129)-SUMIF(128:128,C45,129:129)+100</f>
        <v>100</v>
      </c>
      <c r="K45" s="151"/>
      <c r="L45" s="2282"/>
      <c r="M45" s="2277"/>
      <c r="N45" s="2277"/>
      <c r="O45" s="2277"/>
      <c r="P45" s="3665"/>
      <c r="Q45" s="1340">
        <f t="shared" si="11"/>
        <v>0</v>
      </c>
      <c r="R45" s="1341" t="s">
        <v>104</v>
      </c>
      <c r="S45" s="1342">
        <f t="shared" si="12"/>
        <v>100</v>
      </c>
      <c r="T45" s="1341" t="s">
        <v>104</v>
      </c>
      <c r="U45" s="1342">
        <f t="shared" si="13"/>
        <v>100</v>
      </c>
      <c r="V45" s="1341" t="s">
        <v>104</v>
      </c>
      <c r="W45" s="1342">
        <f t="shared" si="14"/>
        <v>100</v>
      </c>
      <c r="X45" s="1330"/>
      <c r="Y45" s="3667"/>
      <c r="Z45" s="1343">
        <f t="shared" si="18"/>
        <v>0</v>
      </c>
      <c r="AA45" s="1344">
        <f t="shared" si="15"/>
        <v>1</v>
      </c>
      <c r="AB45" s="1344">
        <f t="shared" si="16"/>
        <v>1</v>
      </c>
      <c r="AC45" s="1344">
        <f t="shared" si="17"/>
        <v>1</v>
      </c>
    </row>
    <row r="46" spans="1:29" ht="15" thickBot="1">
      <c r="A46" s="160"/>
      <c r="B46" s="1022"/>
      <c r="C46" s="94"/>
      <c r="D46" s="774">
        <v>100</v>
      </c>
      <c r="E46" s="94"/>
      <c r="F46" s="775">
        <f>SUMIF(130:130,E46,131:131)-SUMIF(130:130,C46,131:131)+100</f>
        <v>100</v>
      </c>
      <c r="G46" s="94"/>
      <c r="H46" s="774">
        <f>SUMIF(130:130,G46,131:131)-SUMIF(130:130,C46,131:131)+100</f>
        <v>100</v>
      </c>
      <c r="I46" s="94"/>
      <c r="J46" s="774">
        <f>SUMIF(130:130,I46,131:131)-SUMIF(130:130,C46,131:131)+100</f>
        <v>100</v>
      </c>
      <c r="K46" s="151"/>
      <c r="L46" s="2282"/>
      <c r="M46" s="2277"/>
      <c r="N46" s="2277"/>
      <c r="O46" s="2277"/>
      <c r="P46" s="3666"/>
      <c r="Q46" s="1340">
        <f t="shared" si="11"/>
        <v>0</v>
      </c>
      <c r="R46" s="1341" t="s">
        <v>103</v>
      </c>
      <c r="S46" s="1342">
        <f t="shared" si="12"/>
        <v>100</v>
      </c>
      <c r="T46" s="1341" t="s">
        <v>103</v>
      </c>
      <c r="U46" s="1342">
        <f t="shared" si="13"/>
        <v>100</v>
      </c>
      <c r="V46" s="1341" t="s">
        <v>103</v>
      </c>
      <c r="W46" s="1342">
        <f t="shared" si="14"/>
        <v>100</v>
      </c>
      <c r="X46" s="1330"/>
      <c r="Y46" s="3668"/>
      <c r="Z46" s="1343">
        <f t="shared" si="18"/>
        <v>0</v>
      </c>
      <c r="AA46" s="1344">
        <f t="shared" si="15"/>
        <v>1</v>
      </c>
      <c r="AB46" s="1344">
        <f t="shared" si="16"/>
        <v>1</v>
      </c>
      <c r="AC46" s="1344">
        <f t="shared" si="17"/>
        <v>1</v>
      </c>
    </row>
    <row r="47" spans="1:29" ht="15">
      <c r="A47" s="161" t="s">
        <v>102</v>
      </c>
      <c r="B47" s="162"/>
      <c r="C47" s="2814" t="s">
        <v>101</v>
      </c>
      <c r="D47" s="2815"/>
      <c r="E47" s="2816">
        <v>71192</v>
      </c>
      <c r="F47" s="2817"/>
      <c r="G47" s="2818">
        <v>73283</v>
      </c>
      <c r="H47" s="2819"/>
      <c r="I47" s="2816">
        <v>70713</v>
      </c>
      <c r="J47" s="2819"/>
      <c r="K47" s="1353"/>
      <c r="L47" s="2284"/>
      <c r="M47" s="2285"/>
      <c r="N47" s="2277"/>
      <c r="O47" s="2285"/>
      <c r="P47" s="3660" t="str">
        <f>A47</f>
        <v>成交单价（元/平方米）</v>
      </c>
      <c r="Q47" s="3660"/>
      <c r="R47" s="3661">
        <f>E47</f>
        <v>71192</v>
      </c>
      <c r="S47" s="3661"/>
      <c r="T47" s="3661">
        <f>G47</f>
        <v>73283</v>
      </c>
      <c r="U47" s="3661"/>
      <c r="V47" s="3661">
        <f>I47</f>
        <v>70713</v>
      </c>
      <c r="W47" s="3661"/>
      <c r="X47" s="1354"/>
      <c r="Y47" s="1355"/>
      <c r="Z47" s="1354"/>
      <c r="AA47" s="1354"/>
      <c r="AB47" s="1354"/>
      <c r="AC47" s="1354"/>
    </row>
    <row r="48" spans="1:29" ht="15.75" thickBot="1">
      <c r="A48" s="163" t="s">
        <v>100</v>
      </c>
      <c r="B48" s="164"/>
      <c r="C48" s="2820">
        <f>R49</f>
        <v>75503</v>
      </c>
      <c r="D48" s="2821"/>
      <c r="E48" s="2822">
        <f>R48</f>
        <v>78847</v>
      </c>
      <c r="F48" s="2822"/>
      <c r="G48" s="2820">
        <f>T48</f>
        <v>74780</v>
      </c>
      <c r="H48" s="2821"/>
      <c r="I48" s="2822">
        <f>V48</f>
        <v>72883</v>
      </c>
      <c r="J48" s="2821"/>
      <c r="K48" s="1356"/>
      <c r="L48" s="2284"/>
      <c r="M48" s="2285"/>
      <c r="N48" s="2285"/>
      <c r="O48" s="2285"/>
      <c r="P48" s="3660" t="str">
        <f>A48</f>
        <v>比较价值（元/平方米）</v>
      </c>
      <c r="Q48" s="3660"/>
      <c r="R48" s="3661">
        <f>IF(F1="售价",ROUND(PRODUCT(R47,AA7:AA46),0),ROUND(PRODUCT(R47,AA7:AA46),1))</f>
        <v>78847</v>
      </c>
      <c r="S48" s="3661"/>
      <c r="T48" s="3661">
        <f>IF(F1="售价",ROUND(PRODUCT(T47,AB7:AB46),0),ROUND(PRODUCT(T47,AB7:AB46),1))</f>
        <v>74780</v>
      </c>
      <c r="U48" s="3661"/>
      <c r="V48" s="3661">
        <f>IF(F1="售价",ROUND(PRODUCT(V47,AC7:AC46),0),ROUND(PRODUCT(V47,AC7:AC46),1))</f>
        <v>72883</v>
      </c>
      <c r="W48" s="3661"/>
      <c r="X48" s="1354"/>
      <c r="Y48" s="1354"/>
      <c r="Z48" s="1354"/>
      <c r="AA48" s="1354"/>
      <c r="AB48" s="1354"/>
      <c r="AC48" s="1354"/>
    </row>
    <row r="49" spans="1:29" ht="15.75" thickBot="1">
      <c r="A49" s="113" t="s">
        <v>3009</v>
      </c>
      <c r="B49" s="114"/>
      <c r="C49" s="2823">
        <f>R49</f>
        <v>75503</v>
      </c>
      <c r="D49" s="2824"/>
      <c r="E49" s="2824"/>
      <c r="F49" s="2824"/>
      <c r="G49" s="2824"/>
      <c r="H49" s="2824"/>
      <c r="I49" s="2824"/>
      <c r="J49" s="2824"/>
      <c r="K49" s="1357"/>
      <c r="L49" s="2284"/>
      <c r="M49" s="2285"/>
      <c r="N49" s="2285"/>
      <c r="O49" s="2285"/>
      <c r="P49" s="3657" t="str">
        <f>A49</f>
        <v>估价对象XX用房的比较价值（楼面单价，元/平方米）</v>
      </c>
      <c r="Q49" s="3658"/>
      <c r="R49" s="3659">
        <f>IF(F1="售价",ROUND(AVERAGE(R48:V48),0),ROUND(AVERAGE(R48:V48),1))</f>
        <v>75503</v>
      </c>
      <c r="S49" s="3659"/>
      <c r="T49" s="3659"/>
      <c r="U49" s="3659"/>
      <c r="V49" s="3659"/>
      <c r="W49" s="3659"/>
      <c r="X49" s="1354"/>
      <c r="Y49" s="1354"/>
      <c r="Z49" s="1354"/>
      <c r="AA49" s="1354"/>
      <c r="AB49" s="1354"/>
      <c r="AC49" s="1354"/>
    </row>
    <row r="50" spans="1:29">
      <c r="A50" s="2285"/>
      <c r="B50" s="2285"/>
      <c r="C50" s="2285"/>
      <c r="D50" s="2285"/>
      <c r="E50" s="2285"/>
      <c r="F50" s="2285"/>
      <c r="G50" s="2294"/>
      <c r="H50" s="2285"/>
      <c r="I50" s="2285"/>
      <c r="J50" s="2285"/>
      <c r="K50" s="2286"/>
      <c r="L50" s="2287"/>
      <c r="M50" s="2285"/>
      <c r="N50" s="2285"/>
      <c r="O50" s="2285"/>
    </row>
    <row r="51" spans="1:29">
      <c r="A51" s="2285"/>
      <c r="B51" s="2285"/>
      <c r="C51" s="2285"/>
      <c r="D51" s="2285"/>
      <c r="E51" s="2285"/>
      <c r="F51" s="2285"/>
      <c r="G51" s="2285"/>
      <c r="H51" s="2285"/>
      <c r="I51" s="2285"/>
      <c r="J51" s="2285"/>
      <c r="K51" s="2286"/>
      <c r="L51" s="2287"/>
      <c r="M51" s="2285"/>
      <c r="N51" s="2285"/>
      <c r="O51" s="2285"/>
    </row>
    <row r="52" spans="1:29" ht="13.5" customHeight="1">
      <c r="A52" s="2285"/>
      <c r="B52" s="2285"/>
      <c r="C52" s="832" t="s">
        <v>996</v>
      </c>
      <c r="D52" s="833"/>
      <c r="E52" s="834">
        <f>IF(E47&lt;E48,E48/E47-1,E47/E48-1)</f>
        <v>0.10752612653107096</v>
      </c>
      <c r="F52" s="835" t="str">
        <f>IF(OR(E52&gt;=0.3,E52&lt;=-0.3),"超过30%","")</f>
        <v/>
      </c>
      <c r="G52" s="834">
        <f>IF(G47&lt;G48,G48/G47-1,G47/G48-1)</f>
        <v>2.0427657164690416E-2</v>
      </c>
      <c r="H52" s="835" t="str">
        <f>IF(OR(G52&gt;=0.3,G52&lt;=-0.3),"超过30%","")</f>
        <v/>
      </c>
      <c r="I52" s="834">
        <f>IF(I47&lt;I48,I48/I47-1,I47/I48-1)</f>
        <v>3.0687426640080284E-2</v>
      </c>
      <c r="J52" s="835" t="str">
        <f>IF(OR(I52&gt;=0.3,I52&lt;=-0.3),"超过30%","")</f>
        <v/>
      </c>
      <c r="K52" s="2286"/>
      <c r="L52" s="2287"/>
      <c r="M52" s="2285"/>
      <c r="N52" s="2285"/>
      <c r="O52" s="2285"/>
    </row>
    <row r="53" spans="1:29" ht="13.5" customHeight="1">
      <c r="A53" s="2285"/>
      <c r="B53" s="2285"/>
      <c r="C53" s="832" t="s">
        <v>997</v>
      </c>
      <c r="D53" s="836"/>
      <c r="E53" s="834">
        <f>IF(E48&lt;G48,G48/E48-1,E48/G48-1)</f>
        <v>5.4386199518587919E-2</v>
      </c>
      <c r="F53" s="835" t="str">
        <f>IF(OR(E53&gt;=0.2,E53&lt;=-0.2),"超过20%","")</f>
        <v/>
      </c>
      <c r="G53" s="834">
        <f>IF(G48&lt;I48,I48/G48-1,G48/I48-1)</f>
        <v>2.6028017507512047E-2</v>
      </c>
      <c r="H53" s="835" t="str">
        <f>IF(OR(G53&gt;=0.2,G53&lt;=-0.2),"超过20%","")</f>
        <v/>
      </c>
      <c r="I53" s="834">
        <f>IF(I48&lt;E48,E48/I48-1,I48/E48-1)</f>
        <v>8.1829781979336769E-2</v>
      </c>
      <c r="J53" s="835" t="str">
        <f>IF(OR(I53&gt;=0.2,I53&lt;=-0.2),"超过20%","")</f>
        <v/>
      </c>
      <c r="K53" s="2286"/>
      <c r="L53" s="2287"/>
      <c r="M53" s="2285"/>
      <c r="N53" s="2285"/>
      <c r="O53" s="2285"/>
    </row>
    <row r="54" spans="1:29" s="117" customFormat="1" ht="13.5" customHeight="1">
      <c r="A54" s="2290"/>
      <c r="B54" s="2290"/>
      <c r="C54" s="832" t="s">
        <v>998</v>
      </c>
      <c r="D54" s="836"/>
      <c r="E54" s="834">
        <f>IF(E47&lt;G47,G47/E47-1,E47/G47-1)</f>
        <v>2.9371277671648599E-2</v>
      </c>
      <c r="F54" s="835" t="str">
        <f>IF(OR(E54&gt;=0.3,E54&lt;=-0.3),"超过30%","")</f>
        <v/>
      </c>
      <c r="G54" s="834">
        <f>IF(G47&lt;I47,I47/G47-1,G47/I47-1)</f>
        <v>3.6344095145164346E-2</v>
      </c>
      <c r="H54" s="835" t="str">
        <f>IF(OR(G54&gt;=0.3,G54&lt;=-0.3),"超过30%","")</f>
        <v/>
      </c>
      <c r="I54" s="834">
        <f>IF(I47&lt;E47,E47/I47-1,I47/E47-1)</f>
        <v>6.7738605348379721E-3</v>
      </c>
      <c r="J54" s="835" t="str">
        <f>IF(OR(I54&gt;=0.3,I54&lt;=-0.3),"超过30%","")</f>
        <v/>
      </c>
      <c r="K54" s="2288"/>
      <c r="L54" s="2289"/>
      <c r="M54" s="2290"/>
      <c r="N54" s="2290"/>
      <c r="O54" s="2290"/>
      <c r="P54" s="1360"/>
    </row>
    <row r="55" spans="1:29" s="117" customFormat="1">
      <c r="A55" s="2290"/>
      <c r="B55" s="2295"/>
      <c r="C55" s="2296"/>
      <c r="D55" s="2290"/>
      <c r="E55" s="2290"/>
      <c r="F55" s="2290"/>
      <c r="G55" s="2290"/>
      <c r="H55" s="2290"/>
      <c r="I55" s="2290"/>
      <c r="J55" s="2290"/>
      <c r="K55" s="2288"/>
      <c r="L55" s="2289"/>
      <c r="M55" s="2290"/>
      <c r="N55" s="2290"/>
      <c r="O55" s="2290"/>
      <c r="P55" s="1360"/>
    </row>
    <row r="56" spans="1:29">
      <c r="A56" s="2285"/>
      <c r="B56" s="2295"/>
      <c r="C56" s="2296"/>
      <c r="D56" s="2285"/>
      <c r="E56" s="2285"/>
      <c r="F56" s="2285"/>
      <c r="G56" s="2285"/>
      <c r="H56" s="2285"/>
      <c r="I56" s="2285"/>
      <c r="J56" s="2285"/>
      <c r="K56" s="2286"/>
      <c r="L56" s="2287"/>
      <c r="M56" s="2285"/>
      <c r="N56" s="2285"/>
      <c r="O56" s="2285"/>
    </row>
    <row r="57" spans="1:29" ht="21" thickBot="1">
      <c r="A57" s="1361" t="s">
        <v>127</v>
      </c>
      <c r="B57" s="1354"/>
      <c r="C57" s="1362"/>
      <c r="D57" s="1362"/>
      <c r="E57" s="1362"/>
      <c r="F57" s="1363"/>
      <c r="G57" s="1363"/>
      <c r="H57" s="1362"/>
      <c r="I57" s="1362"/>
      <c r="J57" s="1362"/>
      <c r="K57" s="2291"/>
      <c r="L57" s="2292"/>
      <c r="M57" s="2293"/>
      <c r="N57" s="2293"/>
      <c r="O57" s="2293"/>
      <c r="P57" s="1365"/>
      <c r="Q57" s="119"/>
    </row>
    <row r="58" spans="1:29" s="843" customFormat="1" ht="15">
      <c r="A58" s="840" t="s">
        <v>2788</v>
      </c>
      <c r="B58" s="841"/>
      <c r="C58" s="3024" t="str">
        <f>YEAR(C7)&amp;"-"&amp;MONTH(C7)</f>
        <v>2017-9</v>
      </c>
      <c r="D58" s="3023">
        <f>EDATE(C58,-1)</f>
        <v>42948</v>
      </c>
      <c r="E58" s="3023">
        <f>EDATE(D58,-1)</f>
        <v>42917</v>
      </c>
      <c r="F58" s="3023">
        <f t="shared" ref="F58:O58" si="19">EDATE(E58,-1)</f>
        <v>42887</v>
      </c>
      <c r="G58" s="3023">
        <f t="shared" si="19"/>
        <v>42856</v>
      </c>
      <c r="H58" s="3023">
        <f t="shared" si="19"/>
        <v>42826</v>
      </c>
      <c r="I58" s="3023">
        <f t="shared" si="19"/>
        <v>42795</v>
      </c>
      <c r="J58" s="3023">
        <f t="shared" si="19"/>
        <v>42767</v>
      </c>
      <c r="K58" s="3023">
        <f t="shared" si="19"/>
        <v>42736</v>
      </c>
      <c r="L58" s="3023">
        <f t="shared" si="19"/>
        <v>42705</v>
      </c>
      <c r="M58" s="3023">
        <f t="shared" si="19"/>
        <v>42675</v>
      </c>
      <c r="N58" s="3023">
        <f t="shared" si="19"/>
        <v>42644</v>
      </c>
      <c r="O58" s="3023">
        <f t="shared" si="19"/>
        <v>42614</v>
      </c>
      <c r="P58" s="3016"/>
    </row>
    <row r="59" spans="1:29" s="40" customFormat="1" ht="14.25">
      <c r="A59" s="1035"/>
      <c r="B59" s="3019"/>
      <c r="C59" s="3020">
        <v>100</v>
      </c>
      <c r="D59" s="846">
        <v>100</v>
      </c>
      <c r="E59" s="847">
        <v>100</v>
      </c>
      <c r="F59" s="847">
        <v>99.5</v>
      </c>
      <c r="G59" s="847"/>
      <c r="H59" s="847"/>
      <c r="I59" s="847"/>
      <c r="J59" s="847"/>
      <c r="K59" s="847"/>
      <c r="L59" s="847"/>
      <c r="M59" s="848"/>
      <c r="N59" s="847"/>
      <c r="O59" s="848"/>
      <c r="P59" s="1366"/>
    </row>
    <row r="60" spans="1:29" s="40" customFormat="1" ht="15" thickBot="1">
      <c r="A60" s="1037" t="s">
        <v>118</v>
      </c>
      <c r="B60" s="1038"/>
      <c r="C60" s="852"/>
      <c r="D60" s="853"/>
      <c r="E60" s="853"/>
      <c r="F60" s="853"/>
      <c r="G60" s="853"/>
      <c r="H60" s="853"/>
      <c r="I60" s="853"/>
      <c r="J60" s="853"/>
      <c r="K60" s="853"/>
      <c r="L60" s="853"/>
      <c r="M60" s="854"/>
      <c r="N60" s="853"/>
      <c r="O60" s="854"/>
      <c r="P60" s="1366"/>
      <c r="Q60" s="119"/>
    </row>
    <row r="61" spans="1:29" s="40" customFormat="1">
      <c r="A61" s="1039" t="s">
        <v>66</v>
      </c>
      <c r="B61" s="1036"/>
      <c r="C61" s="1040" t="s">
        <v>116</v>
      </c>
      <c r="D61" s="138"/>
      <c r="E61" s="138"/>
      <c r="F61" s="138"/>
      <c r="G61" s="138"/>
      <c r="H61" s="138"/>
      <c r="I61" s="138"/>
      <c r="J61" s="138"/>
      <c r="K61" s="138"/>
      <c r="L61" s="139"/>
      <c r="M61" s="1041"/>
      <c r="N61" s="1377"/>
      <c r="O61" s="1377"/>
      <c r="P61" s="1367"/>
      <c r="Q61" s="119"/>
    </row>
    <row r="62" spans="1:29" s="40" customFormat="1" ht="15" thickBot="1">
      <c r="A62" s="1039"/>
      <c r="B62" s="1036"/>
      <c r="C62" s="846">
        <v>100</v>
      </c>
      <c r="D62" s="847"/>
      <c r="E62" s="847"/>
      <c r="F62" s="847"/>
      <c r="G62" s="847"/>
      <c r="H62" s="847"/>
      <c r="I62" s="847"/>
      <c r="J62" s="847"/>
      <c r="K62" s="847"/>
      <c r="L62" s="847"/>
      <c r="M62" s="849"/>
      <c r="N62" s="1377"/>
      <c r="O62" s="1377"/>
      <c r="P62" s="1366"/>
      <c r="Q62" s="119"/>
    </row>
    <row r="63" spans="1:29">
      <c r="A63" s="170" t="s">
        <v>67</v>
      </c>
      <c r="B63" s="284" t="s">
        <v>68</v>
      </c>
      <c r="C63" s="174" t="str">
        <f>C9</f>
        <v>住宅</v>
      </c>
      <c r="D63" s="120"/>
      <c r="E63" s="120"/>
      <c r="F63" s="120"/>
      <c r="G63" s="120"/>
      <c r="H63" s="120"/>
      <c r="I63" s="120"/>
      <c r="J63" s="120"/>
      <c r="K63" s="121"/>
      <c r="L63" s="122"/>
      <c r="M63" s="123"/>
      <c r="N63" s="1378"/>
      <c r="O63" s="1378"/>
      <c r="P63" s="1368"/>
      <c r="Q63" s="119"/>
    </row>
    <row r="64" spans="1:29" ht="15" thickBot="1">
      <c r="A64" s="171"/>
      <c r="B64" s="1043"/>
      <c r="C64" s="871">
        <v>100</v>
      </c>
      <c r="D64" s="871"/>
      <c r="E64" s="871"/>
      <c r="F64" s="871"/>
      <c r="G64" s="871"/>
      <c r="H64" s="871"/>
      <c r="I64" s="871"/>
      <c r="J64" s="871"/>
      <c r="K64" s="871"/>
      <c r="L64" s="871"/>
      <c r="M64" s="872"/>
      <c r="N64" s="1379"/>
      <c r="O64" s="1379"/>
      <c r="P64" s="1368"/>
      <c r="Q64" s="119"/>
    </row>
    <row r="65" spans="1:17" ht="27.75" thickTop="1">
      <c r="A65" s="171"/>
      <c r="B65" s="1044" t="s">
        <v>106</v>
      </c>
      <c r="C65" s="874" t="s">
        <v>999</v>
      </c>
      <c r="D65" s="874" t="s">
        <v>1000</v>
      </c>
      <c r="E65" s="874" t="s">
        <v>1001</v>
      </c>
      <c r="F65" s="874" t="s">
        <v>1002</v>
      </c>
      <c r="G65" s="874" t="s">
        <v>1003</v>
      </c>
      <c r="H65" s="874" t="s">
        <v>1004</v>
      </c>
      <c r="I65" s="874" t="s">
        <v>1005</v>
      </c>
      <c r="J65" s="874"/>
      <c r="K65" s="875"/>
      <c r="L65" s="876"/>
      <c r="M65" s="877"/>
      <c r="N65" s="1378"/>
      <c r="O65" s="1378"/>
      <c r="P65" s="1368"/>
      <c r="Q65" s="119"/>
    </row>
    <row r="66" spans="1:17" ht="15" thickBot="1">
      <c r="A66" s="171"/>
      <c r="B66" s="1045"/>
      <c r="C66" s="879">
        <v>100</v>
      </c>
      <c r="D66" s="879">
        <f t="shared" ref="D66:I66" si="20">C66-$K10</f>
        <v>99</v>
      </c>
      <c r="E66" s="879">
        <f t="shared" si="20"/>
        <v>98</v>
      </c>
      <c r="F66" s="879">
        <f t="shared" si="20"/>
        <v>97</v>
      </c>
      <c r="G66" s="879">
        <f t="shared" si="20"/>
        <v>96</v>
      </c>
      <c r="H66" s="879">
        <f t="shared" si="20"/>
        <v>95</v>
      </c>
      <c r="I66" s="879">
        <f t="shared" si="20"/>
        <v>94</v>
      </c>
      <c r="J66" s="879"/>
      <c r="K66" s="879"/>
      <c r="L66" s="879"/>
      <c r="M66" s="880"/>
      <c r="N66" s="1379"/>
      <c r="O66" s="1379"/>
      <c r="P66" s="1368"/>
      <c r="Q66" s="119"/>
    </row>
    <row r="67" spans="1:17" ht="15" thickTop="1">
      <c r="A67" s="171"/>
      <c r="B67" s="1046" t="s">
        <v>93</v>
      </c>
      <c r="C67" s="882" t="str">
        <f>C68&amp;"（含）"&amp;"-"&amp;D68</f>
        <v>0（含）-2</v>
      </c>
      <c r="D67" s="882" t="str">
        <f t="shared" ref="D67:L67" si="21">D68&amp;"（含）"&amp;"-"&amp;E68</f>
        <v>2（含）-4</v>
      </c>
      <c r="E67" s="882" t="str">
        <f t="shared" si="21"/>
        <v>4（含）-</v>
      </c>
      <c r="F67" s="882" t="str">
        <f t="shared" si="21"/>
        <v>（含）-</v>
      </c>
      <c r="G67" s="882" t="str">
        <f t="shared" si="21"/>
        <v>（含）-</v>
      </c>
      <c r="H67" s="882" t="str">
        <f t="shared" si="21"/>
        <v>（含）-</v>
      </c>
      <c r="I67" s="882" t="str">
        <f t="shared" si="21"/>
        <v>（含）-</v>
      </c>
      <c r="J67" s="882" t="str">
        <f t="shared" si="21"/>
        <v>（含）-</v>
      </c>
      <c r="K67" s="882" t="str">
        <f>K68&amp;"（含）"&amp;"-"&amp;L68</f>
        <v>（含）-</v>
      </c>
      <c r="L67" s="882" t="str">
        <f t="shared" si="21"/>
        <v>（含）-</v>
      </c>
      <c r="M67" s="784" t="str">
        <f>M68&amp;"（含）"&amp;"-"&amp;P68</f>
        <v>（含）-</v>
      </c>
      <c r="N67" s="1379"/>
      <c r="O67" s="1379"/>
      <c r="P67" s="1368"/>
      <c r="Q67" s="119"/>
    </row>
    <row r="68" spans="1:17" ht="14.25">
      <c r="A68" s="171"/>
      <c r="B68" s="1047"/>
      <c r="C68" s="884">
        <v>0</v>
      </c>
      <c r="D68" s="884">
        <v>2</v>
      </c>
      <c r="E68" s="884">
        <v>4</v>
      </c>
      <c r="F68" s="884"/>
      <c r="G68" s="884"/>
      <c r="H68" s="884"/>
      <c r="I68" s="884"/>
      <c r="J68" s="884"/>
      <c r="K68" s="885"/>
      <c r="L68" s="886"/>
      <c r="M68" s="887"/>
      <c r="N68" s="1378"/>
      <c r="O68" s="1378"/>
      <c r="P68" s="1368"/>
      <c r="Q68" s="119"/>
    </row>
    <row r="69" spans="1:17" ht="15" thickBot="1">
      <c r="A69" s="171"/>
      <c r="B69" s="1043"/>
      <c r="C69" s="879">
        <v>100</v>
      </c>
      <c r="D69" s="879">
        <f t="shared" ref="D69:M69" si="22">C69-$K11</f>
        <v>98</v>
      </c>
      <c r="E69" s="879">
        <f t="shared" si="22"/>
        <v>96</v>
      </c>
      <c r="F69" s="879">
        <f t="shared" si="22"/>
        <v>94</v>
      </c>
      <c r="G69" s="879">
        <f t="shared" si="22"/>
        <v>92</v>
      </c>
      <c r="H69" s="879">
        <f t="shared" si="22"/>
        <v>90</v>
      </c>
      <c r="I69" s="879">
        <f t="shared" si="22"/>
        <v>88</v>
      </c>
      <c r="J69" s="879">
        <f t="shared" si="22"/>
        <v>86</v>
      </c>
      <c r="K69" s="879">
        <f t="shared" si="22"/>
        <v>84</v>
      </c>
      <c r="L69" s="879">
        <f t="shared" si="22"/>
        <v>82</v>
      </c>
      <c r="M69" s="880">
        <f t="shared" si="22"/>
        <v>80</v>
      </c>
      <c r="N69" s="1379"/>
      <c r="O69" s="1379"/>
      <c r="P69" s="1368"/>
      <c r="Q69" s="119"/>
    </row>
    <row r="70" spans="1:17" s="1029" customFormat="1" ht="15" thickTop="1">
      <c r="A70" s="1048"/>
      <c r="B70" s="1044">
        <f>B12</f>
        <v>0</v>
      </c>
      <c r="C70" s="889"/>
      <c r="D70" s="889"/>
      <c r="E70" s="889"/>
      <c r="F70" s="889"/>
      <c r="G70" s="889"/>
      <c r="H70" s="890"/>
      <c r="I70" s="890"/>
      <c r="J70" s="890"/>
      <c r="K70" s="890"/>
      <c r="L70" s="891"/>
      <c r="M70" s="892"/>
      <c r="N70" s="1380"/>
      <c r="O70" s="1380"/>
      <c r="P70" s="1369"/>
      <c r="Q70" s="1053"/>
    </row>
    <row r="71" spans="1:17" s="1029" customFormat="1" ht="15" thickBot="1">
      <c r="A71" s="1048"/>
      <c r="B71" s="1045"/>
      <c r="C71" s="895"/>
      <c r="D71" s="871"/>
      <c r="E71" s="871"/>
      <c r="F71" s="871"/>
      <c r="G71" s="871"/>
      <c r="H71" s="871"/>
      <c r="I71" s="871"/>
      <c r="J71" s="871"/>
      <c r="K71" s="871"/>
      <c r="L71" s="871"/>
      <c r="M71" s="872"/>
      <c r="N71" s="1379"/>
      <c r="O71" s="1379"/>
      <c r="P71" s="1369"/>
      <c r="Q71" s="1053"/>
    </row>
    <row r="72" spans="1:17" s="1029" customFormat="1" ht="15" thickTop="1">
      <c r="A72" s="1048"/>
      <c r="B72" s="1044">
        <f>B13</f>
        <v>0</v>
      </c>
      <c r="C72" s="889"/>
      <c r="D72" s="889"/>
      <c r="E72" s="889"/>
      <c r="F72" s="889"/>
      <c r="G72" s="889"/>
      <c r="H72" s="890"/>
      <c r="I72" s="890"/>
      <c r="J72" s="890"/>
      <c r="K72" s="890"/>
      <c r="L72" s="891"/>
      <c r="M72" s="892"/>
      <c r="N72" s="1380"/>
      <c r="O72" s="1380"/>
      <c r="P72" s="1370"/>
      <c r="Q72" s="1055"/>
    </row>
    <row r="73" spans="1:17" s="1029" customFormat="1" ht="15" thickBot="1">
      <c r="A73" s="1048"/>
      <c r="B73" s="1045"/>
      <c r="C73" s="895"/>
      <c r="D73" s="895"/>
      <c r="E73" s="895"/>
      <c r="F73" s="895"/>
      <c r="G73" s="895"/>
      <c r="H73" s="897"/>
      <c r="I73" s="897"/>
      <c r="J73" s="897"/>
      <c r="K73" s="897"/>
      <c r="L73" s="897"/>
      <c r="M73" s="898"/>
      <c r="N73" s="1380"/>
      <c r="O73" s="1380"/>
      <c r="P73" s="1369"/>
      <c r="Q73" s="1053"/>
    </row>
    <row r="74" spans="1:17" s="1029" customFormat="1" ht="15" thickTop="1">
      <c r="A74" s="1048"/>
      <c r="B74" s="1046">
        <f>B14</f>
        <v>0</v>
      </c>
      <c r="C74" s="889"/>
      <c r="D74" s="889"/>
      <c r="E74" s="889"/>
      <c r="F74" s="889"/>
      <c r="G74" s="858"/>
      <c r="H74" s="899"/>
      <c r="I74" s="899"/>
      <c r="J74" s="899"/>
      <c r="K74" s="899"/>
      <c r="L74" s="900"/>
      <c r="M74" s="901"/>
      <c r="N74" s="1380"/>
      <c r="O74" s="1380"/>
      <c r="P74" s="1371"/>
      <c r="Q74" s="1053"/>
    </row>
    <row r="75" spans="1:17" s="1029" customFormat="1" ht="15" thickBot="1">
      <c r="A75" s="1060"/>
      <c r="B75" s="1061"/>
      <c r="C75" s="905"/>
      <c r="D75" s="905"/>
      <c r="E75" s="905"/>
      <c r="F75" s="905"/>
      <c r="G75" s="905"/>
      <c r="H75" s="906"/>
      <c r="I75" s="906"/>
      <c r="J75" s="906"/>
      <c r="K75" s="906"/>
      <c r="L75" s="906"/>
      <c r="M75" s="907"/>
      <c r="N75" s="1380"/>
      <c r="O75" s="1380"/>
      <c r="P75" s="1369"/>
      <c r="Q75" s="1053"/>
    </row>
    <row r="76" spans="1:17" ht="14.25">
      <c r="A76" s="170" t="s">
        <v>69</v>
      </c>
      <c r="B76" s="284" t="s">
        <v>110</v>
      </c>
      <c r="C76" s="908" t="s">
        <v>1006</v>
      </c>
      <c r="D76" s="908" t="s">
        <v>1007</v>
      </c>
      <c r="E76" s="908" t="s">
        <v>1008</v>
      </c>
      <c r="F76" s="908" t="s">
        <v>1009</v>
      </c>
      <c r="G76" s="908" t="s">
        <v>1010</v>
      </c>
      <c r="H76" s="864"/>
      <c r="I76" s="864"/>
      <c r="J76" s="864"/>
      <c r="K76" s="909"/>
      <c r="L76" s="910"/>
      <c r="M76" s="911"/>
      <c r="N76" s="1378"/>
      <c r="O76" s="1378"/>
      <c r="P76" s="1372"/>
      <c r="Q76" s="119"/>
    </row>
    <row r="77" spans="1:17" ht="15" thickBot="1">
      <c r="A77" s="171"/>
      <c r="B77" s="1045"/>
      <c r="C77" s="879">
        <v>100</v>
      </c>
      <c r="D77" s="879">
        <f>C77-$K15</f>
        <v>98</v>
      </c>
      <c r="E77" s="879">
        <f>D77-$K15</f>
        <v>96</v>
      </c>
      <c r="F77" s="879">
        <f>E77-$K15</f>
        <v>94</v>
      </c>
      <c r="G77" s="879">
        <f>F77-$K15</f>
        <v>92</v>
      </c>
      <c r="H77" s="879"/>
      <c r="I77" s="879"/>
      <c r="J77" s="879"/>
      <c r="K77" s="879"/>
      <c r="L77" s="879"/>
      <c r="M77" s="880"/>
      <c r="N77" s="1379"/>
      <c r="O77" s="1379"/>
      <c r="P77" s="1368"/>
      <c r="Q77" s="119"/>
    </row>
    <row r="78" spans="1:17" ht="15" thickTop="1">
      <c r="A78" s="171"/>
      <c r="B78" s="1044" t="s">
        <v>92</v>
      </c>
      <c r="C78" s="913" t="s">
        <v>1006</v>
      </c>
      <c r="D78" s="913" t="s">
        <v>1007</v>
      </c>
      <c r="E78" s="913" t="s">
        <v>1008</v>
      </c>
      <c r="F78" s="913" t="s">
        <v>1009</v>
      </c>
      <c r="G78" s="913" t="s">
        <v>1010</v>
      </c>
      <c r="H78" s="874"/>
      <c r="I78" s="874"/>
      <c r="J78" s="874"/>
      <c r="K78" s="875"/>
      <c r="L78" s="876"/>
      <c r="M78" s="877"/>
      <c r="N78" s="1378"/>
      <c r="O78" s="1378"/>
      <c r="P78" s="1368"/>
      <c r="Q78" s="119"/>
    </row>
    <row r="79" spans="1:17" ht="15" thickBot="1">
      <c r="A79" s="171"/>
      <c r="B79" s="1045"/>
      <c r="C79" s="879">
        <v>100</v>
      </c>
      <c r="D79" s="879">
        <f>C79-$K17</f>
        <v>99</v>
      </c>
      <c r="E79" s="879">
        <f>D79-$K17</f>
        <v>98</v>
      </c>
      <c r="F79" s="879">
        <f>E79-$K17</f>
        <v>97</v>
      </c>
      <c r="G79" s="879">
        <f>F79-$K17</f>
        <v>96</v>
      </c>
      <c r="H79" s="879"/>
      <c r="I79" s="879"/>
      <c r="J79" s="879"/>
      <c r="K79" s="879"/>
      <c r="L79" s="879"/>
      <c r="M79" s="880"/>
      <c r="N79" s="1379"/>
      <c r="O79" s="1379"/>
      <c r="P79" s="1368"/>
      <c r="Q79" s="119"/>
    </row>
    <row r="80" spans="1:17" ht="15" thickTop="1">
      <c r="A80" s="171"/>
      <c r="B80" s="1044" t="s">
        <v>2628</v>
      </c>
      <c r="C80" s="913" t="s">
        <v>1006</v>
      </c>
      <c r="D80" s="913" t="s">
        <v>1007</v>
      </c>
      <c r="E80" s="913" t="s">
        <v>424</v>
      </c>
      <c r="F80" s="913" t="s">
        <v>425</v>
      </c>
      <c r="G80" s="913" t="s">
        <v>426</v>
      </c>
      <c r="H80" s="874"/>
      <c r="I80" s="874"/>
      <c r="J80" s="874"/>
      <c r="K80" s="875"/>
      <c r="L80" s="876"/>
      <c r="M80" s="877"/>
      <c r="N80" s="1378"/>
      <c r="O80" s="1378"/>
      <c r="P80" s="1368"/>
      <c r="Q80" s="119"/>
    </row>
    <row r="81" spans="1:17" ht="15" thickBot="1">
      <c r="A81" s="171"/>
      <c r="B81" s="1045"/>
      <c r="C81" s="879">
        <v>100</v>
      </c>
      <c r="D81" s="879">
        <f>C81-$K19</f>
        <v>99.5</v>
      </c>
      <c r="E81" s="879">
        <f>D81-$K19</f>
        <v>99</v>
      </c>
      <c r="F81" s="879">
        <f>E81-$K19</f>
        <v>98.5</v>
      </c>
      <c r="G81" s="879">
        <f>F81-$K19</f>
        <v>98</v>
      </c>
      <c r="H81" s="879"/>
      <c r="I81" s="879"/>
      <c r="J81" s="879"/>
      <c r="K81" s="879"/>
      <c r="L81" s="879"/>
      <c r="M81" s="880"/>
      <c r="N81" s="1379"/>
      <c r="O81" s="1379"/>
      <c r="P81" s="1368"/>
      <c r="Q81" s="119"/>
    </row>
    <row r="82" spans="1:17" ht="15" thickTop="1">
      <c r="A82" s="171"/>
      <c r="B82" s="1046" t="s">
        <v>2638</v>
      </c>
      <c r="C82" s="175" t="s">
        <v>2639</v>
      </c>
      <c r="D82" s="175" t="s">
        <v>2643</v>
      </c>
      <c r="E82" s="175" t="s">
        <v>2640</v>
      </c>
      <c r="F82" s="175" t="s">
        <v>2641</v>
      </c>
      <c r="G82" s="175" t="s">
        <v>2642</v>
      </c>
      <c r="H82" s="874"/>
      <c r="I82" s="874"/>
      <c r="J82" s="874"/>
      <c r="K82" s="874"/>
      <c r="L82" s="874"/>
      <c r="M82" s="2746"/>
      <c r="N82" s="1379"/>
      <c r="O82" s="1379"/>
      <c r="P82" s="1368"/>
      <c r="Q82" s="119"/>
    </row>
    <row r="83" spans="1:17" ht="15" thickBot="1">
      <c r="A83" s="171"/>
      <c r="B83" s="1046"/>
      <c r="C83" s="995">
        <v>100</v>
      </c>
      <c r="D83" s="995">
        <f>C83-$K21</f>
        <v>99</v>
      </c>
      <c r="E83" s="995">
        <f t="shared" ref="E83:G83" si="23">D83-$K21</f>
        <v>98</v>
      </c>
      <c r="F83" s="995">
        <f t="shared" si="23"/>
        <v>97</v>
      </c>
      <c r="G83" s="995">
        <f t="shared" si="23"/>
        <v>96</v>
      </c>
      <c r="H83" s="995"/>
      <c r="I83" s="995"/>
      <c r="J83" s="995"/>
      <c r="K83" s="995"/>
      <c r="L83" s="995"/>
      <c r="M83" s="786"/>
      <c r="N83" s="1379"/>
      <c r="O83" s="1379"/>
      <c r="P83" s="1368"/>
      <c r="Q83" s="119"/>
    </row>
    <row r="84" spans="1:17" ht="15" thickTop="1">
      <c r="A84" s="171"/>
      <c r="B84" s="1044" t="s">
        <v>98</v>
      </c>
      <c r="C84" s="913" t="s">
        <v>422</v>
      </c>
      <c r="D84" s="913" t="s">
        <v>423</v>
      </c>
      <c r="E84" s="913" t="s">
        <v>424</v>
      </c>
      <c r="F84" s="913" t="s">
        <v>425</v>
      </c>
      <c r="G84" s="913" t="s">
        <v>426</v>
      </c>
      <c r="H84" s="874"/>
      <c r="I84" s="874"/>
      <c r="J84" s="874"/>
      <c r="K84" s="875"/>
      <c r="L84" s="876"/>
      <c r="M84" s="877"/>
      <c r="N84" s="1378"/>
      <c r="O84" s="1378"/>
      <c r="P84" s="1368"/>
      <c r="Q84" s="119"/>
    </row>
    <row r="85" spans="1:17" ht="15" thickBot="1">
      <c r="A85" s="171"/>
      <c r="B85" s="1045"/>
      <c r="C85" s="879">
        <v>100</v>
      </c>
      <c r="D85" s="879">
        <f>C85-$K23</f>
        <v>99.5</v>
      </c>
      <c r="E85" s="879">
        <f>D85-$K23</f>
        <v>99</v>
      </c>
      <c r="F85" s="879">
        <f>E85-$K23</f>
        <v>98.5</v>
      </c>
      <c r="G85" s="879">
        <f>F85-$K23</f>
        <v>98</v>
      </c>
      <c r="H85" s="879"/>
      <c r="I85" s="879"/>
      <c r="J85" s="879"/>
      <c r="K85" s="879"/>
      <c r="L85" s="879"/>
      <c r="M85" s="880"/>
      <c r="N85" s="1379"/>
      <c r="O85" s="1379"/>
      <c r="P85" s="1368"/>
      <c r="Q85" s="119"/>
    </row>
    <row r="86" spans="1:17" s="40" customFormat="1" ht="14.25" thickTop="1">
      <c r="A86" s="1062"/>
      <c r="B86" s="1044" t="s">
        <v>2286</v>
      </c>
      <c r="C86" s="137"/>
      <c r="D86" s="137"/>
      <c r="E86" s="137"/>
      <c r="F86" s="137"/>
      <c r="G86" s="137"/>
      <c r="H86" s="137"/>
      <c r="I86" s="137"/>
      <c r="J86" s="137"/>
      <c r="K86" s="137"/>
      <c r="L86" s="1373"/>
      <c r="M86" s="1374"/>
      <c r="N86" s="1377"/>
      <c r="O86" s="1377"/>
      <c r="P86" s="1368"/>
      <c r="Q86" s="119"/>
    </row>
    <row r="87" spans="1:17" s="40" customFormat="1" ht="15" thickBot="1">
      <c r="A87" s="1062"/>
      <c r="B87" s="1045"/>
      <c r="C87" s="917">
        <v>100</v>
      </c>
      <c r="D87" s="879">
        <f t="shared" ref="D87:M87" si="24">$C$87-($C$86-D86)*$K$25</f>
        <v>100</v>
      </c>
      <c r="E87" s="879">
        <f t="shared" si="24"/>
        <v>100</v>
      </c>
      <c r="F87" s="879">
        <f t="shared" si="24"/>
        <v>100</v>
      </c>
      <c r="G87" s="879">
        <f t="shared" si="24"/>
        <v>100</v>
      </c>
      <c r="H87" s="879">
        <f t="shared" si="24"/>
        <v>100</v>
      </c>
      <c r="I87" s="879">
        <f t="shared" si="24"/>
        <v>100</v>
      </c>
      <c r="J87" s="879">
        <f t="shared" si="24"/>
        <v>100</v>
      </c>
      <c r="K87" s="879">
        <f t="shared" si="24"/>
        <v>100</v>
      </c>
      <c r="L87" s="879">
        <f t="shared" si="24"/>
        <v>100</v>
      </c>
      <c r="M87" s="879">
        <f t="shared" si="24"/>
        <v>100</v>
      </c>
      <c r="N87" s="1379"/>
      <c r="O87" s="1379"/>
      <c r="P87" s="1368"/>
      <c r="Q87" s="119"/>
    </row>
    <row r="88" spans="1:17" s="40" customFormat="1" ht="14.25" thickTop="1">
      <c r="A88" s="1062"/>
      <c r="B88" s="1044" t="s">
        <v>97</v>
      </c>
      <c r="C88" s="137"/>
      <c r="D88" s="137"/>
      <c r="E88" s="137"/>
      <c r="F88" s="1375"/>
      <c r="G88" s="137"/>
      <c r="H88" s="137"/>
      <c r="I88" s="137"/>
      <c r="J88" s="137"/>
      <c r="K88" s="137"/>
      <c r="L88" s="137"/>
      <c r="M88" s="1374"/>
      <c r="N88" s="1377"/>
      <c r="O88" s="1377"/>
      <c r="P88" s="1368"/>
      <c r="Q88" s="119"/>
    </row>
    <row r="89" spans="1:17" s="40" customFormat="1" ht="15" thickBot="1">
      <c r="A89" s="1062"/>
      <c r="B89" s="1045"/>
      <c r="C89" s="917">
        <v>100</v>
      </c>
      <c r="D89" s="879">
        <f t="shared" ref="D89:M89" si="25">C89-$K26</f>
        <v>100</v>
      </c>
      <c r="E89" s="879">
        <f t="shared" si="25"/>
        <v>100</v>
      </c>
      <c r="F89" s="879">
        <f t="shared" si="25"/>
        <v>100</v>
      </c>
      <c r="G89" s="879">
        <f t="shared" si="25"/>
        <v>100</v>
      </c>
      <c r="H89" s="879">
        <f t="shared" si="25"/>
        <v>100</v>
      </c>
      <c r="I89" s="879">
        <f t="shared" si="25"/>
        <v>100</v>
      </c>
      <c r="J89" s="879">
        <f t="shared" si="25"/>
        <v>100</v>
      </c>
      <c r="K89" s="879">
        <f t="shared" si="25"/>
        <v>100</v>
      </c>
      <c r="L89" s="879">
        <f t="shared" si="25"/>
        <v>100</v>
      </c>
      <c r="M89" s="879">
        <f t="shared" si="25"/>
        <v>100</v>
      </c>
      <c r="N89" s="1379"/>
      <c r="O89" s="1379"/>
      <c r="P89" s="1368"/>
      <c r="Q89" s="119"/>
    </row>
    <row r="90" spans="1:17" s="1029" customFormat="1" ht="14.25" thickTop="1">
      <c r="A90" s="1048"/>
      <c r="B90" s="1044">
        <f>B27</f>
        <v>0</v>
      </c>
      <c r="C90" s="137"/>
      <c r="D90" s="137"/>
      <c r="E90" s="137"/>
      <c r="F90" s="137"/>
      <c r="G90" s="137"/>
      <c r="H90" s="1049"/>
      <c r="I90" s="1049"/>
      <c r="J90" s="1049"/>
      <c r="K90" s="1049"/>
      <c r="L90" s="1050"/>
      <c r="M90" s="1051"/>
      <c r="N90" s="1380"/>
      <c r="O90" s="1380"/>
      <c r="P90" s="1369"/>
      <c r="Q90" s="1053"/>
    </row>
    <row r="91" spans="1:17" s="1029" customFormat="1" ht="15" thickBot="1">
      <c r="A91" s="1048"/>
      <c r="B91" s="1045"/>
      <c r="C91" s="895"/>
      <c r="D91" s="895"/>
      <c r="E91" s="895"/>
      <c r="F91" s="895"/>
      <c r="G91" s="895"/>
      <c r="H91" s="897"/>
      <c r="I91" s="897"/>
      <c r="J91" s="897"/>
      <c r="K91" s="897"/>
      <c r="L91" s="897"/>
      <c r="M91" s="898"/>
      <c r="N91" s="1380"/>
      <c r="O91" s="1380"/>
      <c r="P91" s="1369"/>
      <c r="Q91" s="1053"/>
    </row>
    <row r="92" spans="1:17" ht="15" thickTop="1">
      <c r="A92" s="171"/>
      <c r="B92" s="1044">
        <f>B28</f>
        <v>0</v>
      </c>
      <c r="C92" s="889"/>
      <c r="D92" s="889"/>
      <c r="E92" s="889"/>
      <c r="F92" s="889"/>
      <c r="G92" s="918"/>
      <c r="H92" s="918"/>
      <c r="I92" s="918"/>
      <c r="J92" s="918"/>
      <c r="K92" s="919"/>
      <c r="L92" s="920"/>
      <c r="M92" s="921"/>
      <c r="N92" s="1378"/>
      <c r="O92" s="1378"/>
      <c r="P92" s="1368"/>
      <c r="Q92" s="119"/>
    </row>
    <row r="93" spans="1:17" ht="15" thickBot="1">
      <c r="A93" s="171"/>
      <c r="B93" s="1045"/>
      <c r="C93" s="895"/>
      <c r="D93" s="871"/>
      <c r="E93" s="871"/>
      <c r="F93" s="871"/>
      <c r="G93" s="871"/>
      <c r="H93" s="871"/>
      <c r="I93" s="871"/>
      <c r="J93" s="871"/>
      <c r="K93" s="871"/>
      <c r="L93" s="871"/>
      <c r="M93" s="872"/>
      <c r="N93" s="1379"/>
      <c r="O93" s="1379"/>
      <c r="P93" s="1368"/>
      <c r="Q93" s="119"/>
    </row>
    <row r="94" spans="1:17" ht="15" thickTop="1">
      <c r="A94" s="171"/>
      <c r="B94" s="1044">
        <f>B29</f>
        <v>0</v>
      </c>
      <c r="C94" s="889"/>
      <c r="D94" s="889"/>
      <c r="E94" s="889"/>
      <c r="F94" s="889"/>
      <c r="G94" s="918"/>
      <c r="H94" s="918"/>
      <c r="I94" s="918"/>
      <c r="J94" s="918"/>
      <c r="K94" s="919"/>
      <c r="L94" s="920"/>
      <c r="M94" s="921"/>
      <c r="N94" s="1378"/>
      <c r="O94" s="1378"/>
      <c r="P94" s="1368"/>
      <c r="Q94" s="119"/>
    </row>
    <row r="95" spans="1:17" ht="15" thickBot="1">
      <c r="A95" s="171"/>
      <c r="B95" s="1045"/>
      <c r="C95" s="895"/>
      <c r="D95" s="895"/>
      <c r="E95" s="895"/>
      <c r="F95" s="895"/>
      <c r="G95" s="871"/>
      <c r="H95" s="871"/>
      <c r="I95" s="871"/>
      <c r="J95" s="871"/>
      <c r="K95" s="871"/>
      <c r="L95" s="871"/>
      <c r="M95" s="872"/>
      <c r="N95" s="1379"/>
      <c r="O95" s="1379"/>
      <c r="P95" s="1368"/>
      <c r="Q95" s="119"/>
    </row>
    <row r="96" spans="1:17" ht="15" thickTop="1">
      <c r="A96" s="171"/>
      <c r="B96" s="1044">
        <f>B30</f>
        <v>0</v>
      </c>
      <c r="C96" s="889"/>
      <c r="D96" s="889"/>
      <c r="E96" s="889"/>
      <c r="F96" s="889"/>
      <c r="G96" s="918"/>
      <c r="H96" s="918"/>
      <c r="I96" s="918"/>
      <c r="J96" s="918"/>
      <c r="K96" s="919"/>
      <c r="L96" s="920"/>
      <c r="M96" s="921"/>
      <c r="N96" s="1378"/>
      <c r="O96" s="1378"/>
      <c r="P96" s="1368"/>
      <c r="Q96" s="119"/>
    </row>
    <row r="97" spans="1:17" ht="15" thickBot="1">
      <c r="A97" s="171"/>
      <c r="B97" s="1045"/>
      <c r="C97" s="905"/>
      <c r="D97" s="905"/>
      <c r="E97" s="905"/>
      <c r="F97" s="905"/>
      <c r="G97" s="871"/>
      <c r="H97" s="871"/>
      <c r="I97" s="871"/>
      <c r="J97" s="871"/>
      <c r="K97" s="871"/>
      <c r="L97" s="871"/>
      <c r="M97" s="872"/>
      <c r="N97" s="1379"/>
      <c r="O97" s="1379"/>
      <c r="P97" s="1368"/>
      <c r="Q97" s="119"/>
    </row>
    <row r="98" spans="1:17" ht="15" thickTop="1">
      <c r="A98" s="171"/>
      <c r="B98" s="1046">
        <f>B31</f>
        <v>0</v>
      </c>
      <c r="C98" s="922"/>
      <c r="D98" s="922"/>
      <c r="E98" s="922"/>
      <c r="F98" s="922"/>
      <c r="G98" s="922"/>
      <c r="H98" s="922"/>
      <c r="I98" s="922"/>
      <c r="J98" s="922"/>
      <c r="K98" s="923"/>
      <c r="L98" s="924"/>
      <c r="M98" s="925"/>
      <c r="N98" s="1378"/>
      <c r="O98" s="1378"/>
      <c r="P98" s="1368"/>
      <c r="Q98" s="119"/>
    </row>
    <row r="99" spans="1:17" ht="15" thickBot="1">
      <c r="A99" s="172"/>
      <c r="B99" s="1061"/>
      <c r="C99" s="926"/>
      <c r="D99" s="926"/>
      <c r="E99" s="926"/>
      <c r="F99" s="926"/>
      <c r="G99" s="926"/>
      <c r="H99" s="926"/>
      <c r="I99" s="926"/>
      <c r="J99" s="926"/>
      <c r="K99" s="926"/>
      <c r="L99" s="926"/>
      <c r="M99" s="927"/>
      <c r="N99" s="1379"/>
      <c r="O99" s="1379"/>
      <c r="P99" s="1368"/>
      <c r="Q99" s="119"/>
    </row>
    <row r="100" spans="1:17">
      <c r="A100" s="170" t="s">
        <v>70</v>
      </c>
      <c r="B100" s="284" t="s">
        <v>123</v>
      </c>
      <c r="C100" s="120" t="s">
        <v>3177</v>
      </c>
      <c r="D100" s="120"/>
      <c r="E100" s="120"/>
      <c r="F100" s="120"/>
      <c r="G100" s="120"/>
      <c r="H100" s="120"/>
      <c r="I100" s="120"/>
      <c r="J100" s="120"/>
      <c r="K100" s="121"/>
      <c r="L100" s="122"/>
      <c r="M100" s="123"/>
      <c r="N100" s="1378"/>
      <c r="O100" s="1378"/>
      <c r="P100" s="1368"/>
      <c r="Q100" s="119"/>
    </row>
    <row r="101" spans="1:17" ht="15" thickBot="1">
      <c r="A101" s="171"/>
      <c r="B101" s="1045"/>
      <c r="C101" s="879">
        <v>100</v>
      </c>
      <c r="D101" s="879">
        <f t="shared" ref="D101:M101" si="26">C101-$K32</f>
        <v>99</v>
      </c>
      <c r="E101" s="879">
        <f t="shared" si="26"/>
        <v>98</v>
      </c>
      <c r="F101" s="879">
        <f t="shared" si="26"/>
        <v>97</v>
      </c>
      <c r="G101" s="879">
        <f t="shared" si="26"/>
        <v>96</v>
      </c>
      <c r="H101" s="879">
        <f t="shared" si="26"/>
        <v>95</v>
      </c>
      <c r="I101" s="879">
        <f t="shared" si="26"/>
        <v>94</v>
      </c>
      <c r="J101" s="879">
        <f t="shared" si="26"/>
        <v>93</v>
      </c>
      <c r="K101" s="879">
        <f t="shared" si="26"/>
        <v>92</v>
      </c>
      <c r="L101" s="879">
        <f t="shared" si="26"/>
        <v>91</v>
      </c>
      <c r="M101" s="879">
        <f t="shared" si="26"/>
        <v>90</v>
      </c>
      <c r="N101" s="1379"/>
      <c r="O101" s="1379"/>
      <c r="P101" s="1368"/>
      <c r="Q101" s="119"/>
    </row>
    <row r="102" spans="1:17" ht="29.25" thickTop="1">
      <c r="A102" s="171"/>
      <c r="B102" s="1044" t="s">
        <v>96</v>
      </c>
      <c r="C102" s="913" t="str">
        <f>C103&amp;"(含)"&amp;"-"&amp;D103</f>
        <v>0(含)-100000</v>
      </c>
      <c r="D102" s="913" t="str">
        <f t="shared" ref="D102:L102" si="27">D103&amp;"(含)"&amp;"-"&amp;E103</f>
        <v>100000(含)-200000</v>
      </c>
      <c r="E102" s="913" t="str">
        <f t="shared" si="27"/>
        <v>200000(含)-300000</v>
      </c>
      <c r="F102" s="913" t="str">
        <f t="shared" si="27"/>
        <v>300000(含)-400000</v>
      </c>
      <c r="G102" s="913" t="str">
        <f t="shared" si="27"/>
        <v>400000(含)-</v>
      </c>
      <c r="H102" s="913" t="str">
        <f t="shared" si="27"/>
        <v>(含)-</v>
      </c>
      <c r="I102" s="913" t="str">
        <f t="shared" si="27"/>
        <v>(含)-</v>
      </c>
      <c r="J102" s="913" t="str">
        <f t="shared" si="27"/>
        <v>(含)-</v>
      </c>
      <c r="K102" s="913" t="str">
        <f>K103&amp;"(含)"&amp;"-"&amp;L103</f>
        <v>(含)-</v>
      </c>
      <c r="L102" s="913" t="str">
        <f t="shared" si="27"/>
        <v>(含)-</v>
      </c>
      <c r="M102" s="913" t="str">
        <f>M103&amp;"(含)"&amp;"-"&amp;P103</f>
        <v>(含)-</v>
      </c>
      <c r="N102" s="1377"/>
      <c r="O102" s="1377"/>
      <c r="P102" s="1368"/>
      <c r="Q102" s="119"/>
    </row>
    <row r="103" spans="1:17" s="1029" customFormat="1" ht="14.25">
      <c r="A103" s="1063"/>
      <c r="B103" s="1064"/>
      <c r="C103" s="930">
        <v>0</v>
      </c>
      <c r="D103" s="930">
        <v>100000</v>
      </c>
      <c r="E103" s="930">
        <v>200000</v>
      </c>
      <c r="F103" s="930">
        <v>300000</v>
      </c>
      <c r="G103" s="930">
        <v>400000</v>
      </c>
      <c r="H103" s="930"/>
      <c r="I103" s="930"/>
      <c r="J103" s="931"/>
      <c r="K103" s="931"/>
      <c r="L103" s="932"/>
      <c r="M103" s="933"/>
      <c r="N103" s="1380"/>
      <c r="O103" s="1380"/>
      <c r="P103" s="1369"/>
      <c r="Q103" s="1053"/>
    </row>
    <row r="104" spans="1:17" s="1029" customFormat="1" ht="15" thickBot="1">
      <c r="A104" s="1048"/>
      <c r="B104" s="1045"/>
      <c r="C104" s="895">
        <v>100</v>
      </c>
      <c r="D104" s="871">
        <v>100.5</v>
      </c>
      <c r="E104" s="871">
        <v>101</v>
      </c>
      <c r="F104" s="871">
        <v>101.5</v>
      </c>
      <c r="G104" s="871">
        <v>102</v>
      </c>
      <c r="H104" s="871"/>
      <c r="I104" s="871"/>
      <c r="J104" s="871"/>
      <c r="K104" s="871"/>
      <c r="L104" s="871"/>
      <c r="M104" s="871"/>
      <c r="N104" s="1379"/>
      <c r="O104" s="1379"/>
      <c r="P104" s="1369"/>
      <c r="Q104" s="1053"/>
    </row>
    <row r="105" spans="1:17" ht="14.25" thickTop="1">
      <c r="A105" s="173"/>
      <c r="B105" s="1044" t="s">
        <v>95</v>
      </c>
      <c r="C105" s="137" t="s">
        <v>3178</v>
      </c>
      <c r="D105" s="137"/>
      <c r="E105" s="129"/>
      <c r="F105" s="129"/>
      <c r="G105" s="129"/>
      <c r="H105" s="129"/>
      <c r="I105" s="129"/>
      <c r="J105" s="129"/>
      <c r="K105" s="130"/>
      <c r="L105" s="131"/>
      <c r="M105" s="132"/>
      <c r="N105" s="1378"/>
      <c r="O105" s="1378"/>
      <c r="P105" s="1368"/>
      <c r="Q105" s="119"/>
    </row>
    <row r="106" spans="1:17" ht="15" thickBot="1">
      <c r="A106" s="171"/>
      <c r="B106" s="1045"/>
      <c r="C106" s="879">
        <v>100</v>
      </c>
      <c r="D106" s="879">
        <f t="shared" ref="D106:M106" si="28">C106-$K34</f>
        <v>99</v>
      </c>
      <c r="E106" s="879">
        <f t="shared" si="28"/>
        <v>98</v>
      </c>
      <c r="F106" s="879">
        <f t="shared" si="28"/>
        <v>97</v>
      </c>
      <c r="G106" s="879">
        <f t="shared" si="28"/>
        <v>96</v>
      </c>
      <c r="H106" s="879">
        <f t="shared" si="28"/>
        <v>95</v>
      </c>
      <c r="I106" s="879">
        <f t="shared" si="28"/>
        <v>94</v>
      </c>
      <c r="J106" s="879">
        <f t="shared" si="28"/>
        <v>93</v>
      </c>
      <c r="K106" s="879">
        <f t="shared" si="28"/>
        <v>92</v>
      </c>
      <c r="L106" s="879">
        <f t="shared" si="28"/>
        <v>91</v>
      </c>
      <c r="M106" s="879">
        <f t="shared" si="28"/>
        <v>90</v>
      </c>
      <c r="N106" s="1379"/>
      <c r="O106" s="1379"/>
      <c r="P106" s="1368"/>
      <c r="Q106" s="119"/>
    </row>
    <row r="107" spans="1:17" ht="14.25" thickTop="1">
      <c r="A107" s="173"/>
      <c r="B107" s="1044" t="s">
        <v>111</v>
      </c>
      <c r="C107" s="129" t="s">
        <v>3180</v>
      </c>
      <c r="D107" s="129" t="s">
        <v>3181</v>
      </c>
      <c r="E107" s="129"/>
      <c r="F107" s="129"/>
      <c r="G107" s="129"/>
      <c r="H107" s="129"/>
      <c r="I107" s="129"/>
      <c r="J107" s="129"/>
      <c r="K107" s="130"/>
      <c r="L107" s="131"/>
      <c r="M107" s="132"/>
      <c r="N107" s="1378"/>
      <c r="O107" s="1378"/>
      <c r="P107" s="1368"/>
      <c r="Q107" s="119"/>
    </row>
    <row r="108" spans="1:17" ht="15" thickBot="1">
      <c r="A108" s="171"/>
      <c r="B108" s="1045"/>
      <c r="C108" s="879">
        <v>100</v>
      </c>
      <c r="D108" s="879">
        <f t="shared" ref="D108:M108" si="29">C108-$K35</f>
        <v>95</v>
      </c>
      <c r="E108" s="879">
        <f t="shared" si="29"/>
        <v>90</v>
      </c>
      <c r="F108" s="879">
        <f t="shared" si="29"/>
        <v>85</v>
      </c>
      <c r="G108" s="879">
        <f t="shared" si="29"/>
        <v>80</v>
      </c>
      <c r="H108" s="879">
        <f t="shared" si="29"/>
        <v>75</v>
      </c>
      <c r="I108" s="879">
        <f t="shared" si="29"/>
        <v>70</v>
      </c>
      <c r="J108" s="879">
        <f t="shared" si="29"/>
        <v>65</v>
      </c>
      <c r="K108" s="879">
        <f t="shared" si="29"/>
        <v>60</v>
      </c>
      <c r="L108" s="879">
        <f t="shared" si="29"/>
        <v>55</v>
      </c>
      <c r="M108" s="879">
        <f t="shared" si="29"/>
        <v>50</v>
      </c>
      <c r="N108" s="1379"/>
      <c r="O108" s="1379"/>
      <c r="P108" s="1368"/>
      <c r="Q108" s="119"/>
    </row>
    <row r="109" spans="1:17" ht="14.25" thickTop="1">
      <c r="A109" s="173"/>
      <c r="B109" s="1044" t="s">
        <v>124</v>
      </c>
      <c r="C109" s="137" t="s">
        <v>3183</v>
      </c>
      <c r="D109" s="137"/>
      <c r="E109" s="137"/>
      <c r="F109" s="129"/>
      <c r="G109" s="129"/>
      <c r="H109" s="129"/>
      <c r="I109" s="129"/>
      <c r="J109" s="129"/>
      <c r="K109" s="130"/>
      <c r="L109" s="131"/>
      <c r="M109" s="132"/>
      <c r="N109" s="1378"/>
      <c r="O109" s="1378"/>
      <c r="P109" s="1368"/>
      <c r="Q109" s="119"/>
    </row>
    <row r="110" spans="1:17" ht="15" thickBot="1">
      <c r="A110" s="171"/>
      <c r="B110" s="1045"/>
      <c r="C110" s="879">
        <v>100</v>
      </c>
      <c r="D110" s="879">
        <f t="shared" ref="D110:M110" si="30">C110-$K36</f>
        <v>97</v>
      </c>
      <c r="E110" s="879">
        <f t="shared" si="30"/>
        <v>94</v>
      </c>
      <c r="F110" s="879">
        <f t="shared" si="30"/>
        <v>91</v>
      </c>
      <c r="G110" s="879">
        <f t="shared" si="30"/>
        <v>88</v>
      </c>
      <c r="H110" s="879">
        <f t="shared" si="30"/>
        <v>85</v>
      </c>
      <c r="I110" s="879">
        <f t="shared" si="30"/>
        <v>82</v>
      </c>
      <c r="J110" s="879">
        <f t="shared" si="30"/>
        <v>79</v>
      </c>
      <c r="K110" s="879">
        <f t="shared" si="30"/>
        <v>76</v>
      </c>
      <c r="L110" s="879">
        <f t="shared" si="30"/>
        <v>73</v>
      </c>
      <c r="M110" s="879">
        <f t="shared" si="30"/>
        <v>70</v>
      </c>
      <c r="N110" s="1379"/>
      <c r="O110" s="1379"/>
      <c r="P110" s="1368"/>
      <c r="Q110" s="119"/>
    </row>
    <row r="111" spans="1:17" s="1029" customFormat="1" ht="15" thickTop="1">
      <c r="A111" s="1063"/>
      <c r="B111" s="1044" t="s">
        <v>112</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35"/>
      <c r="K111" s="935"/>
      <c r="L111" s="936"/>
      <c r="M111" s="937"/>
      <c r="N111" s="1380"/>
      <c r="O111" s="1380"/>
      <c r="P111" s="1369"/>
      <c r="Q111" s="1053"/>
    </row>
    <row r="112" spans="1:17" s="1029" customFormat="1" ht="14.25">
      <c r="A112" s="1063"/>
      <c r="B112" s="1046"/>
      <c r="C112" s="938">
        <v>0.5</v>
      </c>
      <c r="D112" s="938">
        <v>0.6</v>
      </c>
      <c r="E112" s="938">
        <v>0.7</v>
      </c>
      <c r="F112" s="938">
        <v>0.8</v>
      </c>
      <c r="G112" s="938">
        <v>0.9</v>
      </c>
      <c r="H112" s="938">
        <v>1.0001</v>
      </c>
      <c r="I112" s="938"/>
      <c r="J112" s="939"/>
      <c r="K112" s="939"/>
      <c r="L112" s="940"/>
      <c r="M112" s="941"/>
      <c r="N112" s="1380"/>
      <c r="O112" s="1380"/>
      <c r="P112" s="1369"/>
      <c r="Q112" s="1053"/>
    </row>
    <row r="113" spans="1:17" s="1029" customFormat="1" ht="15" thickBot="1">
      <c r="A113" s="1048"/>
      <c r="B113" s="1045"/>
      <c r="C113" s="917">
        <v>100</v>
      </c>
      <c r="D113" s="879">
        <f>C113+$K37</f>
        <v>101</v>
      </c>
      <c r="E113" s="879">
        <f>D113+$K37</f>
        <v>102</v>
      </c>
      <c r="F113" s="879">
        <f>E113+$K37</f>
        <v>103</v>
      </c>
      <c r="G113" s="879">
        <f>F113+$K37</f>
        <v>104</v>
      </c>
      <c r="H113" s="879">
        <f>G113+$K37</f>
        <v>105</v>
      </c>
      <c r="I113" s="917"/>
      <c r="J113" s="942"/>
      <c r="K113" s="942"/>
      <c r="L113" s="942"/>
      <c r="M113" s="943"/>
      <c r="N113" s="1380"/>
      <c r="O113" s="1380"/>
      <c r="P113" s="1369"/>
      <c r="Q113" s="1053"/>
    </row>
    <row r="114" spans="1:17" ht="14.25" thickTop="1">
      <c r="A114" s="173"/>
      <c r="B114" s="1044" t="s">
        <v>125</v>
      </c>
      <c r="C114" s="137" t="s">
        <v>3184</v>
      </c>
      <c r="D114" s="137"/>
      <c r="E114" s="129"/>
      <c r="F114" s="129"/>
      <c r="G114" s="129"/>
      <c r="H114" s="129"/>
      <c r="I114" s="129"/>
      <c r="J114" s="129"/>
      <c r="K114" s="130"/>
      <c r="L114" s="131"/>
      <c r="M114" s="132"/>
      <c r="N114" s="1378"/>
      <c r="O114" s="1378"/>
      <c r="P114" s="1368"/>
      <c r="Q114" s="119"/>
    </row>
    <row r="115" spans="1:17" ht="15" thickBot="1">
      <c r="A115" s="171"/>
      <c r="B115" s="1045"/>
      <c r="C115" s="879">
        <v>100</v>
      </c>
      <c r="D115" s="879">
        <f t="shared" ref="D115:M115" si="31">C115-$K38</f>
        <v>99</v>
      </c>
      <c r="E115" s="879">
        <f t="shared" si="31"/>
        <v>98</v>
      </c>
      <c r="F115" s="879">
        <f t="shared" si="31"/>
        <v>97</v>
      </c>
      <c r="G115" s="879">
        <f t="shared" si="31"/>
        <v>96</v>
      </c>
      <c r="H115" s="879">
        <f t="shared" si="31"/>
        <v>95</v>
      </c>
      <c r="I115" s="879">
        <f t="shared" si="31"/>
        <v>94</v>
      </c>
      <c r="J115" s="879">
        <f t="shared" si="31"/>
        <v>93</v>
      </c>
      <c r="K115" s="879">
        <f t="shared" si="31"/>
        <v>92</v>
      </c>
      <c r="L115" s="879">
        <f t="shared" si="31"/>
        <v>91</v>
      </c>
      <c r="M115" s="879">
        <f t="shared" si="31"/>
        <v>90</v>
      </c>
      <c r="N115" s="1379"/>
      <c r="O115" s="1379"/>
      <c r="P115" s="1368"/>
      <c r="Q115" s="119"/>
    </row>
    <row r="116" spans="1:17" ht="14.25" thickTop="1">
      <c r="A116" s="173"/>
      <c r="B116" s="1044" t="s">
        <v>2630</v>
      </c>
      <c r="C116" s="889" t="s">
        <v>3185</v>
      </c>
      <c r="D116" s="889" t="s">
        <v>3186</v>
      </c>
      <c r="E116" s="889" t="s">
        <v>3187</v>
      </c>
      <c r="F116" s="889" t="s">
        <v>3188</v>
      </c>
      <c r="G116" s="889" t="s">
        <v>3189</v>
      </c>
      <c r="H116" s="129"/>
      <c r="I116" s="129"/>
      <c r="J116" s="129"/>
      <c r="K116" s="130"/>
      <c r="L116" s="131"/>
      <c r="M116" s="132"/>
      <c r="N116" s="1378"/>
      <c r="O116" s="1378"/>
      <c r="P116" s="1368"/>
      <c r="Q116" s="119"/>
    </row>
    <row r="117" spans="1:17" ht="15" thickBot="1">
      <c r="A117" s="171"/>
      <c r="B117" s="1045"/>
      <c r="C117" s="879">
        <v>100</v>
      </c>
      <c r="D117" s="879">
        <f>C117-$K39</f>
        <v>99</v>
      </c>
      <c r="E117" s="879">
        <f>D117-$K39</f>
        <v>98</v>
      </c>
      <c r="F117" s="879">
        <f>E117-$K39</f>
        <v>97</v>
      </c>
      <c r="G117" s="879">
        <f>F117-$K39</f>
        <v>96</v>
      </c>
      <c r="H117" s="879"/>
      <c r="I117" s="879"/>
      <c r="J117" s="879"/>
      <c r="K117" s="879"/>
      <c r="L117" s="879"/>
      <c r="M117" s="880"/>
      <c r="N117" s="1379"/>
      <c r="O117" s="1379"/>
      <c r="P117" s="1368"/>
      <c r="Q117" s="119"/>
    </row>
    <row r="118" spans="1:17" ht="14.25" thickTop="1">
      <c r="A118" s="173"/>
      <c r="B118" s="1044" t="s">
        <v>113</v>
      </c>
      <c r="C118" s="129" t="s">
        <v>3212</v>
      </c>
      <c r="D118" s="129"/>
      <c r="E118" s="129"/>
      <c r="F118" s="129"/>
      <c r="G118" s="129"/>
      <c r="H118" s="129"/>
      <c r="I118" s="129"/>
      <c r="J118" s="129"/>
      <c r="K118" s="130"/>
      <c r="L118" s="131"/>
      <c r="M118" s="132"/>
      <c r="N118" s="1378"/>
      <c r="O118" s="1378"/>
      <c r="P118" s="1368"/>
      <c r="Q118" s="119"/>
    </row>
    <row r="119" spans="1:17" ht="15" thickBot="1">
      <c r="A119" s="171"/>
      <c r="B119" s="1045"/>
      <c r="C119" s="879">
        <v>100</v>
      </c>
      <c r="D119" s="879">
        <f t="shared" ref="D119:M119" si="32">C119-$K40</f>
        <v>99</v>
      </c>
      <c r="E119" s="879">
        <f t="shared" si="32"/>
        <v>98</v>
      </c>
      <c r="F119" s="879">
        <f t="shared" si="32"/>
        <v>97</v>
      </c>
      <c r="G119" s="879">
        <f t="shared" si="32"/>
        <v>96</v>
      </c>
      <c r="H119" s="879">
        <f t="shared" si="32"/>
        <v>95</v>
      </c>
      <c r="I119" s="879">
        <f t="shared" si="32"/>
        <v>94</v>
      </c>
      <c r="J119" s="879">
        <f t="shared" si="32"/>
        <v>93</v>
      </c>
      <c r="K119" s="879">
        <f t="shared" si="32"/>
        <v>92</v>
      </c>
      <c r="L119" s="879">
        <f t="shared" si="32"/>
        <v>91</v>
      </c>
      <c r="M119" s="879">
        <f t="shared" si="32"/>
        <v>90</v>
      </c>
      <c r="N119" s="1379"/>
      <c r="O119" s="1379"/>
      <c r="P119" s="1368"/>
      <c r="Q119" s="119"/>
    </row>
    <row r="120" spans="1:17" s="1029" customFormat="1" ht="27.75" thickTop="1">
      <c r="A120" s="1063"/>
      <c r="B120" s="1044" t="s">
        <v>105</v>
      </c>
      <c r="C120" s="137"/>
      <c r="D120" s="137"/>
      <c r="E120" s="137"/>
      <c r="F120" s="137"/>
      <c r="G120" s="137"/>
      <c r="H120" s="137"/>
      <c r="I120" s="137"/>
      <c r="J120" s="137"/>
      <c r="K120" s="137"/>
      <c r="L120" s="1373"/>
      <c r="M120" s="1374"/>
      <c r="N120" s="1380"/>
      <c r="O120" s="1380"/>
      <c r="P120" s="1369"/>
      <c r="Q120" s="1053"/>
    </row>
    <row r="121" spans="1:17" s="1029" customFormat="1" ht="15" thickBot="1">
      <c r="A121" s="1048"/>
      <c r="B121" s="1043"/>
      <c r="C121" s="895"/>
      <c r="D121" s="871"/>
      <c r="E121" s="871"/>
      <c r="F121" s="871"/>
      <c r="G121" s="871"/>
      <c r="H121" s="871"/>
      <c r="I121" s="871"/>
      <c r="J121" s="871"/>
      <c r="K121" s="871"/>
      <c r="L121" s="871"/>
      <c r="M121" s="871"/>
      <c r="N121" s="1380"/>
      <c r="O121" s="1380"/>
      <c r="P121" s="1369"/>
      <c r="Q121" s="1053"/>
    </row>
    <row r="122" spans="1:17" ht="14.25" thickTop="1">
      <c r="A122" s="173"/>
      <c r="B122" s="1044" t="s">
        <v>126</v>
      </c>
      <c r="C122" s="889" t="s">
        <v>3190</v>
      </c>
      <c r="D122" s="889" t="s">
        <v>3191</v>
      </c>
      <c r="E122" s="889" t="s">
        <v>3192</v>
      </c>
      <c r="F122" s="918" t="s">
        <v>3193</v>
      </c>
      <c r="G122" s="129"/>
      <c r="H122" s="129"/>
      <c r="I122" s="129"/>
      <c r="J122" s="129"/>
      <c r="K122" s="130"/>
      <c r="L122" s="131"/>
      <c r="M122" s="132"/>
      <c r="N122" s="1378"/>
      <c r="O122" s="1378"/>
      <c r="P122" s="1368"/>
      <c r="Q122" s="119"/>
    </row>
    <row r="123" spans="1:17" ht="15" thickBot="1">
      <c r="A123" s="171"/>
      <c r="B123" s="1045"/>
      <c r="C123" s="879">
        <v>100</v>
      </c>
      <c r="D123" s="879">
        <f t="shared" ref="D123:M123" si="33">C123-$K42</f>
        <v>98</v>
      </c>
      <c r="E123" s="879">
        <f t="shared" si="33"/>
        <v>96</v>
      </c>
      <c r="F123" s="879">
        <f t="shared" si="33"/>
        <v>94</v>
      </c>
      <c r="G123" s="879">
        <f t="shared" si="33"/>
        <v>92</v>
      </c>
      <c r="H123" s="879">
        <f t="shared" si="33"/>
        <v>90</v>
      </c>
      <c r="I123" s="879">
        <f t="shared" si="33"/>
        <v>88</v>
      </c>
      <c r="J123" s="879">
        <f t="shared" si="33"/>
        <v>86</v>
      </c>
      <c r="K123" s="879">
        <f t="shared" si="33"/>
        <v>84</v>
      </c>
      <c r="L123" s="879">
        <f t="shared" si="33"/>
        <v>82</v>
      </c>
      <c r="M123" s="879">
        <f t="shared" si="33"/>
        <v>80</v>
      </c>
      <c r="N123" s="1379"/>
      <c r="O123" s="1379"/>
      <c r="P123" s="1368"/>
      <c r="Q123" s="119"/>
    </row>
    <row r="124" spans="1:17" ht="27.75" thickTop="1">
      <c r="A124" s="173"/>
      <c r="B124" s="1044" t="s">
        <v>94</v>
      </c>
      <c r="C124" s="913" t="s">
        <v>422</v>
      </c>
      <c r="D124" s="913" t="s">
        <v>423</v>
      </c>
      <c r="E124" s="913" t="s">
        <v>424</v>
      </c>
      <c r="F124" s="913" t="s">
        <v>425</v>
      </c>
      <c r="G124" s="913" t="s">
        <v>426</v>
      </c>
      <c r="H124" s="874"/>
      <c r="I124" s="874"/>
      <c r="J124" s="874"/>
      <c r="K124" s="875"/>
      <c r="L124" s="876"/>
      <c r="M124" s="877"/>
      <c r="N124" s="1378"/>
      <c r="O124" s="1378"/>
      <c r="P124" s="1369"/>
      <c r="Q124" s="119"/>
    </row>
    <row r="125" spans="1:17" ht="15" thickBot="1">
      <c r="A125" s="171"/>
      <c r="B125" s="1045"/>
      <c r="C125" s="879">
        <v>100</v>
      </c>
      <c r="D125" s="879">
        <f>C125-$K43</f>
        <v>99</v>
      </c>
      <c r="E125" s="879">
        <f>D125-$K43</f>
        <v>98</v>
      </c>
      <c r="F125" s="879">
        <f>E125-$K43</f>
        <v>97</v>
      </c>
      <c r="G125" s="879">
        <f>F125-$K43</f>
        <v>96</v>
      </c>
      <c r="H125" s="879"/>
      <c r="I125" s="879"/>
      <c r="J125" s="879"/>
      <c r="K125" s="879"/>
      <c r="L125" s="879"/>
      <c r="M125" s="880"/>
      <c r="N125" s="1379"/>
      <c r="O125" s="1379"/>
      <c r="P125" s="1368"/>
      <c r="Q125" s="119"/>
    </row>
    <row r="126" spans="1:17" s="1029" customFormat="1" ht="14.25" thickTop="1">
      <c r="A126" s="1063"/>
      <c r="B126" s="1044">
        <f>B44</f>
        <v>0</v>
      </c>
      <c r="C126" s="137"/>
      <c r="D126" s="137"/>
      <c r="E126" s="137"/>
      <c r="F126" s="137"/>
      <c r="G126" s="137"/>
      <c r="H126" s="1049"/>
      <c r="I126" s="1049"/>
      <c r="J126" s="1049"/>
      <c r="K126" s="1049"/>
      <c r="L126" s="1050"/>
      <c r="M126" s="1051"/>
      <c r="N126" s="1380"/>
      <c r="O126" s="1380"/>
      <c r="P126" s="1369"/>
      <c r="Q126" s="1053"/>
    </row>
    <row r="127" spans="1:17" s="1029" customFormat="1" ht="15" thickBot="1">
      <c r="A127" s="1048"/>
      <c r="B127" s="1045"/>
      <c r="C127" s="895"/>
      <c r="D127" s="871"/>
      <c r="E127" s="871"/>
      <c r="F127" s="871"/>
      <c r="G127" s="895"/>
      <c r="H127" s="897"/>
      <c r="I127" s="897"/>
      <c r="J127" s="897"/>
      <c r="K127" s="897"/>
      <c r="L127" s="897"/>
      <c r="M127" s="898"/>
      <c r="N127" s="1380"/>
      <c r="O127" s="1380"/>
      <c r="P127" s="1369"/>
      <c r="Q127" s="1053"/>
    </row>
    <row r="128" spans="1:17" ht="14.25" thickTop="1">
      <c r="A128" s="173"/>
      <c r="B128" s="1044">
        <f>B45</f>
        <v>0</v>
      </c>
      <c r="C128" s="137"/>
      <c r="D128" s="137"/>
      <c r="E128" s="137"/>
      <c r="F128" s="137"/>
      <c r="G128" s="129"/>
      <c r="H128" s="129"/>
      <c r="I128" s="129"/>
      <c r="J128" s="129"/>
      <c r="K128" s="130"/>
      <c r="L128" s="131"/>
      <c r="M128" s="132"/>
      <c r="N128" s="1378"/>
      <c r="O128" s="1378"/>
      <c r="P128" s="1368"/>
      <c r="Q128" s="119"/>
    </row>
    <row r="129" spans="1:17" ht="15" thickBot="1">
      <c r="A129" s="171"/>
      <c r="B129" s="1045"/>
      <c r="C129" s="895"/>
      <c r="D129" s="895"/>
      <c r="E129" s="895"/>
      <c r="F129" s="895"/>
      <c r="G129" s="871"/>
      <c r="H129" s="871"/>
      <c r="I129" s="871"/>
      <c r="J129" s="871"/>
      <c r="K129" s="871"/>
      <c r="L129" s="871"/>
      <c r="M129" s="872"/>
      <c r="N129" s="1379"/>
      <c r="O129" s="1379"/>
      <c r="P129" s="1368"/>
      <c r="Q129" s="119"/>
    </row>
    <row r="130" spans="1:17" ht="14.25" thickTop="1">
      <c r="A130" s="173"/>
      <c r="B130" s="1046">
        <f>B46</f>
        <v>0</v>
      </c>
      <c r="C130" s="137"/>
      <c r="D130" s="137"/>
      <c r="E130" s="137"/>
      <c r="F130" s="137"/>
      <c r="G130" s="133"/>
      <c r="H130" s="133"/>
      <c r="I130" s="133"/>
      <c r="J130" s="133"/>
      <c r="K130" s="138"/>
      <c r="L130" s="139"/>
      <c r="M130" s="136"/>
      <c r="N130" s="1378"/>
      <c r="O130" s="1378"/>
      <c r="P130" s="1368"/>
      <c r="Q130" s="119"/>
    </row>
    <row r="131" spans="1:17" ht="15" thickBot="1">
      <c r="A131" s="172"/>
      <c r="B131" s="1061"/>
      <c r="C131" s="905"/>
      <c r="D131" s="905"/>
      <c r="E131" s="905"/>
      <c r="F131" s="905"/>
      <c r="G131" s="926"/>
      <c r="H131" s="926"/>
      <c r="I131" s="926"/>
      <c r="J131" s="926"/>
      <c r="K131" s="926"/>
      <c r="L131" s="926"/>
      <c r="M131" s="927"/>
      <c r="N131" s="1379"/>
      <c r="O131" s="1379"/>
      <c r="P131" s="1368"/>
      <c r="Q131" s="119"/>
    </row>
    <row r="136" spans="1:17" ht="14.25" thickBot="1">
      <c r="B136" s="2122" t="s">
        <v>2287</v>
      </c>
    </row>
    <row r="137" spans="1:17" ht="14.25">
      <c r="B137" s="2123" t="s">
        <v>2288</v>
      </c>
      <c r="C137" s="2124"/>
      <c r="D137" s="2124"/>
      <c r="E137" s="2124"/>
      <c r="F137" s="2124"/>
      <c r="G137" s="2125"/>
      <c r="H137" s="2126"/>
      <c r="I137" s="2127" t="s">
        <v>2289</v>
      </c>
      <c r="J137" s="2124"/>
      <c r="K137" s="2128"/>
    </row>
    <row r="138" spans="1:17" ht="14.25">
      <c r="B138" s="2129"/>
      <c r="C138" s="1760" t="s">
        <v>2290</v>
      </c>
      <c r="D138" s="1760" t="s">
        <v>2291</v>
      </c>
      <c r="E138" s="2130" t="s">
        <v>2292</v>
      </c>
      <c r="F138" s="2131" t="s">
        <v>2293</v>
      </c>
      <c r="G138" s="1760" t="s">
        <v>2291</v>
      </c>
      <c r="H138" s="2132" t="s">
        <v>2292</v>
      </c>
      <c r="I138" s="2133"/>
      <c r="J138" s="1760" t="s">
        <v>2294</v>
      </c>
      <c r="K138" s="2132" t="s">
        <v>2295</v>
      </c>
    </row>
    <row r="139" spans="1:17" ht="15">
      <c r="B139" s="2134">
        <v>6</v>
      </c>
      <c r="C139" s="2135">
        <v>96</v>
      </c>
      <c r="D139" s="2136" t="s">
        <v>2296</v>
      </c>
      <c r="E139" s="2137">
        <v>100</v>
      </c>
      <c r="F139" s="2138">
        <v>102.5</v>
      </c>
      <c r="G139" s="2136" t="s">
        <v>2296</v>
      </c>
      <c r="H139" s="2139">
        <v>105</v>
      </c>
      <c r="I139" s="2140" t="s">
        <v>2297</v>
      </c>
      <c r="J139" s="2135">
        <v>20</v>
      </c>
      <c r="K139" s="2141">
        <f>C145/(J139-2)</f>
        <v>4.0555555555555553E-3</v>
      </c>
    </row>
    <row r="140" spans="1:17" ht="15">
      <c r="B140" s="2142">
        <v>5</v>
      </c>
      <c r="C140" s="2143">
        <v>100</v>
      </c>
      <c r="D140" s="2144"/>
      <c r="E140" s="2145"/>
      <c r="F140" s="2146">
        <v>102</v>
      </c>
      <c r="G140" s="2144"/>
      <c r="H140" s="2147"/>
      <c r="I140" s="2148" t="s">
        <v>2298</v>
      </c>
      <c r="J140" s="643">
        <f>ROUNDUP((J139-1)/2,0)</f>
        <v>10</v>
      </c>
      <c r="K140" s="2149">
        <v>100</v>
      </c>
    </row>
    <row r="141" spans="1:17" ht="15">
      <c r="B141" s="2142">
        <v>4</v>
      </c>
      <c r="C141" s="2143">
        <v>102</v>
      </c>
      <c r="D141" s="2144"/>
      <c r="E141" s="2145"/>
      <c r="F141" s="2146">
        <v>101.5</v>
      </c>
      <c r="G141" s="2144"/>
      <c r="H141" s="2147"/>
      <c r="I141" s="2148" t="s">
        <v>2299</v>
      </c>
      <c r="J141" s="643">
        <v>1</v>
      </c>
      <c r="K141" s="2150">
        <f>ROUND(100+(J141-J140)*K139*100,1)</f>
        <v>96.4</v>
      </c>
    </row>
    <row r="142" spans="1:17" ht="15">
      <c r="B142" s="2142">
        <v>3</v>
      </c>
      <c r="C142" s="2143">
        <v>103</v>
      </c>
      <c r="D142" s="2144"/>
      <c r="E142" s="2145"/>
      <c r="F142" s="2146">
        <v>101</v>
      </c>
      <c r="G142" s="2144"/>
      <c r="H142" s="2147"/>
      <c r="I142" s="2148" t="s">
        <v>2300</v>
      </c>
      <c r="J142" s="643">
        <f>J139</f>
        <v>20</v>
      </c>
      <c r="K142" s="2151">
        <v>95</v>
      </c>
    </row>
    <row r="143" spans="1:17" ht="15">
      <c r="B143" s="2142">
        <v>2</v>
      </c>
      <c r="C143" s="2143">
        <v>100</v>
      </c>
      <c r="D143" s="2144"/>
      <c r="E143" s="2145"/>
      <c r="F143" s="2146">
        <v>100.5</v>
      </c>
      <c r="G143" s="2144"/>
      <c r="H143" s="2147"/>
      <c r="I143" s="2148" t="s">
        <v>2301</v>
      </c>
      <c r="J143" s="2143">
        <v>15</v>
      </c>
      <c r="K143" s="2150">
        <f>ROUND(100+(J143-J140)*K139*100,1)</f>
        <v>102</v>
      </c>
    </row>
    <row r="144" spans="1:17" ht="15">
      <c r="B144" s="2142">
        <v>1</v>
      </c>
      <c r="C144" s="2143">
        <v>98</v>
      </c>
      <c r="D144" s="1150" t="s">
        <v>2302</v>
      </c>
      <c r="E144" s="2145">
        <v>102</v>
      </c>
      <c r="F144" s="2152">
        <v>100</v>
      </c>
      <c r="G144" s="1150" t="s">
        <v>2302</v>
      </c>
      <c r="H144" s="2147">
        <v>105</v>
      </c>
      <c r="I144" s="2148" t="s">
        <v>2301</v>
      </c>
      <c r="J144" s="2143">
        <v>18</v>
      </c>
      <c r="K144" s="2150">
        <f>ROUND(100+(J144-J140)*K139*100,1)</f>
        <v>103.2</v>
      </c>
    </row>
    <row r="145" spans="2:11" ht="15.75" thickBot="1">
      <c r="B145" s="2153" t="s">
        <v>2303</v>
      </c>
      <c r="C145" s="2154">
        <f>ROUND(MAX(C139:C144)/MIN(C139:C144)-1,3)</f>
        <v>7.2999999999999995E-2</v>
      </c>
      <c r="D145" s="2155"/>
      <c r="E145" s="2156"/>
      <c r="F145" s="2157" t="s">
        <v>2304</v>
      </c>
      <c r="G145" s="2158"/>
      <c r="H145" s="2159"/>
      <c r="I145" s="2160" t="s">
        <v>2305</v>
      </c>
      <c r="J145" s="2161">
        <v>8</v>
      </c>
      <c r="K145" s="2162">
        <f>ROUND(100+(J145-J140)*K139*100,1)</f>
        <v>99.2</v>
      </c>
    </row>
    <row r="147" spans="2:11">
      <c r="B147" s="2122" t="s">
        <v>2313</v>
      </c>
    </row>
    <row r="148" spans="2:11">
      <c r="B148" s="2122" t="s">
        <v>2314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135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95" customFormat="1" ht="28.5" customHeight="1" thickBot="1">
      <c r="A1" s="3081" t="s">
        <v>108</v>
      </c>
      <c r="B1" s="3082" t="s">
        <v>1</v>
      </c>
      <c r="C1" s="3083" t="s">
        <v>128</v>
      </c>
      <c r="D1" s="3084"/>
      <c r="E1" s="3087"/>
      <c r="F1" s="3086"/>
      <c r="G1" s="3088" t="s">
        <v>129</v>
      </c>
      <c r="H1" s="3089"/>
      <c r="I1" s="3089"/>
      <c r="J1" s="3089"/>
      <c r="K1" s="3090"/>
      <c r="L1" s="3091"/>
      <c r="M1" s="3083"/>
      <c r="N1" s="3083"/>
      <c r="O1" s="3083"/>
      <c r="P1" s="3096"/>
      <c r="Q1" s="3097"/>
      <c r="R1" s="3097"/>
      <c r="S1" s="3097"/>
      <c r="T1" s="3097"/>
      <c r="U1" s="3097"/>
      <c r="V1" s="3097"/>
      <c r="W1" s="3097"/>
      <c r="X1" s="3097"/>
      <c r="Y1" s="3097"/>
      <c r="Z1" s="3097"/>
      <c r="AA1" s="3097"/>
      <c r="AB1" s="3097"/>
      <c r="AC1" s="3098"/>
    </row>
    <row r="2" spans="1:29" s="90" customFormat="1" ht="28.5" customHeight="1" thickTop="1">
      <c r="A2" s="3077" t="s">
        <v>172</v>
      </c>
      <c r="B2" s="2825" t="e">
        <f ca="1">IF(C2="——",ROUND(C49*D3/10000,0),ROUND(C49*D3/10000,0)-D2)</f>
        <v>#DIV/0!</v>
      </c>
      <c r="C2" s="3078"/>
      <c r="D2" s="2705" t="e">
        <f ca="1">SUMIF(INDIRECT("'"&amp;F2&amp;"'"&amp;"!A:A"),"承租人权益价值",INDIRECT("'"&amp;F2&amp;"'"&amp;"!c:c"))</f>
        <v>#REF!</v>
      </c>
      <c r="E2" s="3079" t="s">
        <v>863</v>
      </c>
      <c r="F2" s="3080"/>
      <c r="G2" s="2299"/>
      <c r="H2" s="2299"/>
      <c r="I2" s="2299"/>
      <c r="J2" s="2299"/>
      <c r="K2" s="2299"/>
      <c r="L2" s="2300"/>
      <c r="M2" s="2301"/>
      <c r="N2" s="2301"/>
      <c r="O2" s="2301"/>
      <c r="P2" s="2303"/>
      <c r="Q2" s="2301"/>
      <c r="R2" s="2301"/>
      <c r="S2" s="2301"/>
      <c r="T2" s="2301"/>
      <c r="U2" s="2301"/>
      <c r="V2" s="2301"/>
      <c r="W2" s="2301"/>
      <c r="X2" s="2301"/>
      <c r="Y2" s="2301"/>
      <c r="Z2" s="2301"/>
      <c r="AA2" s="2301"/>
      <c r="AB2" s="2301"/>
      <c r="AC2" s="2304"/>
    </row>
    <row r="3" spans="1:29" s="90" customFormat="1" ht="28.5" customHeight="1" thickBot="1">
      <c r="A3" s="87" t="s">
        <v>173</v>
      </c>
      <c r="B3" s="944" t="e">
        <f ca="1">IF(C2="——",C49,ROUND(B2*10000/D3,0))</f>
        <v>#DIV/0!</v>
      </c>
      <c r="C3" s="140" t="s">
        <v>167</v>
      </c>
      <c r="D3" s="738">
        <f>IF(D1="",'数据-汇总表'!E3,SUMIF('数据-汇总表'!$C19:$C33,D1,'数据-汇总表'!$E19:$E33))</f>
        <v>43758.520000000004</v>
      </c>
      <c r="E3" s="2297"/>
      <c r="F3" s="2298"/>
      <c r="G3" s="2299"/>
      <c r="H3" s="2299"/>
      <c r="I3" s="2299"/>
      <c r="J3" s="2299"/>
      <c r="K3" s="2302"/>
      <c r="L3" s="2300"/>
      <c r="M3" s="2301"/>
      <c r="N3" s="2301"/>
      <c r="O3" s="2301"/>
      <c r="P3" s="2303"/>
      <c r="Q3" s="2301"/>
      <c r="R3" s="2301"/>
      <c r="S3" s="2301"/>
      <c r="T3" s="2301"/>
      <c r="U3" s="2301"/>
      <c r="V3" s="2301"/>
      <c r="W3" s="2301"/>
      <c r="X3" s="2301"/>
      <c r="Y3" s="2301"/>
      <c r="Z3" s="2301"/>
      <c r="AA3" s="2301"/>
      <c r="AB3" s="2301"/>
      <c r="AC3" s="2297"/>
    </row>
    <row r="4" spans="1:29">
      <c r="A4" s="141" t="s">
        <v>53</v>
      </c>
      <c r="B4" s="142"/>
      <c r="C4" s="3675" t="s">
        <v>54</v>
      </c>
      <c r="D4" s="3676"/>
      <c r="E4" s="3677" t="s">
        <v>55</v>
      </c>
      <c r="F4" s="3678"/>
      <c r="G4" s="3675" t="s">
        <v>56</v>
      </c>
      <c r="H4" s="3676"/>
      <c r="I4" s="3675" t="s">
        <v>57</v>
      </c>
      <c r="J4" s="3676"/>
      <c r="K4" s="185" t="s">
        <v>58</v>
      </c>
      <c r="L4" s="2276"/>
      <c r="M4" s="2277"/>
      <c r="N4" s="2277"/>
      <c r="O4" s="2277"/>
      <c r="P4" s="3679" t="s">
        <v>53</v>
      </c>
      <c r="Q4" s="3680"/>
      <c r="R4" s="3685" t="s">
        <v>55</v>
      </c>
      <c r="S4" s="3686"/>
      <c r="T4" s="3685" t="s">
        <v>56</v>
      </c>
      <c r="U4" s="3686"/>
      <c r="V4" s="3691" t="s">
        <v>57</v>
      </c>
      <c r="W4" s="3691"/>
      <c r="X4" s="1330"/>
      <c r="Y4" s="3685" t="s">
        <v>53</v>
      </c>
      <c r="Z4" s="3686"/>
      <c r="AA4" s="3672" t="s">
        <v>55</v>
      </c>
      <c r="AB4" s="3691" t="s">
        <v>56</v>
      </c>
      <c r="AC4" s="3672" t="s">
        <v>57</v>
      </c>
    </row>
    <row r="5" spans="1:29">
      <c r="A5" s="144"/>
      <c r="B5" s="145"/>
      <c r="C5" s="3624" t="s">
        <v>59</v>
      </c>
      <c r="D5" s="3625"/>
      <c r="E5" s="3705" t="s">
        <v>60</v>
      </c>
      <c r="F5" s="3706"/>
      <c r="G5" s="3624" t="s">
        <v>61</v>
      </c>
      <c r="H5" s="3625"/>
      <c r="I5" s="3624" t="s">
        <v>62</v>
      </c>
      <c r="J5" s="3625"/>
      <c r="K5" s="185"/>
      <c r="L5" s="2276"/>
      <c r="M5" s="2277"/>
      <c r="N5" s="2277"/>
      <c r="O5" s="2277"/>
      <c r="P5" s="3681"/>
      <c r="Q5" s="3682"/>
      <c r="R5" s="3687"/>
      <c r="S5" s="3688"/>
      <c r="T5" s="3687"/>
      <c r="U5" s="3688"/>
      <c r="V5" s="3691"/>
      <c r="W5" s="3691"/>
      <c r="X5" s="1330"/>
      <c r="Y5" s="3687"/>
      <c r="Z5" s="3688"/>
      <c r="AA5" s="3673"/>
      <c r="AB5" s="3691"/>
      <c r="AC5" s="3673"/>
    </row>
    <row r="6" spans="1:29" ht="14.25" thickBot="1">
      <c r="A6" s="146"/>
      <c r="B6" s="147"/>
      <c r="C6" s="3626" t="s">
        <v>63</v>
      </c>
      <c r="D6" s="3627"/>
      <c r="E6" s="3703" t="s">
        <v>63</v>
      </c>
      <c r="F6" s="3704"/>
      <c r="G6" s="3626" t="s">
        <v>63</v>
      </c>
      <c r="H6" s="3627"/>
      <c r="I6" s="3626" t="s">
        <v>63</v>
      </c>
      <c r="J6" s="3627"/>
      <c r="K6" s="185" t="s">
        <v>117</v>
      </c>
      <c r="L6" s="2276"/>
      <c r="M6" s="2277"/>
      <c r="N6" s="2277"/>
      <c r="O6" s="2277"/>
      <c r="P6" s="3683"/>
      <c r="Q6" s="3684"/>
      <c r="R6" s="3687"/>
      <c r="S6" s="3688"/>
      <c r="T6" s="3689"/>
      <c r="U6" s="3690"/>
      <c r="V6" s="3691"/>
      <c r="W6" s="3691"/>
      <c r="X6" s="1330"/>
      <c r="Y6" s="3689"/>
      <c r="Z6" s="3690"/>
      <c r="AA6" s="3674"/>
      <c r="AB6" s="3691"/>
      <c r="AC6" s="3674"/>
    </row>
    <row r="7" spans="1:29" s="40" customFormat="1" ht="15" thickBot="1">
      <c r="A7" s="1006" t="s">
        <v>64</v>
      </c>
      <c r="B7" s="1007"/>
      <c r="C7" s="1008">
        <f>'数据-取费表'!B2</f>
        <v>43006</v>
      </c>
      <c r="D7" s="750">
        <v>100</v>
      </c>
      <c r="E7" s="1009"/>
      <c r="F7" s="752">
        <f>SUMIF(58:58,YEAR(E7)&amp;"-"&amp;MONTH(E7),59:59)</f>
        <v>0</v>
      </c>
      <c r="G7" s="1009"/>
      <c r="H7" s="750">
        <f>SUMIF(58:58,YEAR(G7)&amp;"-"&amp;MONTH(G7),59:59)</f>
        <v>0</v>
      </c>
      <c r="I7" s="1009"/>
      <c r="J7" s="750">
        <f>SUMIF(58:58,YEAR(I7)&amp;"-"&amp;MONTH(I7),59:59)</f>
        <v>0</v>
      </c>
      <c r="K7" s="1011"/>
      <c r="L7" s="2278"/>
      <c r="M7" s="2240"/>
      <c r="N7" s="2240"/>
      <c r="O7" s="2240"/>
      <c r="P7" s="3694" t="s">
        <v>64</v>
      </c>
      <c r="Q7" s="3696"/>
      <c r="R7" s="1332" t="s">
        <v>65</v>
      </c>
      <c r="S7" s="1333">
        <f t="shared" ref="S7:S15" si="0">F7</f>
        <v>0</v>
      </c>
      <c r="T7" s="1332" t="s">
        <v>65</v>
      </c>
      <c r="U7" s="1333">
        <f t="shared" ref="U7:U15" si="1">H7</f>
        <v>0</v>
      </c>
      <c r="V7" s="1332" t="s">
        <v>65</v>
      </c>
      <c r="W7" s="1333">
        <f t="shared" ref="W7:W15" si="2">J7</f>
        <v>0</v>
      </c>
      <c r="X7" s="285"/>
      <c r="Y7" s="3694" t="s">
        <v>64</v>
      </c>
      <c r="Z7" s="3695"/>
      <c r="AA7" s="1334" t="e">
        <f>D7/F7</f>
        <v>#DIV/0!</v>
      </c>
      <c r="AB7" s="1334" t="e">
        <f>D7/H7</f>
        <v>#DIV/0!</v>
      </c>
      <c r="AC7" s="1334" t="e">
        <f>D7/J7</f>
        <v>#DIV/0!</v>
      </c>
    </row>
    <row r="8" spans="1:29" s="40" customFormat="1" ht="15" thickBot="1">
      <c r="A8" s="1006" t="s">
        <v>66</v>
      </c>
      <c r="B8" s="1007"/>
      <c r="C8" s="1012" t="s">
        <v>116</v>
      </c>
      <c r="D8" s="750">
        <v>100</v>
      </c>
      <c r="E8" s="1012"/>
      <c r="F8" s="752">
        <f>SUMIF(61:61,E8,62:62)-SUMIF(61:61,C8,62:62)+100</f>
        <v>0</v>
      </c>
      <c r="G8" s="1012"/>
      <c r="H8" s="750">
        <f>SUMIF(61:61,G8,62:62)-SUMIF(61:61,C8,62:62)+100</f>
        <v>0</v>
      </c>
      <c r="I8" s="1012"/>
      <c r="J8" s="750">
        <f>SUMIF(61:61,I8,62:62)-SUMIF(61:61,C8,62:62)+100</f>
        <v>0</v>
      </c>
      <c r="K8" s="1011"/>
      <c r="L8" s="2278"/>
      <c r="M8" s="2240"/>
      <c r="N8" s="2240"/>
      <c r="O8" s="2240"/>
      <c r="P8" s="3694" t="s">
        <v>1011</v>
      </c>
      <c r="Q8" s="3695"/>
      <c r="R8" s="1332" t="s">
        <v>65</v>
      </c>
      <c r="S8" s="1333">
        <f t="shared" si="0"/>
        <v>0</v>
      </c>
      <c r="T8" s="1332" t="s">
        <v>65</v>
      </c>
      <c r="U8" s="1333">
        <f t="shared" si="1"/>
        <v>0</v>
      </c>
      <c r="V8" s="1332" t="s">
        <v>65</v>
      </c>
      <c r="W8" s="1333">
        <f t="shared" si="2"/>
        <v>0</v>
      </c>
      <c r="X8" s="285"/>
      <c r="Y8" s="3694" t="s">
        <v>1011</v>
      </c>
      <c r="Z8" s="3695"/>
      <c r="AA8" s="1334" t="e">
        <f t="shared" ref="AA8:AA46" si="3">D8/F8</f>
        <v>#DIV/0!</v>
      </c>
      <c r="AB8" s="1334" t="e">
        <f t="shared" ref="AB8:AB46" si="4">D8/H8</f>
        <v>#DIV/0!</v>
      </c>
      <c r="AC8" s="1334" t="e">
        <f t="shared" ref="AC8:AC46" si="5">D8/J8</f>
        <v>#DIV/0!</v>
      </c>
    </row>
    <row r="9" spans="1:29" s="40" customFormat="1" ht="14.25">
      <c r="A9" s="1013" t="s">
        <v>1012</v>
      </c>
      <c r="B9" s="62" t="s">
        <v>1013</v>
      </c>
      <c r="C9" s="1335"/>
      <c r="D9" s="421">
        <v>100</v>
      </c>
      <c r="E9" s="1336"/>
      <c r="F9" s="755">
        <f>SUMIF(63:63,E9,64:64)-SUMIF(63:63,C9,64:64)+100</f>
        <v>100</v>
      </c>
      <c r="G9" s="1336"/>
      <c r="H9" s="421">
        <f>SUMIF(63:63,G9,64:64)-SUMIF(63:63,C9,64:64)+100</f>
        <v>100</v>
      </c>
      <c r="I9" s="1336"/>
      <c r="J9" s="421">
        <f>SUMIF(63:63,I9,64:64)-SUMIF(63:63,C9,64:64)+100</f>
        <v>100</v>
      </c>
      <c r="K9" s="1011"/>
      <c r="L9" s="2278"/>
      <c r="M9" s="2240"/>
      <c r="N9" s="2240"/>
      <c r="O9" s="2240"/>
      <c r="P9" s="3671" t="s">
        <v>67</v>
      </c>
      <c r="Q9" s="7" t="str">
        <f t="shared" ref="Q9:Q15" si="6">B9</f>
        <v>用途</v>
      </c>
      <c r="R9" s="1332" t="s">
        <v>65</v>
      </c>
      <c r="S9" s="1333">
        <f t="shared" si="0"/>
        <v>100</v>
      </c>
      <c r="T9" s="1332" t="s">
        <v>65</v>
      </c>
      <c r="U9" s="1333">
        <f t="shared" si="1"/>
        <v>100</v>
      </c>
      <c r="V9" s="1332" t="s">
        <v>65</v>
      </c>
      <c r="W9" s="1333">
        <f t="shared" si="2"/>
        <v>100</v>
      </c>
      <c r="X9" s="285"/>
      <c r="Y9" s="3429" t="s">
        <v>67</v>
      </c>
      <c r="Z9" s="286" t="str">
        <f t="shared" ref="Z9:Z15" si="7">Q9</f>
        <v>用途</v>
      </c>
      <c r="AA9" s="1334">
        <f t="shared" si="3"/>
        <v>1</v>
      </c>
      <c r="AB9" s="1334">
        <f t="shared" si="4"/>
        <v>1</v>
      </c>
      <c r="AC9" s="1334">
        <f t="shared" si="5"/>
        <v>1</v>
      </c>
    </row>
    <row r="10" spans="1:29" s="92" customFormat="1" ht="27">
      <c r="A10" s="148"/>
      <c r="B10" s="12" t="s">
        <v>106</v>
      </c>
      <c r="C10" s="1338"/>
      <c r="D10" s="422">
        <v>100</v>
      </c>
      <c r="E10" s="1339"/>
      <c r="F10" s="761">
        <f>SUMIF(65:65,E10,66:66)-SUMIF(65:65,C10,66:66)+100</f>
        <v>100</v>
      </c>
      <c r="G10" s="1338"/>
      <c r="H10" s="422">
        <f>SUMIF(65:65,G10,66:66)-SUMIF(65:65,C10,66:66)+100</f>
        <v>100</v>
      </c>
      <c r="I10" s="1338"/>
      <c r="J10" s="422">
        <f>SUMIF(65:65,I10,66:66)-SUMIF(65:65,C10,66:66)+100</f>
        <v>100</v>
      </c>
      <c r="K10" s="947"/>
      <c r="L10" s="2279"/>
      <c r="M10" s="2280"/>
      <c r="N10" s="2280"/>
      <c r="O10" s="2280"/>
      <c r="P10" s="3671"/>
      <c r="Q10" s="7" t="str">
        <f t="shared" si="6"/>
        <v>土地使用年限（年）</v>
      </c>
      <c r="R10" s="1332" t="s">
        <v>65</v>
      </c>
      <c r="S10" s="1333">
        <f t="shared" si="0"/>
        <v>100</v>
      </c>
      <c r="T10" s="1332" t="s">
        <v>65</v>
      </c>
      <c r="U10" s="1333">
        <f t="shared" si="1"/>
        <v>100</v>
      </c>
      <c r="V10" s="1332" t="s">
        <v>65</v>
      </c>
      <c r="W10" s="1333">
        <f t="shared" si="2"/>
        <v>100</v>
      </c>
      <c r="X10" s="285"/>
      <c r="Y10" s="3429"/>
      <c r="Z10" s="286" t="str">
        <f t="shared" si="7"/>
        <v>土地使用年限（年）</v>
      </c>
      <c r="AA10" s="1334">
        <f t="shared" si="3"/>
        <v>1</v>
      </c>
      <c r="AB10" s="1334">
        <f t="shared" si="4"/>
        <v>1</v>
      </c>
      <c r="AC10" s="1334">
        <f t="shared" si="5"/>
        <v>1</v>
      </c>
    </row>
    <row r="11" spans="1:29" ht="15">
      <c r="A11" s="149"/>
      <c r="B11" s="12" t="s">
        <v>93</v>
      </c>
      <c r="C11" s="765"/>
      <c r="D11" s="422">
        <v>100</v>
      </c>
      <c r="E11" s="766"/>
      <c r="F11" s="761" t="e">
        <f>LOOKUP(E11,68:68,69:69)-LOOKUP(C11,68:68,69:69)+100</f>
        <v>#N/A</v>
      </c>
      <c r="G11" s="765"/>
      <c r="H11" s="422" t="e">
        <f>LOOKUP(G11,68:68,69:69)-LOOKUP(C11,68:68,69:69)+100</f>
        <v>#N/A</v>
      </c>
      <c r="I11" s="765"/>
      <c r="J11" s="422" t="e">
        <f>LOOKUP(I11,68:68,69:69)-LOOKUP(C11,68:68,69:69)+100</f>
        <v>#N/A</v>
      </c>
      <c r="K11" s="947"/>
      <c r="L11" s="2281"/>
      <c r="M11" s="2277"/>
      <c r="N11" s="2277"/>
      <c r="O11" s="2277"/>
      <c r="P11" s="3671"/>
      <c r="Q11" s="7" t="str">
        <f t="shared" si="6"/>
        <v>容积率</v>
      </c>
      <c r="R11" s="1332" t="s">
        <v>65</v>
      </c>
      <c r="S11" s="1333" t="e">
        <f t="shared" si="0"/>
        <v>#N/A</v>
      </c>
      <c r="T11" s="1332" t="s">
        <v>65</v>
      </c>
      <c r="U11" s="1333" t="e">
        <f t="shared" si="1"/>
        <v>#N/A</v>
      </c>
      <c r="V11" s="1332" t="s">
        <v>65</v>
      </c>
      <c r="W11" s="1333" t="e">
        <f t="shared" si="2"/>
        <v>#N/A</v>
      </c>
      <c r="X11" s="285"/>
      <c r="Y11" s="3429"/>
      <c r="Z11" s="286" t="str">
        <f t="shared" si="7"/>
        <v>容积率</v>
      </c>
      <c r="AA11" s="1334" t="e">
        <f t="shared" si="3"/>
        <v>#N/A</v>
      </c>
      <c r="AB11" s="1334" t="e">
        <f t="shared" si="4"/>
        <v>#N/A</v>
      </c>
      <c r="AC11" s="1334" t="e">
        <f t="shared" si="5"/>
        <v>#N/A</v>
      </c>
    </row>
    <row r="12" spans="1:29" s="40" customFormat="1" ht="14.25">
      <c r="A12" s="1020"/>
      <c r="B12" s="1021">
        <v>111</v>
      </c>
      <c r="C12" s="1016"/>
      <c r="D12" s="769">
        <v>100</v>
      </c>
      <c r="E12" s="93"/>
      <c r="F12" s="761">
        <f>SUMIF(70:70,E12,71:71)-SUMIF(70:70,C12,71:71)+100</f>
        <v>100</v>
      </c>
      <c r="G12" s="93"/>
      <c r="H12" s="422">
        <f>SUMIF(70:70,G12,71:71)-SUMIF(70:70,C12,71:71)+100</f>
        <v>100</v>
      </c>
      <c r="I12" s="93"/>
      <c r="J12" s="422">
        <f>SUMIF(70:70,I12,71:71)-SUMIF(70:70,C12,71:71)+100</f>
        <v>100</v>
      </c>
      <c r="K12" s="186"/>
      <c r="L12" s="2278"/>
      <c r="M12" s="2240"/>
      <c r="N12" s="2240"/>
      <c r="O12" s="2240"/>
      <c r="P12" s="3671"/>
      <c r="Q12" s="7">
        <f t="shared" si="6"/>
        <v>111</v>
      </c>
      <c r="R12" s="1332" t="s">
        <v>65</v>
      </c>
      <c r="S12" s="1333">
        <f t="shared" si="0"/>
        <v>100</v>
      </c>
      <c r="T12" s="1332" t="s">
        <v>65</v>
      </c>
      <c r="U12" s="1333">
        <f t="shared" si="1"/>
        <v>100</v>
      </c>
      <c r="V12" s="1332" t="s">
        <v>65</v>
      </c>
      <c r="W12" s="1333">
        <f t="shared" si="2"/>
        <v>100</v>
      </c>
      <c r="X12" s="285"/>
      <c r="Y12" s="3429"/>
      <c r="Z12" s="286">
        <f t="shared" si="7"/>
        <v>111</v>
      </c>
      <c r="AA12" s="1334">
        <f>D12/F12</f>
        <v>1</v>
      </c>
      <c r="AB12" s="1334">
        <f>D12/H12</f>
        <v>1</v>
      </c>
      <c r="AC12" s="1334">
        <f>D12/J12</f>
        <v>1</v>
      </c>
    </row>
    <row r="13" spans="1:29" ht="14.25">
      <c r="A13" s="149"/>
      <c r="B13" s="1021">
        <v>111</v>
      </c>
      <c r="C13" s="93"/>
      <c r="D13" s="771">
        <v>100</v>
      </c>
      <c r="E13" s="93"/>
      <c r="F13" s="761">
        <f>SUMIF(72:72,E13,73:73)-SUMIF(72:72,C13,73:73)+100</f>
        <v>100</v>
      </c>
      <c r="G13" s="93"/>
      <c r="H13" s="771">
        <f>SUMIF(72:72,G13,73:73)-SUMIF(72:72,C13,73:73)+100</f>
        <v>100</v>
      </c>
      <c r="I13" s="93"/>
      <c r="J13" s="771">
        <f>SUMIF(72:72,I13,73:73)-SUMIF(72:72,C13,73:73)+100</f>
        <v>100</v>
      </c>
      <c r="K13" s="186"/>
      <c r="L13" s="2282"/>
      <c r="M13" s="2277"/>
      <c r="N13" s="2277"/>
      <c r="O13" s="2277"/>
      <c r="P13" s="3671"/>
      <c r="Q13" s="7">
        <f t="shared" si="6"/>
        <v>111</v>
      </c>
      <c r="R13" s="1332" t="s">
        <v>65</v>
      </c>
      <c r="S13" s="1333">
        <f t="shared" si="0"/>
        <v>100</v>
      </c>
      <c r="T13" s="1332" t="s">
        <v>65</v>
      </c>
      <c r="U13" s="1333">
        <f t="shared" si="1"/>
        <v>100</v>
      </c>
      <c r="V13" s="1332" t="s">
        <v>65</v>
      </c>
      <c r="W13" s="1333">
        <f t="shared" si="2"/>
        <v>100</v>
      </c>
      <c r="X13" s="285"/>
      <c r="Y13" s="3429"/>
      <c r="Z13" s="286">
        <f t="shared" si="7"/>
        <v>111</v>
      </c>
      <c r="AA13" s="1334">
        <f t="shared" si="3"/>
        <v>1</v>
      </c>
      <c r="AB13" s="1334">
        <f t="shared" si="4"/>
        <v>1</v>
      </c>
      <c r="AC13" s="1334">
        <f t="shared" si="5"/>
        <v>1</v>
      </c>
    </row>
    <row r="14" spans="1:29" ht="15" thickBot="1">
      <c r="A14" s="152"/>
      <c r="B14" s="1022">
        <v>111</v>
      </c>
      <c r="C14" s="94"/>
      <c r="D14" s="774">
        <v>100</v>
      </c>
      <c r="E14" s="93"/>
      <c r="F14" s="775">
        <f>SUMIF(74:74,E14,75:75)-SUMIF(74:74,C14,75:75)+100</f>
        <v>100</v>
      </c>
      <c r="G14" s="93"/>
      <c r="H14" s="774">
        <f>SUMIF(74:74,G14,75:75)-SUMIF(74:74,C14,75:75)+100</f>
        <v>100</v>
      </c>
      <c r="I14" s="93"/>
      <c r="J14" s="774">
        <f>SUMIF(74:74,I14,75:75)-SUMIF(74:74,C14,75:75)+100</f>
        <v>100</v>
      </c>
      <c r="K14" s="186"/>
      <c r="L14" s="2282"/>
      <c r="M14" s="2277"/>
      <c r="N14" s="2277"/>
      <c r="O14" s="2277"/>
      <c r="P14" s="3671"/>
      <c r="Q14" s="7">
        <f t="shared" si="6"/>
        <v>111</v>
      </c>
      <c r="R14" s="1332" t="s">
        <v>65</v>
      </c>
      <c r="S14" s="1333">
        <f t="shared" si="0"/>
        <v>100</v>
      </c>
      <c r="T14" s="1332" t="s">
        <v>65</v>
      </c>
      <c r="U14" s="1333">
        <f t="shared" si="1"/>
        <v>100</v>
      </c>
      <c r="V14" s="1332" t="s">
        <v>65</v>
      </c>
      <c r="W14" s="1333">
        <f t="shared" si="2"/>
        <v>100</v>
      </c>
      <c r="X14" s="285"/>
      <c r="Y14" s="3429"/>
      <c r="Z14" s="286">
        <f t="shared" si="7"/>
        <v>111</v>
      </c>
      <c r="AA14" s="1334">
        <f t="shared" si="3"/>
        <v>1</v>
      </c>
      <c r="AB14" s="1334">
        <f t="shared" si="4"/>
        <v>1</v>
      </c>
      <c r="AC14" s="1334">
        <f t="shared" si="5"/>
        <v>1</v>
      </c>
    </row>
    <row r="15" spans="1:29" ht="108">
      <c r="A15" s="153" t="s">
        <v>69</v>
      </c>
      <c r="B15" s="58" t="s">
        <v>130</v>
      </c>
      <c r="C15" s="155" t="str">
        <f>估价对象房地状况!C4</f>
        <v>估价对象周边2公里有帝园商城、星城商厦等商业项目，估价对象周边多为住宅配套商业，人流量一般，商业繁华度一般</v>
      </c>
      <c r="D15" s="777">
        <v>100</v>
      </c>
      <c r="E15" s="95"/>
      <c r="F15" s="779">
        <f>SUMIF(76:76,E16,77:77)-SUMIF(76:76,C16,77:77)+100</f>
        <v>100</v>
      </c>
      <c r="G15" s="96"/>
      <c r="H15" s="777">
        <f>SUMIF(76:76,G16,77:77)-SUMIF(76:76,C16,77:77)+100</f>
        <v>100</v>
      </c>
      <c r="I15" s="95"/>
      <c r="J15" s="777">
        <f>SUMIF(76:76,I16,77:77)-SUMIF(76:76,C16,77:77)+100</f>
        <v>100</v>
      </c>
      <c r="K15" s="949"/>
      <c r="L15" s="2282"/>
      <c r="M15" s="2277"/>
      <c r="N15" s="2277"/>
      <c r="O15" s="2277"/>
      <c r="P15" s="3669" t="s">
        <v>69</v>
      </c>
      <c r="Q15" s="1340" t="str">
        <f t="shared" si="6"/>
        <v>商业繁华度</v>
      </c>
      <c r="R15" s="1341" t="s">
        <v>65</v>
      </c>
      <c r="S15" s="1342">
        <f t="shared" si="0"/>
        <v>100</v>
      </c>
      <c r="T15" s="1341" t="s">
        <v>65</v>
      </c>
      <c r="U15" s="1342">
        <f t="shared" si="1"/>
        <v>100</v>
      </c>
      <c r="V15" s="1341" t="s">
        <v>65</v>
      </c>
      <c r="W15" s="1342">
        <f t="shared" si="2"/>
        <v>100</v>
      </c>
      <c r="X15" s="1330"/>
      <c r="Y15" s="3662" t="s">
        <v>69</v>
      </c>
      <c r="Z15" s="1343" t="str">
        <f t="shared" si="7"/>
        <v>商业繁华度</v>
      </c>
      <c r="AA15" s="1344">
        <f t="shared" si="3"/>
        <v>1</v>
      </c>
      <c r="AB15" s="1344">
        <f t="shared" si="4"/>
        <v>1</v>
      </c>
      <c r="AC15" s="1344">
        <f t="shared" si="5"/>
        <v>1</v>
      </c>
    </row>
    <row r="16" spans="1:29" ht="14.25">
      <c r="A16" s="149"/>
      <c r="B16" s="154"/>
      <c r="C16" s="97"/>
      <c r="D16" s="784"/>
      <c r="E16" s="97"/>
      <c r="F16" s="785"/>
      <c r="G16" s="97"/>
      <c r="H16" s="786"/>
      <c r="I16" s="97"/>
      <c r="J16" s="784"/>
      <c r="K16" s="187"/>
      <c r="L16" s="2282"/>
      <c r="M16" s="2277"/>
      <c r="N16" s="2277"/>
      <c r="O16" s="2277"/>
      <c r="P16" s="3670"/>
      <c r="Q16" s="1340"/>
      <c r="R16" s="1341"/>
      <c r="S16" s="1342"/>
      <c r="T16" s="1341"/>
      <c r="U16" s="1342"/>
      <c r="V16" s="1341"/>
      <c r="W16" s="1342"/>
      <c r="X16" s="1330"/>
      <c r="Y16" s="3663"/>
      <c r="Z16" s="1343"/>
      <c r="AA16" s="1344">
        <v>1</v>
      </c>
      <c r="AB16" s="1344">
        <v>1</v>
      </c>
      <c r="AC16" s="1344">
        <v>1</v>
      </c>
    </row>
    <row r="17" spans="1:29" ht="67.5">
      <c r="A17" s="149"/>
      <c r="B17" s="1345" t="s">
        <v>72</v>
      </c>
      <c r="C17" s="156" t="str">
        <f>估价对象房地状况!C6</f>
        <v>估价对象周边有849、兴23路等公交线路，综合评价交通便捷度一般</v>
      </c>
      <c r="D17" s="786">
        <v>100</v>
      </c>
      <c r="E17" s="100"/>
      <c r="F17" s="789">
        <f>SUMIF(78:78,E18,79:79)-SUMIF(78:78,C18,79:79)+100</f>
        <v>100</v>
      </c>
      <c r="G17" s="101"/>
      <c r="H17" s="791">
        <f>SUMIF(78:78,G18,79:79)-SUMIF(78:78,C18,79:79)+100</f>
        <v>100</v>
      </c>
      <c r="I17" s="100"/>
      <c r="J17" s="791">
        <f>SUMIF(78:78,I18,79:79)-SUMIF(78:78,C18,79:79)+100</f>
        <v>100</v>
      </c>
      <c r="K17" s="949"/>
      <c r="L17" s="2282"/>
      <c r="M17" s="2277"/>
      <c r="N17" s="2277"/>
      <c r="O17" s="2277"/>
      <c r="P17" s="3670"/>
      <c r="Q17" s="1340" t="str">
        <f>B17</f>
        <v>交通便捷度</v>
      </c>
      <c r="R17" s="1341" t="s">
        <v>65</v>
      </c>
      <c r="S17" s="1342">
        <f>F17</f>
        <v>100</v>
      </c>
      <c r="T17" s="1341" t="s">
        <v>65</v>
      </c>
      <c r="U17" s="1342">
        <f>H17</f>
        <v>100</v>
      </c>
      <c r="V17" s="1341" t="s">
        <v>65</v>
      </c>
      <c r="W17" s="1342">
        <f>J17</f>
        <v>100</v>
      </c>
      <c r="X17" s="1330"/>
      <c r="Y17" s="3663"/>
      <c r="Z17" s="1343" t="str">
        <f>Q17</f>
        <v>交通便捷度</v>
      </c>
      <c r="AA17" s="1344">
        <f t="shared" si="3"/>
        <v>1</v>
      </c>
      <c r="AB17" s="1344">
        <f t="shared" si="4"/>
        <v>1</v>
      </c>
      <c r="AC17" s="1344">
        <f t="shared" si="5"/>
        <v>1</v>
      </c>
    </row>
    <row r="18" spans="1:29" ht="14.25">
      <c r="A18" s="149"/>
      <c r="B18" s="1030"/>
      <c r="C18" s="102"/>
      <c r="D18" s="786"/>
      <c r="E18" s="103"/>
      <c r="F18" s="789"/>
      <c r="G18" s="104"/>
      <c r="H18" s="784"/>
      <c r="I18" s="103"/>
      <c r="J18" s="784"/>
      <c r="K18" s="187"/>
      <c r="L18" s="2282"/>
      <c r="M18" s="2277"/>
      <c r="N18" s="2277"/>
      <c r="O18" s="2277"/>
      <c r="P18" s="3670"/>
      <c r="Q18" s="1340"/>
      <c r="R18" s="1341"/>
      <c r="S18" s="1342"/>
      <c r="T18" s="1341"/>
      <c r="U18" s="1342"/>
      <c r="V18" s="1341"/>
      <c r="W18" s="1342"/>
      <c r="X18" s="1330"/>
      <c r="Y18" s="3663"/>
      <c r="Z18" s="1343"/>
      <c r="AA18" s="1344">
        <v>1</v>
      </c>
      <c r="AB18" s="1344">
        <v>1</v>
      </c>
      <c r="AC18" s="1344">
        <v>1</v>
      </c>
    </row>
    <row r="19" spans="1:29" ht="40.5">
      <c r="A19" s="149"/>
      <c r="B19" s="1345" t="s">
        <v>2644</v>
      </c>
      <c r="C19" s="156" t="str">
        <f>估价对象房地状况!C7</f>
        <v>估价对象所在区域公共配套设施齐备较齐备</v>
      </c>
      <c r="D19" s="791">
        <v>100</v>
      </c>
      <c r="E19" s="105"/>
      <c r="F19" s="794">
        <f>SUMIF(80:80,E20,81:81)-SUMIF(80:80,C20,81:81)+100</f>
        <v>100</v>
      </c>
      <c r="G19" s="106"/>
      <c r="H19" s="786">
        <f>SUMIF(80:80,G20,81:81)-SUMIF(80:80,C20,81:81)+100</f>
        <v>100</v>
      </c>
      <c r="I19" s="105"/>
      <c r="J19" s="786">
        <f>SUMIF(80:80,I20,81:81)-SUMIF(80:80,C20,81:81)+100</f>
        <v>100</v>
      </c>
      <c r="K19" s="949"/>
      <c r="L19" s="2282"/>
      <c r="M19" s="2277"/>
      <c r="N19" s="2277"/>
      <c r="O19" s="2277"/>
      <c r="P19" s="3670"/>
      <c r="Q19" s="1340" t="str">
        <f>B19</f>
        <v>公共配套设施</v>
      </c>
      <c r="R19" s="1341" t="s">
        <v>65</v>
      </c>
      <c r="S19" s="1342">
        <f>F19</f>
        <v>100</v>
      </c>
      <c r="T19" s="1341" t="s">
        <v>65</v>
      </c>
      <c r="U19" s="1342">
        <f>H19</f>
        <v>100</v>
      </c>
      <c r="V19" s="1341" t="s">
        <v>65</v>
      </c>
      <c r="W19" s="1342">
        <f>J19</f>
        <v>100</v>
      </c>
      <c r="X19" s="1330"/>
      <c r="Y19" s="3663"/>
      <c r="Z19" s="1343" t="str">
        <f>Q19</f>
        <v>公共配套设施</v>
      </c>
      <c r="AA19" s="1344">
        <f t="shared" si="3"/>
        <v>1</v>
      </c>
      <c r="AB19" s="1344">
        <f t="shared" si="4"/>
        <v>1</v>
      </c>
      <c r="AC19" s="1344">
        <f t="shared" si="5"/>
        <v>1</v>
      </c>
    </row>
    <row r="20" spans="1:29" ht="14.25">
      <c r="A20" s="149"/>
      <c r="B20" s="1030"/>
      <c r="C20" s="97"/>
      <c r="D20" s="784"/>
      <c r="E20" s="98"/>
      <c r="F20" s="785"/>
      <c r="G20" s="99"/>
      <c r="H20" s="784"/>
      <c r="I20" s="98"/>
      <c r="J20" s="784"/>
      <c r="K20" s="187"/>
      <c r="L20" s="2282"/>
      <c r="M20" s="2277"/>
      <c r="N20" s="2277"/>
      <c r="O20" s="2277"/>
      <c r="P20" s="3670"/>
      <c r="Q20" s="1340"/>
      <c r="R20" s="1341"/>
      <c r="S20" s="1342"/>
      <c r="T20" s="1341"/>
      <c r="U20" s="1342"/>
      <c r="V20" s="1341"/>
      <c r="W20" s="1342"/>
      <c r="X20" s="1330"/>
      <c r="Y20" s="3663"/>
      <c r="Z20" s="1343"/>
      <c r="AA20" s="1344">
        <v>1</v>
      </c>
      <c r="AB20" s="1344">
        <v>1</v>
      </c>
      <c r="AC20" s="1344">
        <v>1</v>
      </c>
    </row>
    <row r="21" spans="1:29" ht="27">
      <c r="A21" s="149"/>
      <c r="B21" s="1401" t="s">
        <v>2645</v>
      </c>
      <c r="C21" s="156" t="str">
        <f>估价对象房地状况!C8</f>
        <v>区域基础设施水平达七通</v>
      </c>
      <c r="D21" s="791">
        <v>100</v>
      </c>
      <c r="E21" s="105"/>
      <c r="F21" s="794">
        <f>SUMIF(82:82,E22,83:83)-SUMIF(82:82,C22,83:83)+100</f>
        <v>100</v>
      </c>
      <c r="G21" s="106"/>
      <c r="H21" s="786">
        <f>SUMIF(82:82,G22,83:83)-SUMIF(82:82,C22,83:83)+100</f>
        <v>100</v>
      </c>
      <c r="I21" s="105"/>
      <c r="J21" s="786">
        <f>SUMIF(82:82,I22,83:83)-SUMIF(82:82,C22,83:83)+100</f>
        <v>100</v>
      </c>
      <c r="K21" s="949"/>
      <c r="L21" s="2282"/>
      <c r="M21" s="2277"/>
      <c r="N21" s="2277"/>
      <c r="O21" s="2277"/>
      <c r="P21" s="3670"/>
      <c r="Q21" s="2727" t="str">
        <f>B21</f>
        <v>基础设施水平</v>
      </c>
      <c r="R21" s="1341" t="s">
        <v>65</v>
      </c>
      <c r="S21" s="1342">
        <f>F21</f>
        <v>100</v>
      </c>
      <c r="T21" s="1341" t="s">
        <v>65</v>
      </c>
      <c r="U21" s="1342">
        <f>H21</f>
        <v>100</v>
      </c>
      <c r="V21" s="1341" t="s">
        <v>65</v>
      </c>
      <c r="W21" s="1342">
        <f>J21</f>
        <v>100</v>
      </c>
      <c r="X21" s="2729"/>
      <c r="Y21" s="3663"/>
      <c r="Z21" s="2728" t="str">
        <f>Q21</f>
        <v>基础设施水平</v>
      </c>
      <c r="AA21" s="1344">
        <f t="shared" ref="AA21" si="8">D21/F21</f>
        <v>1</v>
      </c>
      <c r="AB21" s="1344">
        <f t="shared" ref="AB21" si="9">D21/H21</f>
        <v>1</v>
      </c>
      <c r="AC21" s="1344">
        <f t="shared" ref="AC21" si="10">D21/J21</f>
        <v>1</v>
      </c>
    </row>
    <row r="22" spans="1:29" ht="14.25">
      <c r="A22" s="149"/>
      <c r="B22" s="1401"/>
      <c r="C22" s="102"/>
      <c r="D22" s="784"/>
      <c r="E22" s="97"/>
      <c r="F22" s="785"/>
      <c r="G22" s="97"/>
      <c r="H22" s="784"/>
      <c r="I22" s="97"/>
      <c r="J22" s="784"/>
      <c r="K22" s="2747"/>
      <c r="L22" s="2282"/>
      <c r="M22" s="2277"/>
      <c r="N22" s="2277"/>
      <c r="O22" s="2277"/>
      <c r="P22" s="3670"/>
      <c r="Q22" s="2727"/>
      <c r="R22" s="1341"/>
      <c r="S22" s="1342"/>
      <c r="T22" s="1341"/>
      <c r="U22" s="1342"/>
      <c r="V22" s="1341"/>
      <c r="W22" s="1342"/>
      <c r="X22" s="2729"/>
      <c r="Y22" s="3663"/>
      <c r="Z22" s="2728"/>
      <c r="AA22" s="1344">
        <v>1</v>
      </c>
      <c r="AB22" s="1344">
        <v>1</v>
      </c>
      <c r="AC22" s="1344">
        <v>1</v>
      </c>
    </row>
    <row r="23" spans="1:29" ht="54">
      <c r="A23" s="149"/>
      <c r="B23" s="1345" t="s">
        <v>73</v>
      </c>
      <c r="C23" s="188" t="str">
        <f>估价对象房地状况!C9</f>
        <v>周边有北京广播电视大学、康庄公园；综合评价环境状况较好</v>
      </c>
      <c r="D23" s="786">
        <v>100</v>
      </c>
      <c r="E23" s="100"/>
      <c r="F23" s="789">
        <f>SUMIF(84:84,E24,85:85)-SUMIF(84:84,C24,85:85)+100</f>
        <v>100</v>
      </c>
      <c r="G23" s="101"/>
      <c r="H23" s="786">
        <f>SUMIF(84:84,G24,85:85)-SUMIF(84:84,C24,85:85)+100</f>
        <v>100</v>
      </c>
      <c r="I23" s="100"/>
      <c r="J23" s="786">
        <f>SUMIF(84:84,I24,85:85)-SUMIF(84:84,C24,85:85)+100</f>
        <v>100</v>
      </c>
      <c r="K23" s="949"/>
      <c r="L23" s="2282"/>
      <c r="M23" s="2277"/>
      <c r="N23" s="2277"/>
      <c r="O23" s="2277"/>
      <c r="P23" s="3670"/>
      <c r="Q23" s="1340" t="str">
        <f>B23</f>
        <v>自然及人文环境</v>
      </c>
      <c r="R23" s="1341" t="s">
        <v>65</v>
      </c>
      <c r="S23" s="1342">
        <f>F23</f>
        <v>100</v>
      </c>
      <c r="T23" s="1341" t="s">
        <v>65</v>
      </c>
      <c r="U23" s="1342">
        <f>H23</f>
        <v>100</v>
      </c>
      <c r="V23" s="1341" t="s">
        <v>65</v>
      </c>
      <c r="W23" s="1342">
        <f>J23</f>
        <v>100</v>
      </c>
      <c r="X23" s="1330"/>
      <c r="Y23" s="3663"/>
      <c r="Z23" s="1343" t="str">
        <f>Q23</f>
        <v>自然及人文环境</v>
      </c>
      <c r="AA23" s="1344">
        <f t="shared" si="3"/>
        <v>1</v>
      </c>
      <c r="AB23" s="1344">
        <f t="shared" si="4"/>
        <v>1</v>
      </c>
      <c r="AC23" s="1344">
        <f t="shared" si="5"/>
        <v>1</v>
      </c>
    </row>
    <row r="24" spans="1:29" ht="14.25">
      <c r="A24" s="149"/>
      <c r="B24" s="1030"/>
      <c r="C24" s="97"/>
      <c r="D24" s="784"/>
      <c r="E24" s="98"/>
      <c r="F24" s="785"/>
      <c r="G24" s="99"/>
      <c r="H24" s="784"/>
      <c r="I24" s="98"/>
      <c r="J24" s="784"/>
      <c r="K24" s="187"/>
      <c r="L24" s="2282"/>
      <c r="M24" s="2277"/>
      <c r="N24" s="2277"/>
      <c r="O24" s="2277"/>
      <c r="P24" s="3670"/>
      <c r="Q24" s="1340"/>
      <c r="R24" s="1341"/>
      <c r="S24" s="1342"/>
      <c r="T24" s="1341"/>
      <c r="U24" s="1342"/>
      <c r="V24" s="1341"/>
      <c r="W24" s="1342"/>
      <c r="X24" s="1330"/>
      <c r="Y24" s="3663"/>
      <c r="Z24" s="1343"/>
      <c r="AA24" s="1344">
        <v>1</v>
      </c>
      <c r="AB24" s="1344">
        <v>1</v>
      </c>
      <c r="AC24" s="1344">
        <v>1</v>
      </c>
    </row>
    <row r="25" spans="1:29" ht="15">
      <c r="A25" s="149"/>
      <c r="B25" s="12" t="s">
        <v>131</v>
      </c>
      <c r="C25" s="180"/>
      <c r="D25" s="771">
        <v>100</v>
      </c>
      <c r="E25" s="180"/>
      <c r="F25" s="797">
        <f>SUMIF(86:86,E25,87:87)-SUMIF(86:86,C25,87:87)+100</f>
        <v>100</v>
      </c>
      <c r="G25" s="180"/>
      <c r="H25" s="771">
        <f>SUMIF(86:86,G25,87:87)-SUMIF(86:86,C25,87:87)+100</f>
        <v>100</v>
      </c>
      <c r="I25" s="180"/>
      <c r="J25" s="771">
        <f>SUMIF(86:86,I25,87:87)-SUMIF(86:86,C25,87:87)+100</f>
        <v>100</v>
      </c>
      <c r="K25" s="947"/>
      <c r="L25" s="2282"/>
      <c r="M25" s="2277"/>
      <c r="N25" s="2277"/>
      <c r="O25" s="2277"/>
      <c r="P25" s="3670"/>
      <c r="Q25" s="1340" t="str">
        <f t="shared" ref="Q25:Q46" si="11">B25</f>
        <v>临街状况</v>
      </c>
      <c r="R25" s="1341" t="s">
        <v>65</v>
      </c>
      <c r="S25" s="1342">
        <f>F25</f>
        <v>100</v>
      </c>
      <c r="T25" s="1341" t="s">
        <v>65</v>
      </c>
      <c r="U25" s="1342">
        <f>H25</f>
        <v>100</v>
      </c>
      <c r="V25" s="1341" t="s">
        <v>65</v>
      </c>
      <c r="W25" s="1342">
        <f>J25</f>
        <v>100</v>
      </c>
      <c r="X25" s="1330"/>
      <c r="Y25" s="3663"/>
      <c r="Z25" s="1343" t="str">
        <f>Q25</f>
        <v>临街状况</v>
      </c>
      <c r="AA25" s="1344">
        <f t="shared" si="3"/>
        <v>1</v>
      </c>
      <c r="AB25" s="1344">
        <f t="shared" si="4"/>
        <v>1</v>
      </c>
      <c r="AC25" s="1344">
        <f t="shared" si="5"/>
        <v>1</v>
      </c>
    </row>
    <row r="26" spans="1:29" ht="14.25">
      <c r="A26" s="149"/>
      <c r="B26" s="1346" t="s">
        <v>1014</v>
      </c>
      <c r="C26" s="93"/>
      <c r="D26" s="771">
        <v>100</v>
      </c>
      <c r="E26" s="93"/>
      <c r="F26" s="797">
        <f>SUMIF(88:88,E26,89:89)-SUMIF(88:88,C26,89:89)+100</f>
        <v>100</v>
      </c>
      <c r="G26" s="93"/>
      <c r="H26" s="771">
        <f>SUMIF(88:88,G26,89:89)-SUMIF(88:88,C26,89:89)+100</f>
        <v>100</v>
      </c>
      <c r="I26" s="93"/>
      <c r="J26" s="771">
        <f>SUMIF(88:88,I26,89:89)-SUMIF(88:88,C26,89:89)+100</f>
        <v>100</v>
      </c>
      <c r="K26" s="186"/>
      <c r="L26" s="2282"/>
      <c r="M26" s="2277"/>
      <c r="N26" s="2277"/>
      <c r="O26" s="2277"/>
      <c r="P26" s="3670"/>
      <c r="Q26" s="1340" t="str">
        <f t="shared" si="11"/>
        <v>平面位置/可视性</v>
      </c>
      <c r="R26" s="1341" t="s">
        <v>65</v>
      </c>
      <c r="S26" s="1342">
        <f>F26</f>
        <v>100</v>
      </c>
      <c r="T26" s="1341" t="s">
        <v>65</v>
      </c>
      <c r="U26" s="1342">
        <f>H26</f>
        <v>100</v>
      </c>
      <c r="V26" s="1341" t="s">
        <v>65</v>
      </c>
      <c r="W26" s="1342">
        <f>J26</f>
        <v>100</v>
      </c>
      <c r="X26" s="1330"/>
      <c r="Y26" s="3663"/>
      <c r="Z26" s="1343" t="str">
        <f>Q26</f>
        <v>平面位置/可视性</v>
      </c>
      <c r="AA26" s="1344">
        <f t="shared" si="3"/>
        <v>1</v>
      </c>
      <c r="AB26" s="1344">
        <f t="shared" si="4"/>
        <v>1</v>
      </c>
      <c r="AC26" s="1344">
        <f t="shared" si="5"/>
        <v>1</v>
      </c>
    </row>
    <row r="27" spans="1:29" s="40" customFormat="1" ht="15">
      <c r="A27" s="1020"/>
      <c r="B27" s="1345" t="s">
        <v>1015</v>
      </c>
      <c r="C27" s="1376"/>
      <c r="D27" s="798">
        <v>100</v>
      </c>
      <c r="E27" s="1376"/>
      <c r="F27" s="799">
        <f>SUMIF(90:90,E27,91:91)-SUMIF(90:90,C27,91:91)+100</f>
        <v>100</v>
      </c>
      <c r="G27" s="1376"/>
      <c r="H27" s="798">
        <f>SUMIF(90:90,G27,91:91)-SUMIF(90:90,C27,91:91)+100</f>
        <v>100</v>
      </c>
      <c r="I27" s="1376"/>
      <c r="J27" s="798">
        <f>SUMIF(90:90,I27,91:91)-SUMIF(90:90,C27,91:91)+100</f>
        <v>100</v>
      </c>
      <c r="K27" s="947"/>
      <c r="L27" s="2278"/>
      <c r="M27" s="2240"/>
      <c r="N27" s="2240"/>
      <c r="O27" s="2240"/>
      <c r="P27" s="3670"/>
      <c r="Q27" s="7" t="str">
        <f t="shared" si="11"/>
        <v>人流量</v>
      </c>
      <c r="R27" s="1332" t="s">
        <v>65</v>
      </c>
      <c r="S27" s="1333">
        <f>F27</f>
        <v>100</v>
      </c>
      <c r="T27" s="1332" t="s">
        <v>65</v>
      </c>
      <c r="U27" s="1333">
        <f>H27</f>
        <v>100</v>
      </c>
      <c r="V27" s="1332" t="s">
        <v>65</v>
      </c>
      <c r="W27" s="1333">
        <f>J27</f>
        <v>100</v>
      </c>
      <c r="X27" s="285"/>
      <c r="Y27" s="3663"/>
      <c r="Z27" s="286" t="str">
        <f>Q27</f>
        <v>人流量</v>
      </c>
      <c r="AA27" s="1344">
        <f>D27/F27</f>
        <v>1</v>
      </c>
      <c r="AB27" s="1344">
        <f>D27/H27</f>
        <v>1</v>
      </c>
      <c r="AC27" s="1344">
        <f>D27/J27</f>
        <v>1</v>
      </c>
    </row>
    <row r="28" spans="1:29" ht="14.25">
      <c r="A28" s="149"/>
      <c r="B28" s="12" t="s">
        <v>132</v>
      </c>
      <c r="C28" s="180"/>
      <c r="D28" s="771">
        <v>100</v>
      </c>
      <c r="E28" s="180"/>
      <c r="F28" s="797">
        <f>SUMIF(92:92,E28,93:93)-SUMIF(92:92,C28,93:93)+100</f>
        <v>100</v>
      </c>
      <c r="G28" s="180"/>
      <c r="H28" s="771">
        <f>SUMIF(92:92,G28,93:93)-SUMIF(92:92,C28,93:93)+100</f>
        <v>100</v>
      </c>
      <c r="I28" s="180"/>
      <c r="J28" s="771">
        <f>SUMIF(92:92,I28,93:93)-SUMIF(92:92,C28,93:93)+100</f>
        <v>100</v>
      </c>
      <c r="K28" s="186"/>
      <c r="L28" s="2282"/>
      <c r="M28" s="2277"/>
      <c r="N28" s="2277"/>
      <c r="O28" s="2277"/>
      <c r="P28" s="3670"/>
      <c r="Q28" s="1340" t="str">
        <f t="shared" si="11"/>
        <v>楼层</v>
      </c>
      <c r="R28" s="1341" t="s">
        <v>65</v>
      </c>
      <c r="S28" s="1342">
        <f t="shared" ref="S28:S46" si="12">F28</f>
        <v>100</v>
      </c>
      <c r="T28" s="1341" t="s">
        <v>65</v>
      </c>
      <c r="U28" s="1342">
        <f t="shared" ref="U28:U46" si="13">H28</f>
        <v>100</v>
      </c>
      <c r="V28" s="1341" t="s">
        <v>65</v>
      </c>
      <c r="W28" s="1342">
        <f t="shared" ref="W28:W46" si="14">J28</f>
        <v>100</v>
      </c>
      <c r="X28" s="1330"/>
      <c r="Y28" s="3663"/>
      <c r="Z28" s="1343" t="str">
        <f t="shared" ref="Z28:Z46" si="15">Q28</f>
        <v>楼层</v>
      </c>
      <c r="AA28" s="1344">
        <f t="shared" si="3"/>
        <v>1</v>
      </c>
      <c r="AB28" s="1344">
        <f t="shared" si="4"/>
        <v>1</v>
      </c>
      <c r="AC28" s="1344">
        <f t="shared" si="5"/>
        <v>1</v>
      </c>
    </row>
    <row r="29" spans="1:29" ht="14.25">
      <c r="A29" s="149"/>
      <c r="B29" s="1346">
        <v>111</v>
      </c>
      <c r="C29" s="93"/>
      <c r="D29" s="771">
        <v>100</v>
      </c>
      <c r="E29" s="93"/>
      <c r="F29" s="797">
        <f>SUMIF(94:94,E29,95:95)-SUMIF(94:94,C29,95:95)+100</f>
        <v>100</v>
      </c>
      <c r="G29" s="93"/>
      <c r="H29" s="771">
        <f>SUMIF(94:94,G29,95:95)-SUMIF(94:94,C29,95:95)+100</f>
        <v>100</v>
      </c>
      <c r="I29" s="93"/>
      <c r="J29" s="771">
        <f>SUMIF(94:94,I29,95:95)-SUMIF(94:94,C29,95:95)+100</f>
        <v>100</v>
      </c>
      <c r="K29" s="186"/>
      <c r="L29" s="2282"/>
      <c r="M29" s="2277"/>
      <c r="N29" s="2277"/>
      <c r="O29" s="2277"/>
      <c r="P29" s="3670"/>
      <c r="Q29" s="1340">
        <f t="shared" si="11"/>
        <v>111</v>
      </c>
      <c r="R29" s="1341" t="s">
        <v>65</v>
      </c>
      <c r="S29" s="1342">
        <f t="shared" si="12"/>
        <v>100</v>
      </c>
      <c r="T29" s="1341" t="s">
        <v>65</v>
      </c>
      <c r="U29" s="1342">
        <f t="shared" si="13"/>
        <v>100</v>
      </c>
      <c r="V29" s="1341" t="s">
        <v>65</v>
      </c>
      <c r="W29" s="1342">
        <f t="shared" si="14"/>
        <v>100</v>
      </c>
      <c r="X29" s="1330"/>
      <c r="Y29" s="3663"/>
      <c r="Z29" s="1343">
        <f t="shared" si="15"/>
        <v>111</v>
      </c>
      <c r="AA29" s="1344">
        <f t="shared" si="3"/>
        <v>1</v>
      </c>
      <c r="AB29" s="1344">
        <f t="shared" si="4"/>
        <v>1</v>
      </c>
      <c r="AC29" s="1344">
        <f t="shared" si="5"/>
        <v>1</v>
      </c>
    </row>
    <row r="30" spans="1:29" ht="14.25">
      <c r="A30" s="149"/>
      <c r="B30" s="1346">
        <v>111</v>
      </c>
      <c r="C30" s="93"/>
      <c r="D30" s="771">
        <v>100</v>
      </c>
      <c r="E30" s="93"/>
      <c r="F30" s="797">
        <f>SUMIF(96:96,E30,97:97)-SUMIF(96:96,C30,97:97)+100</f>
        <v>100</v>
      </c>
      <c r="G30" s="93"/>
      <c r="H30" s="771">
        <f>SUMIF(96:96,G30,97:97)-SUMIF(96:96,C30,97:97)+100</f>
        <v>100</v>
      </c>
      <c r="I30" s="93"/>
      <c r="J30" s="771">
        <f>SUMIF(96:96,I30,97:97)-SUMIF(96:96,C30,97:97)+100</f>
        <v>100</v>
      </c>
      <c r="K30" s="186"/>
      <c r="L30" s="2282"/>
      <c r="M30" s="2277"/>
      <c r="N30" s="2277"/>
      <c r="O30" s="2277"/>
      <c r="P30" s="3670"/>
      <c r="Q30" s="1340">
        <f t="shared" si="11"/>
        <v>111</v>
      </c>
      <c r="R30" s="1341" t="s">
        <v>65</v>
      </c>
      <c r="S30" s="1342">
        <f t="shared" si="12"/>
        <v>100</v>
      </c>
      <c r="T30" s="1341" t="s">
        <v>65</v>
      </c>
      <c r="U30" s="1342">
        <f t="shared" si="13"/>
        <v>100</v>
      </c>
      <c r="V30" s="1341" t="s">
        <v>65</v>
      </c>
      <c r="W30" s="1342">
        <f t="shared" si="14"/>
        <v>100</v>
      </c>
      <c r="X30" s="1330"/>
      <c r="Y30" s="3663"/>
      <c r="Z30" s="1343">
        <f t="shared" si="15"/>
        <v>111</v>
      </c>
      <c r="AA30" s="1344">
        <f t="shared" si="3"/>
        <v>1</v>
      </c>
      <c r="AB30" s="1344">
        <f t="shared" si="4"/>
        <v>1</v>
      </c>
      <c r="AC30" s="1344">
        <f t="shared" si="5"/>
        <v>1</v>
      </c>
    </row>
    <row r="31" spans="1:29" ht="15" thickBot="1">
      <c r="A31" s="152"/>
      <c r="B31" s="1346">
        <v>111</v>
      </c>
      <c r="C31" s="94"/>
      <c r="D31" s="774">
        <v>100</v>
      </c>
      <c r="E31" s="93"/>
      <c r="F31" s="775">
        <f>SUMIF(98:98,E31,99:99)-SUMIF(98:98,C31,99:99)+100</f>
        <v>100</v>
      </c>
      <c r="G31" s="93"/>
      <c r="H31" s="774">
        <f>SUMIF(98:98,G31,99:99)-SUMIF(98:98,C31,99:99)+100</f>
        <v>100</v>
      </c>
      <c r="I31" s="93"/>
      <c r="J31" s="774">
        <f>SUMIF(98:98,I31,99:99)-SUMIF(98:98,C31,99:99)+100</f>
        <v>100</v>
      </c>
      <c r="K31" s="186"/>
      <c r="L31" s="2282"/>
      <c r="M31" s="2277"/>
      <c r="N31" s="2277"/>
      <c r="O31" s="2277"/>
      <c r="P31" s="3670"/>
      <c r="Q31" s="1340">
        <f t="shared" si="11"/>
        <v>111</v>
      </c>
      <c r="R31" s="1341" t="s">
        <v>65</v>
      </c>
      <c r="S31" s="1342">
        <f t="shared" si="12"/>
        <v>100</v>
      </c>
      <c r="T31" s="1341" t="s">
        <v>65</v>
      </c>
      <c r="U31" s="1342">
        <f t="shared" si="13"/>
        <v>100</v>
      </c>
      <c r="V31" s="1341" t="s">
        <v>65</v>
      </c>
      <c r="W31" s="1342">
        <f t="shared" si="14"/>
        <v>100</v>
      </c>
      <c r="X31" s="1330"/>
      <c r="Y31" s="3663"/>
      <c r="Z31" s="1343">
        <f t="shared" si="15"/>
        <v>111</v>
      </c>
      <c r="AA31" s="1344">
        <f t="shared" si="3"/>
        <v>1</v>
      </c>
      <c r="AB31" s="1344">
        <f t="shared" si="4"/>
        <v>1</v>
      </c>
      <c r="AC31" s="1344">
        <f t="shared" si="5"/>
        <v>1</v>
      </c>
    </row>
    <row r="32" spans="1:29" ht="15">
      <c r="A32" s="153" t="s">
        <v>1016</v>
      </c>
      <c r="B32" s="62" t="s">
        <v>1017</v>
      </c>
      <c r="C32" s="110"/>
      <c r="D32" s="802">
        <v>100</v>
      </c>
      <c r="E32" s="110"/>
      <c r="F32" s="797">
        <f>SUMIF(100:100,E32,101:101)-SUMIF(100:100,C32,101:101)+100</f>
        <v>100</v>
      </c>
      <c r="G32" s="110"/>
      <c r="H32" s="771">
        <f>SUMIF(100:100,G32,101:101)-SUMIF(100:100,C32,101:101)+100</f>
        <v>100</v>
      </c>
      <c r="I32" s="110"/>
      <c r="J32" s="802">
        <f>SUMIF(100:100,I32,101:101)-SUMIF(100:100,C32,101:101)+100</f>
        <v>100</v>
      </c>
      <c r="K32" s="947"/>
      <c r="L32" s="2282"/>
      <c r="M32" s="2277"/>
      <c r="N32" s="2277"/>
      <c r="O32" s="2277"/>
      <c r="P32" s="3664" t="s">
        <v>1018</v>
      </c>
      <c r="Q32" s="1340" t="str">
        <f t="shared" si="11"/>
        <v>商业类型</v>
      </c>
      <c r="R32" s="1341" t="s">
        <v>65</v>
      </c>
      <c r="S32" s="1342">
        <f t="shared" si="12"/>
        <v>100</v>
      </c>
      <c r="T32" s="1341" t="s">
        <v>65</v>
      </c>
      <c r="U32" s="1342">
        <f t="shared" si="13"/>
        <v>100</v>
      </c>
      <c r="V32" s="1341" t="s">
        <v>65</v>
      </c>
      <c r="W32" s="1342">
        <f t="shared" si="14"/>
        <v>100</v>
      </c>
      <c r="X32" s="1330"/>
      <c r="Y32" s="3667" t="s">
        <v>1018</v>
      </c>
      <c r="Z32" s="1343" t="str">
        <f t="shared" si="15"/>
        <v>商业类型</v>
      </c>
      <c r="AA32" s="1344">
        <f t="shared" si="3"/>
        <v>1</v>
      </c>
      <c r="AB32" s="1344">
        <f t="shared" si="4"/>
        <v>1</v>
      </c>
      <c r="AC32" s="1344">
        <f t="shared" si="5"/>
        <v>1</v>
      </c>
    </row>
    <row r="33" spans="1:29" s="1029" customFormat="1" ht="14.25">
      <c r="A33" s="1033"/>
      <c r="B33" s="12" t="s">
        <v>76</v>
      </c>
      <c r="C33" s="804"/>
      <c r="D33" s="422">
        <v>100</v>
      </c>
      <c r="E33" s="766"/>
      <c r="F33" s="761" t="e">
        <f>LOOKUP(E33,103:103,104:104)-LOOKUP(C33,103:103,104:104)+100</f>
        <v>#N/A</v>
      </c>
      <c r="G33" s="765"/>
      <c r="H33" s="422" t="e">
        <f>LOOKUP(G33,103:103,104:104)-LOOKUP(C33,103:103,104:104)+100</f>
        <v>#N/A</v>
      </c>
      <c r="I33" s="765"/>
      <c r="J33" s="422" t="e">
        <f>LOOKUP(I33,103:103,104:104)-LOOKUP(C33,103:103,104:104)+100</f>
        <v>#N/A</v>
      </c>
      <c r="K33" s="186"/>
      <c r="L33" s="2281"/>
      <c r="M33" s="2283"/>
      <c r="N33" s="2283"/>
      <c r="O33" s="2283"/>
      <c r="P33" s="3665"/>
      <c r="Q33" s="1348" t="str">
        <f t="shared" si="11"/>
        <v>项目建筑规模</v>
      </c>
      <c r="R33" s="1349" t="s">
        <v>65</v>
      </c>
      <c r="S33" s="1350" t="e">
        <f t="shared" si="12"/>
        <v>#N/A</v>
      </c>
      <c r="T33" s="1349" t="s">
        <v>65</v>
      </c>
      <c r="U33" s="1350" t="e">
        <f t="shared" si="13"/>
        <v>#N/A</v>
      </c>
      <c r="V33" s="1349" t="s">
        <v>65</v>
      </c>
      <c r="W33" s="1350" t="e">
        <f t="shared" si="14"/>
        <v>#N/A</v>
      </c>
      <c r="X33" s="1351"/>
      <c r="Y33" s="3667"/>
      <c r="Z33" s="1352" t="str">
        <f t="shared" si="15"/>
        <v>项目建筑规模</v>
      </c>
      <c r="AA33" s="1344" t="e">
        <f t="shared" si="3"/>
        <v>#N/A</v>
      </c>
      <c r="AB33" s="1344" t="e">
        <f t="shared" si="4"/>
        <v>#N/A</v>
      </c>
      <c r="AC33" s="1344" t="e">
        <f t="shared" si="5"/>
        <v>#N/A</v>
      </c>
    </row>
    <row r="34" spans="1:29" ht="15">
      <c r="A34" s="159"/>
      <c r="B34" s="12" t="s">
        <v>77</v>
      </c>
      <c r="C34" s="111"/>
      <c r="D34" s="771">
        <v>100</v>
      </c>
      <c r="E34" s="111"/>
      <c r="F34" s="797">
        <f>SUMIF(105:105,E34,106:106)-SUMIF(105:105,C34,106:106)+100</f>
        <v>100</v>
      </c>
      <c r="G34" s="111"/>
      <c r="H34" s="771">
        <f>SUMIF(105:105,G34,106:106)-SUMIF(105:105,C34,106:106)+100</f>
        <v>100</v>
      </c>
      <c r="I34" s="111"/>
      <c r="J34" s="771">
        <f>SUMIF(105:105,I34,106:106)-SUMIF(105:105,C34,106:106)+100</f>
        <v>100</v>
      </c>
      <c r="K34" s="947"/>
      <c r="L34" s="2282"/>
      <c r="M34" s="2277"/>
      <c r="N34" s="2277"/>
      <c r="O34" s="2277"/>
      <c r="P34" s="3665"/>
      <c r="Q34" s="1340" t="str">
        <f t="shared" si="11"/>
        <v>建筑结构</v>
      </c>
      <c r="R34" s="1341" t="s">
        <v>65</v>
      </c>
      <c r="S34" s="1342">
        <f t="shared" si="12"/>
        <v>100</v>
      </c>
      <c r="T34" s="1341" t="s">
        <v>65</v>
      </c>
      <c r="U34" s="1342">
        <f t="shared" si="13"/>
        <v>100</v>
      </c>
      <c r="V34" s="1341" t="s">
        <v>65</v>
      </c>
      <c r="W34" s="1342">
        <f t="shared" si="14"/>
        <v>100</v>
      </c>
      <c r="X34" s="1330"/>
      <c r="Y34" s="3667"/>
      <c r="Z34" s="1343" t="str">
        <f t="shared" si="15"/>
        <v>建筑结构</v>
      </c>
      <c r="AA34" s="1344">
        <f t="shared" si="3"/>
        <v>1</v>
      </c>
      <c r="AB34" s="1344">
        <f t="shared" si="4"/>
        <v>1</v>
      </c>
      <c r="AC34" s="1344">
        <f t="shared" si="5"/>
        <v>1</v>
      </c>
    </row>
    <row r="35" spans="1:29" ht="15">
      <c r="A35" s="159"/>
      <c r="B35" s="12" t="s">
        <v>1019</v>
      </c>
      <c r="C35" s="109"/>
      <c r="D35" s="771">
        <v>100</v>
      </c>
      <c r="E35" s="109"/>
      <c r="F35" s="797">
        <f>SUMIF(107:107,E35,108:108)-SUMIF(107:107,C35,108:108)+100</f>
        <v>100</v>
      </c>
      <c r="G35" s="109"/>
      <c r="H35" s="771">
        <f>SUMIF(107:107,G35,108:108)-SUMIF(107:107,C35,108:108)+100</f>
        <v>100</v>
      </c>
      <c r="I35" s="109"/>
      <c r="J35" s="771">
        <f>SUMIF(107:107,I35,108:108)-SUMIF(107:107,C35,108:108)+100</f>
        <v>100</v>
      </c>
      <c r="K35" s="947"/>
      <c r="L35" s="2282"/>
      <c r="M35" s="2277"/>
      <c r="N35" s="2277"/>
      <c r="O35" s="2277"/>
      <c r="P35" s="3665"/>
      <c r="Q35" s="1340" t="str">
        <f t="shared" si="11"/>
        <v>公共部分装修</v>
      </c>
      <c r="R35" s="1341" t="s">
        <v>65</v>
      </c>
      <c r="S35" s="1342">
        <f t="shared" si="12"/>
        <v>100</v>
      </c>
      <c r="T35" s="1341" t="s">
        <v>65</v>
      </c>
      <c r="U35" s="1342">
        <f t="shared" si="13"/>
        <v>100</v>
      </c>
      <c r="V35" s="1341" t="s">
        <v>65</v>
      </c>
      <c r="W35" s="1342">
        <f t="shared" si="14"/>
        <v>100</v>
      </c>
      <c r="X35" s="1330"/>
      <c r="Y35" s="3667"/>
      <c r="Z35" s="1343" t="str">
        <f t="shared" si="15"/>
        <v>公共部分装修</v>
      </c>
      <c r="AA35" s="1344">
        <f t="shared" si="3"/>
        <v>1</v>
      </c>
      <c r="AB35" s="1344">
        <f t="shared" si="4"/>
        <v>1</v>
      </c>
      <c r="AC35" s="1344">
        <f t="shared" si="5"/>
        <v>1</v>
      </c>
    </row>
    <row r="36" spans="1:29" ht="15">
      <c r="A36" s="159"/>
      <c r="B36" s="12" t="s">
        <v>1020</v>
      </c>
      <c r="C36" s="809"/>
      <c r="D36" s="771">
        <v>100</v>
      </c>
      <c r="E36" s="809"/>
      <c r="F36" s="797" t="e">
        <f>LOOKUP(E36,110:110,111:111)-LOOKUP(C36,110:110,111:111)+100</f>
        <v>#N/A</v>
      </c>
      <c r="G36" s="809"/>
      <c r="H36" s="797" t="e">
        <f>LOOKUP(G36,110:110,111:111)-LOOKUP(C36,110:110,111:111)+100</f>
        <v>#N/A</v>
      </c>
      <c r="I36" s="809"/>
      <c r="J36" s="771" t="e">
        <f>LOOKUP(I36,110:110,111:111)-LOOKUP(C36,110:110,111:111)+100</f>
        <v>#N/A</v>
      </c>
      <c r="K36" s="947"/>
      <c r="L36" s="2282"/>
      <c r="M36" s="2277"/>
      <c r="N36" s="2277"/>
      <c r="O36" s="2277"/>
      <c r="P36" s="3665"/>
      <c r="Q36" s="1340" t="str">
        <f t="shared" si="11"/>
        <v>成新度</v>
      </c>
      <c r="R36" s="1341" t="s">
        <v>65</v>
      </c>
      <c r="S36" s="1342" t="e">
        <f t="shared" si="12"/>
        <v>#N/A</v>
      </c>
      <c r="T36" s="1341" t="s">
        <v>65</v>
      </c>
      <c r="U36" s="1342" t="e">
        <f t="shared" si="13"/>
        <v>#N/A</v>
      </c>
      <c r="V36" s="1341" t="s">
        <v>65</v>
      </c>
      <c r="W36" s="1342" t="e">
        <f t="shared" si="14"/>
        <v>#N/A</v>
      </c>
      <c r="X36" s="1330"/>
      <c r="Y36" s="3667"/>
      <c r="Z36" s="1343" t="str">
        <f t="shared" si="15"/>
        <v>成新度</v>
      </c>
      <c r="AA36" s="1344" t="e">
        <f t="shared" si="3"/>
        <v>#N/A</v>
      </c>
      <c r="AB36" s="1344" t="e">
        <f t="shared" si="4"/>
        <v>#N/A</v>
      </c>
      <c r="AC36" s="1344" t="e">
        <f t="shared" si="5"/>
        <v>#N/A</v>
      </c>
    </row>
    <row r="37" spans="1:29" s="40" customFormat="1" ht="15">
      <c r="A37" s="1031"/>
      <c r="B37" s="12" t="s">
        <v>2646</v>
      </c>
      <c r="C37" s="109"/>
      <c r="D37" s="422">
        <v>100</v>
      </c>
      <c r="E37" s="109"/>
      <c r="F37" s="797">
        <f>SUMIF(112:112,E37,113:113)-SUMIF(112:112,C37,113:113)+100</f>
        <v>100</v>
      </c>
      <c r="G37" s="109"/>
      <c r="H37" s="771">
        <f>SUMIF(112:112,G37,113:113)-SUMIF(112:112,C37,113:113)+100</f>
        <v>100</v>
      </c>
      <c r="I37" s="109"/>
      <c r="J37" s="771">
        <f>SUMIF(112:112,I37,113:113)-SUMIF(112:112,C37,113:113)+100</f>
        <v>100</v>
      </c>
      <c r="K37" s="947"/>
      <c r="L37" s="2278"/>
      <c r="M37" s="2240"/>
      <c r="N37" s="2240"/>
      <c r="O37" s="2240"/>
      <c r="P37" s="3665"/>
      <c r="Q37" s="7" t="str">
        <f t="shared" si="11"/>
        <v>市政基础设施</v>
      </c>
      <c r="R37" s="1332" t="s">
        <v>65</v>
      </c>
      <c r="S37" s="1333">
        <f t="shared" si="12"/>
        <v>100</v>
      </c>
      <c r="T37" s="1332" t="s">
        <v>65</v>
      </c>
      <c r="U37" s="1333">
        <f t="shared" si="13"/>
        <v>100</v>
      </c>
      <c r="V37" s="1332" t="s">
        <v>65</v>
      </c>
      <c r="W37" s="1333">
        <f t="shared" si="14"/>
        <v>100</v>
      </c>
      <c r="X37" s="285"/>
      <c r="Y37" s="3667"/>
      <c r="Z37" s="286" t="str">
        <f t="shared" si="15"/>
        <v>市政基础设施</v>
      </c>
      <c r="AA37" s="1334">
        <f t="shared" si="3"/>
        <v>1</v>
      </c>
      <c r="AB37" s="1334">
        <f t="shared" si="4"/>
        <v>1</v>
      </c>
      <c r="AC37" s="1334">
        <f t="shared" si="5"/>
        <v>1</v>
      </c>
    </row>
    <row r="38" spans="1:29" ht="15">
      <c r="A38" s="159"/>
      <c r="B38" s="12" t="s">
        <v>135</v>
      </c>
      <c r="C38" s="109"/>
      <c r="D38" s="771">
        <v>100</v>
      </c>
      <c r="E38" s="109"/>
      <c r="F38" s="797">
        <f>SUMIF(114:114,E38,115:115)-SUMIF(114:114,C38,115:115)+100</f>
        <v>100</v>
      </c>
      <c r="G38" s="109"/>
      <c r="H38" s="771">
        <f>SUMIF(114:114,G38,115:115)-SUMIF(114:114,C38,115:115)+100</f>
        <v>100</v>
      </c>
      <c r="I38" s="109"/>
      <c r="J38" s="771">
        <f>SUMIF(114:114,I38,115:115)-SUMIF(114:114,C38,115:115)+100</f>
        <v>100</v>
      </c>
      <c r="K38" s="947"/>
      <c r="L38" s="2282"/>
      <c r="M38" s="2277"/>
      <c r="N38" s="2277"/>
      <c r="O38" s="2277"/>
      <c r="P38" s="3665" t="s">
        <v>1021</v>
      </c>
      <c r="Q38" s="1340" t="str">
        <f t="shared" si="11"/>
        <v>业态</v>
      </c>
      <c r="R38" s="1341" t="s">
        <v>65</v>
      </c>
      <c r="S38" s="1342">
        <f t="shared" si="12"/>
        <v>100</v>
      </c>
      <c r="T38" s="1341" t="s">
        <v>65</v>
      </c>
      <c r="U38" s="1342">
        <f t="shared" si="13"/>
        <v>100</v>
      </c>
      <c r="V38" s="1341" t="s">
        <v>65</v>
      </c>
      <c r="W38" s="1342">
        <f t="shared" si="14"/>
        <v>100</v>
      </c>
      <c r="X38" s="1330"/>
      <c r="Y38" s="3667" t="s">
        <v>1021</v>
      </c>
      <c r="Z38" s="1343" t="str">
        <f t="shared" si="15"/>
        <v>业态</v>
      </c>
      <c r="AA38" s="1344">
        <f t="shared" si="3"/>
        <v>1</v>
      </c>
      <c r="AB38" s="1344">
        <f t="shared" si="4"/>
        <v>1</v>
      </c>
      <c r="AC38" s="1344">
        <f t="shared" si="5"/>
        <v>1</v>
      </c>
    </row>
    <row r="39" spans="1:29" ht="15">
      <c r="A39" s="159"/>
      <c r="B39" s="12" t="s">
        <v>1022</v>
      </c>
      <c r="C39" s="109"/>
      <c r="D39" s="771">
        <v>100</v>
      </c>
      <c r="E39" s="109"/>
      <c r="F39" s="797">
        <f>SUMIF(116:116,E39,117:117)-SUMIF(116:116,C39,117:117)+100</f>
        <v>100</v>
      </c>
      <c r="G39" s="109"/>
      <c r="H39" s="771">
        <f>SUMIF(116:116,G39,117:117)-SUMIF(116:116,C39,117:117)+100</f>
        <v>100</v>
      </c>
      <c r="I39" s="109"/>
      <c r="J39" s="771">
        <f>SUMIF(116:116,I39,117:117)-SUMIF(116:116,C39,117:117)+100</f>
        <v>100</v>
      </c>
      <c r="K39" s="947"/>
      <c r="L39" s="2282"/>
      <c r="M39" s="2277"/>
      <c r="N39" s="2277"/>
      <c r="O39" s="2277"/>
      <c r="P39" s="3665"/>
      <c r="Q39" s="1340" t="str">
        <f t="shared" si="11"/>
        <v>层高</v>
      </c>
      <c r="R39" s="1341" t="s">
        <v>65</v>
      </c>
      <c r="S39" s="1342">
        <f t="shared" si="12"/>
        <v>100</v>
      </c>
      <c r="T39" s="1341" t="s">
        <v>65</v>
      </c>
      <c r="U39" s="1342">
        <f t="shared" si="13"/>
        <v>100</v>
      </c>
      <c r="V39" s="1341" t="s">
        <v>65</v>
      </c>
      <c r="W39" s="1342">
        <f t="shared" si="14"/>
        <v>100</v>
      </c>
      <c r="X39" s="1330"/>
      <c r="Y39" s="3667"/>
      <c r="Z39" s="1343" t="str">
        <f t="shared" si="15"/>
        <v>层高</v>
      </c>
      <c r="AA39" s="1344">
        <f t="shared" si="3"/>
        <v>1</v>
      </c>
      <c r="AB39" s="1344">
        <f t="shared" si="4"/>
        <v>1</v>
      </c>
      <c r="AC39" s="1344">
        <f t="shared" si="5"/>
        <v>1</v>
      </c>
    </row>
    <row r="40" spans="1:29" ht="14.25">
      <c r="A40" s="159"/>
      <c r="B40" s="12" t="s">
        <v>1023</v>
      </c>
      <c r="C40" s="952"/>
      <c r="D40" s="771">
        <v>100</v>
      </c>
      <c r="E40" s="953"/>
      <c r="F40" s="797">
        <f>SUMIF(118:118,E40,119:119)-SUMIF(118:118,C40,119:119)+100</f>
        <v>100</v>
      </c>
      <c r="G40" s="953"/>
      <c r="H40" s="771">
        <f>SUMIF(118:118,G40,119:119)-SUMIF(118:118,C40,119:119)+100</f>
        <v>100</v>
      </c>
      <c r="I40" s="953"/>
      <c r="J40" s="771">
        <f>SUMIF(118:118,I40,119:119)-SUMIF(118:118,C40,119:119)+100</f>
        <v>100</v>
      </c>
      <c r="K40" s="186"/>
      <c r="L40" s="2282"/>
      <c r="M40" s="2277"/>
      <c r="N40" s="2277"/>
      <c r="O40" s="2277"/>
      <c r="P40" s="3665"/>
      <c r="Q40" s="1340" t="str">
        <f t="shared" si="11"/>
        <v>单套建筑面积</v>
      </c>
      <c r="R40" s="1341" t="s">
        <v>65</v>
      </c>
      <c r="S40" s="1342">
        <f t="shared" si="12"/>
        <v>100</v>
      </c>
      <c r="T40" s="1341" t="s">
        <v>65</v>
      </c>
      <c r="U40" s="1342">
        <f t="shared" si="13"/>
        <v>100</v>
      </c>
      <c r="V40" s="1341" t="s">
        <v>65</v>
      </c>
      <c r="W40" s="1342">
        <f t="shared" si="14"/>
        <v>100</v>
      </c>
      <c r="X40" s="1330"/>
      <c r="Y40" s="3667"/>
      <c r="Z40" s="1343" t="str">
        <f t="shared" si="15"/>
        <v>单套建筑面积</v>
      </c>
      <c r="AA40" s="1344">
        <f t="shared" si="3"/>
        <v>1</v>
      </c>
      <c r="AB40" s="1344">
        <f t="shared" si="4"/>
        <v>1</v>
      </c>
      <c r="AC40" s="1344">
        <f t="shared" si="5"/>
        <v>1</v>
      </c>
    </row>
    <row r="41" spans="1:29" s="1029" customFormat="1" ht="15">
      <c r="A41" s="1033"/>
      <c r="B41" s="189" t="s">
        <v>1024</v>
      </c>
      <c r="C41" s="180"/>
      <c r="D41" s="771">
        <v>100</v>
      </c>
      <c r="E41" s="180"/>
      <c r="F41" s="797">
        <f>SUMIF(120:120,E41,121:121)-SUMIF(120:120,C41,121:121)+100</f>
        <v>100</v>
      </c>
      <c r="G41" s="180"/>
      <c r="H41" s="771">
        <f>SUMIF(120:120,G41,121:121)-SUMIF(120:120,C41,121:121)+100</f>
        <v>100</v>
      </c>
      <c r="I41" s="180"/>
      <c r="J41" s="771">
        <f>SUMIF(120:120,I41,121:121)-SUMIF(120:120,C41,121:121)+100</f>
        <v>100</v>
      </c>
      <c r="K41" s="947"/>
      <c r="L41" s="2281"/>
      <c r="M41" s="2283"/>
      <c r="N41" s="2283"/>
      <c r="O41" s="2283"/>
      <c r="P41" s="3665"/>
      <c r="Q41" s="1348" t="str">
        <f t="shared" si="11"/>
        <v>进深比</v>
      </c>
      <c r="R41" s="1349" t="s">
        <v>65</v>
      </c>
      <c r="S41" s="1350">
        <f t="shared" si="12"/>
        <v>100</v>
      </c>
      <c r="T41" s="1349" t="s">
        <v>65</v>
      </c>
      <c r="U41" s="1350">
        <f t="shared" si="13"/>
        <v>100</v>
      </c>
      <c r="V41" s="1349" t="s">
        <v>65</v>
      </c>
      <c r="W41" s="1350">
        <f t="shared" si="14"/>
        <v>100</v>
      </c>
      <c r="X41" s="1351"/>
      <c r="Y41" s="3667"/>
      <c r="Z41" s="1352" t="str">
        <f t="shared" si="15"/>
        <v>进深比</v>
      </c>
      <c r="AA41" s="1344">
        <f t="shared" si="3"/>
        <v>1</v>
      </c>
      <c r="AB41" s="1344">
        <f t="shared" si="4"/>
        <v>1</v>
      </c>
      <c r="AC41" s="1344">
        <f t="shared" si="5"/>
        <v>1</v>
      </c>
    </row>
    <row r="42" spans="1:29" ht="15">
      <c r="A42" s="159"/>
      <c r="B42" s="12" t="s">
        <v>1025</v>
      </c>
      <c r="C42" s="109"/>
      <c r="D42" s="771">
        <v>100</v>
      </c>
      <c r="E42" s="109"/>
      <c r="F42" s="797">
        <f>SUMIF(122:122,E42,123:123)-SUMIF(122:122,C42,123:123)+100</f>
        <v>100</v>
      </c>
      <c r="G42" s="109"/>
      <c r="H42" s="771">
        <f>SUMIF(122:122,G42,123:123)-SUMIF(122:122,C42,123:123)+100</f>
        <v>100</v>
      </c>
      <c r="I42" s="109"/>
      <c r="J42" s="771">
        <f>SUMIF(122:122,I42,123:123)-SUMIF(122:122,C42,123:123)+100</f>
        <v>100</v>
      </c>
      <c r="K42" s="947"/>
      <c r="L42" s="2282"/>
      <c r="M42" s="2277"/>
      <c r="N42" s="2277"/>
      <c r="O42" s="2277"/>
      <c r="P42" s="3665"/>
      <c r="Q42" s="1340" t="str">
        <f t="shared" si="11"/>
        <v>内部装修</v>
      </c>
      <c r="R42" s="1341" t="s">
        <v>65</v>
      </c>
      <c r="S42" s="1342">
        <f t="shared" si="12"/>
        <v>100</v>
      </c>
      <c r="T42" s="1341" t="s">
        <v>65</v>
      </c>
      <c r="U42" s="1342">
        <f t="shared" si="13"/>
        <v>100</v>
      </c>
      <c r="V42" s="1341" t="s">
        <v>65</v>
      </c>
      <c r="W42" s="1342">
        <f t="shared" si="14"/>
        <v>100</v>
      </c>
      <c r="X42" s="1330"/>
      <c r="Y42" s="3667"/>
      <c r="Z42" s="1343" t="str">
        <f t="shared" si="15"/>
        <v>内部装修</v>
      </c>
      <c r="AA42" s="1344">
        <f t="shared" si="3"/>
        <v>1</v>
      </c>
      <c r="AB42" s="1344">
        <f t="shared" si="4"/>
        <v>1</v>
      </c>
      <c r="AC42" s="1344">
        <f t="shared" si="5"/>
        <v>1</v>
      </c>
    </row>
    <row r="43" spans="1:29" ht="27">
      <c r="A43" s="159"/>
      <c r="B43" s="12" t="s">
        <v>84</v>
      </c>
      <c r="C43" s="109"/>
      <c r="D43" s="771">
        <v>100</v>
      </c>
      <c r="E43" s="109"/>
      <c r="F43" s="797">
        <f>SUMIF(124:124,E43,125:125)-SUMIF(124:124,C43,125:125)+100</f>
        <v>100</v>
      </c>
      <c r="G43" s="109"/>
      <c r="H43" s="771">
        <f>SUMIF(124:124,G43,125:125)-SUMIF(124:124,C43,125:125)+100</f>
        <v>100</v>
      </c>
      <c r="I43" s="109"/>
      <c r="J43" s="771">
        <f>SUMIF(124:124,I43,125:125)-SUMIF(124:124,C43,125:125)+100</f>
        <v>100</v>
      </c>
      <c r="K43" s="947"/>
      <c r="L43" s="2282"/>
      <c r="M43" s="2277"/>
      <c r="N43" s="2277"/>
      <c r="O43" s="2277"/>
      <c r="P43" s="3665"/>
      <c r="Q43" s="1340" t="str">
        <f t="shared" si="11"/>
        <v>内部装修维护情况</v>
      </c>
      <c r="R43" s="1341" t="s">
        <v>65</v>
      </c>
      <c r="S43" s="1342">
        <f t="shared" si="12"/>
        <v>100</v>
      </c>
      <c r="T43" s="1341" t="s">
        <v>65</v>
      </c>
      <c r="U43" s="1342">
        <f t="shared" si="13"/>
        <v>100</v>
      </c>
      <c r="V43" s="1341" t="s">
        <v>65</v>
      </c>
      <c r="W43" s="1342">
        <f t="shared" si="14"/>
        <v>100</v>
      </c>
      <c r="X43" s="1330"/>
      <c r="Y43" s="3667"/>
      <c r="Z43" s="1343" t="str">
        <f t="shared" si="15"/>
        <v>内部装修维护情况</v>
      </c>
      <c r="AA43" s="1344">
        <f t="shared" si="3"/>
        <v>1</v>
      </c>
      <c r="AB43" s="1344">
        <f t="shared" si="4"/>
        <v>1</v>
      </c>
      <c r="AC43" s="1344">
        <f t="shared" si="5"/>
        <v>1</v>
      </c>
    </row>
    <row r="44" spans="1:29" s="40" customFormat="1" ht="14.25">
      <c r="A44" s="1031"/>
      <c r="B44" s="1346">
        <v>111</v>
      </c>
      <c r="C44" s="1347"/>
      <c r="D44" s="422">
        <v>100</v>
      </c>
      <c r="E44" s="93"/>
      <c r="F44" s="761">
        <f>SUMIF(126:126,E44,127:127)-SUMIF(126:126,C44,127:127)+100</f>
        <v>100</v>
      </c>
      <c r="G44" s="93"/>
      <c r="H44" s="422">
        <f>SUMIF(126:126,G44,127:127)-SUMIF(126:126,C44,127:127)+100</f>
        <v>100</v>
      </c>
      <c r="I44" s="93"/>
      <c r="J44" s="422">
        <f>SUMIF(126:126,I44,127:127)-SUMIF(126:126,C44,127:127)+100</f>
        <v>100</v>
      </c>
      <c r="K44" s="186"/>
      <c r="L44" s="2278"/>
      <c r="M44" s="2240"/>
      <c r="N44" s="2240"/>
      <c r="O44" s="2240"/>
      <c r="P44" s="3665"/>
      <c r="Q44" s="7">
        <f t="shared" si="11"/>
        <v>111</v>
      </c>
      <c r="R44" s="1332" t="s">
        <v>65</v>
      </c>
      <c r="S44" s="1333">
        <f t="shared" si="12"/>
        <v>100</v>
      </c>
      <c r="T44" s="1332" t="s">
        <v>65</v>
      </c>
      <c r="U44" s="1333">
        <f t="shared" si="13"/>
        <v>100</v>
      </c>
      <c r="V44" s="1332" t="s">
        <v>65</v>
      </c>
      <c r="W44" s="1333">
        <f t="shared" si="14"/>
        <v>100</v>
      </c>
      <c r="X44" s="285"/>
      <c r="Y44" s="3667"/>
      <c r="Z44" s="286">
        <f t="shared" si="15"/>
        <v>111</v>
      </c>
      <c r="AA44" s="1334">
        <f t="shared" si="3"/>
        <v>1</v>
      </c>
      <c r="AB44" s="1334">
        <f t="shared" si="4"/>
        <v>1</v>
      </c>
      <c r="AC44" s="1334">
        <f t="shared" si="5"/>
        <v>1</v>
      </c>
    </row>
    <row r="45" spans="1:29" ht="14.25">
      <c r="A45" s="159"/>
      <c r="B45" s="1346">
        <v>111</v>
      </c>
      <c r="C45" s="93"/>
      <c r="D45" s="771">
        <v>100</v>
      </c>
      <c r="E45" s="93"/>
      <c r="F45" s="797">
        <f>SUMIF(128:128,E45,129:129)-SUMIF(128:128,C45,129:129)+100</f>
        <v>100</v>
      </c>
      <c r="G45" s="93"/>
      <c r="H45" s="771">
        <f>SUMIF(128:128,G45,129:129)-SUMIF(128:128,C45,129:129)+100</f>
        <v>100</v>
      </c>
      <c r="I45" s="93"/>
      <c r="J45" s="771">
        <f>SUMIF(128:128,I45,129:129)-SUMIF(128:128,C45,129:129)+100</f>
        <v>100</v>
      </c>
      <c r="K45" s="186"/>
      <c r="L45" s="2282"/>
      <c r="M45" s="2277"/>
      <c r="N45" s="2277"/>
      <c r="O45" s="2277"/>
      <c r="P45" s="3665"/>
      <c r="Q45" s="1340">
        <f t="shared" si="11"/>
        <v>111</v>
      </c>
      <c r="R45" s="1341" t="s">
        <v>65</v>
      </c>
      <c r="S45" s="1342">
        <f t="shared" si="12"/>
        <v>100</v>
      </c>
      <c r="T45" s="1341" t="s">
        <v>65</v>
      </c>
      <c r="U45" s="1342">
        <f t="shared" si="13"/>
        <v>100</v>
      </c>
      <c r="V45" s="1341" t="s">
        <v>65</v>
      </c>
      <c r="W45" s="1342">
        <f t="shared" si="14"/>
        <v>100</v>
      </c>
      <c r="X45" s="1330"/>
      <c r="Y45" s="3667"/>
      <c r="Z45" s="1343">
        <f t="shared" si="15"/>
        <v>111</v>
      </c>
      <c r="AA45" s="1344">
        <f t="shared" si="3"/>
        <v>1</v>
      </c>
      <c r="AB45" s="1344">
        <f t="shared" si="4"/>
        <v>1</v>
      </c>
      <c r="AC45" s="1344">
        <f t="shared" si="5"/>
        <v>1</v>
      </c>
    </row>
    <row r="46" spans="1:29" ht="15" thickBot="1">
      <c r="A46" s="160"/>
      <c r="B46" s="1022">
        <v>111</v>
      </c>
      <c r="C46" s="94"/>
      <c r="D46" s="774">
        <v>100</v>
      </c>
      <c r="E46" s="93"/>
      <c r="F46" s="775">
        <f>SUMIF(130:130,E46,131:131)-SUMIF(130:130,C46,131:131)+100</f>
        <v>100</v>
      </c>
      <c r="G46" s="93"/>
      <c r="H46" s="774">
        <f>SUMIF(130:130,G46,131:131)-SUMIF(130:130,C46,131:131)+100</f>
        <v>100</v>
      </c>
      <c r="I46" s="93"/>
      <c r="J46" s="774">
        <f>SUMIF(130:130,I46,131:131)-SUMIF(130:130,C46,131:131)+100</f>
        <v>100</v>
      </c>
      <c r="K46" s="186"/>
      <c r="L46" s="2282"/>
      <c r="M46" s="2277"/>
      <c r="N46" s="2277"/>
      <c r="O46" s="2277"/>
      <c r="P46" s="3666"/>
      <c r="Q46" s="1340">
        <f t="shared" si="11"/>
        <v>111</v>
      </c>
      <c r="R46" s="1341" t="s">
        <v>65</v>
      </c>
      <c r="S46" s="1342">
        <f t="shared" si="12"/>
        <v>100</v>
      </c>
      <c r="T46" s="1341" t="s">
        <v>65</v>
      </c>
      <c r="U46" s="1342">
        <f t="shared" si="13"/>
        <v>100</v>
      </c>
      <c r="V46" s="1341" t="s">
        <v>65</v>
      </c>
      <c r="W46" s="1342">
        <f t="shared" si="14"/>
        <v>100</v>
      </c>
      <c r="X46" s="1330"/>
      <c r="Y46" s="3668"/>
      <c r="Z46" s="1343">
        <f t="shared" si="15"/>
        <v>111</v>
      </c>
      <c r="AA46" s="1344">
        <f t="shared" si="3"/>
        <v>1</v>
      </c>
      <c r="AB46" s="1344">
        <f t="shared" si="4"/>
        <v>1</v>
      </c>
      <c r="AC46" s="1344">
        <f t="shared" si="5"/>
        <v>1</v>
      </c>
    </row>
    <row r="47" spans="1:29" ht="15">
      <c r="A47" s="161" t="s">
        <v>1026</v>
      </c>
      <c r="B47" s="162"/>
      <c r="C47" s="2814" t="s">
        <v>23</v>
      </c>
      <c r="D47" s="2815"/>
      <c r="E47" s="2816"/>
      <c r="F47" s="2817"/>
      <c r="G47" s="2818"/>
      <c r="H47" s="2819"/>
      <c r="I47" s="2816"/>
      <c r="J47" s="2819"/>
      <c r="K47" s="1382"/>
      <c r="L47" s="2284"/>
      <c r="M47" s="2285"/>
      <c r="N47" s="2277"/>
      <c r="O47" s="2285"/>
      <c r="P47" s="3660" t="str">
        <f>A47</f>
        <v>成交单价（元/平方米）</v>
      </c>
      <c r="Q47" s="3660"/>
      <c r="R47" s="3691">
        <f>E47</f>
        <v>0</v>
      </c>
      <c r="S47" s="3691"/>
      <c r="T47" s="3691">
        <f>G47</f>
        <v>0</v>
      </c>
      <c r="U47" s="3691"/>
      <c r="V47" s="3691">
        <f>I47</f>
        <v>0</v>
      </c>
      <c r="W47" s="3691"/>
      <c r="X47" s="1354"/>
      <c r="Y47" s="1355"/>
      <c r="Z47" s="1354"/>
      <c r="AA47" s="1354"/>
      <c r="AB47" s="1354"/>
      <c r="AC47" s="1354"/>
    </row>
    <row r="48" spans="1:29" ht="15.75" thickBot="1">
      <c r="A48" s="163" t="s">
        <v>1027</v>
      </c>
      <c r="B48" s="164"/>
      <c r="C48" s="2820" t="e">
        <f>R49</f>
        <v>#DIV/0!</v>
      </c>
      <c r="D48" s="2821"/>
      <c r="E48" s="2822" t="e">
        <f>R48</f>
        <v>#DIV/0!</v>
      </c>
      <c r="F48" s="2822"/>
      <c r="G48" s="2820" t="e">
        <f>T48</f>
        <v>#DIV/0!</v>
      </c>
      <c r="H48" s="2821"/>
      <c r="I48" s="2822" t="e">
        <f>V48</f>
        <v>#DIV/0!</v>
      </c>
      <c r="J48" s="2821"/>
      <c r="K48" s="1383"/>
      <c r="L48" s="2284"/>
      <c r="M48" s="2285"/>
      <c r="N48" s="2277"/>
      <c r="O48" s="2285"/>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354"/>
      <c r="Y48" s="1354"/>
      <c r="Z48" s="1354"/>
      <c r="AA48" s="1354"/>
      <c r="AB48" s="1354"/>
      <c r="AC48" s="1354"/>
    </row>
    <row r="49" spans="1:29" ht="15.75" thickBot="1">
      <c r="A49" s="113" t="s">
        <v>3009</v>
      </c>
      <c r="B49" s="114"/>
      <c r="C49" s="2824" t="e">
        <f>R49</f>
        <v>#DIV/0!</v>
      </c>
      <c r="D49" s="2824"/>
      <c r="E49" s="2824"/>
      <c r="F49" s="2824"/>
      <c r="G49" s="2824"/>
      <c r="H49" s="2824"/>
      <c r="I49" s="2824"/>
      <c r="J49" s="2824"/>
      <c r="K49" s="1384"/>
      <c r="L49" s="2284"/>
      <c r="M49" s="2285"/>
      <c r="N49" s="2277"/>
      <c r="O49" s="2285"/>
      <c r="P49" s="3657" t="str">
        <f>A49</f>
        <v>估价对象XX用房的比较价值（楼面单价，元/平方米）</v>
      </c>
      <c r="Q49" s="3658"/>
      <c r="R49" s="3659" t="e">
        <f>IF(F1="售价",ROUND(AVERAGE(R48:V48),0),ROUND(AVERAGE(R48:V48),1))</f>
        <v>#DIV/0!</v>
      </c>
      <c r="S49" s="3659"/>
      <c r="T49" s="3659"/>
      <c r="U49" s="3659"/>
      <c r="V49" s="3659"/>
      <c r="W49" s="3659"/>
      <c r="X49" s="1354"/>
      <c r="Y49" s="1354"/>
      <c r="Z49" s="1354"/>
      <c r="AA49" s="1354"/>
      <c r="AB49" s="1354"/>
      <c r="AC49" s="1354"/>
    </row>
    <row r="50" spans="1:29">
      <c r="A50" s="2285"/>
      <c r="B50" s="2285"/>
      <c r="C50" s="2285"/>
      <c r="D50" s="2285"/>
      <c r="E50" s="2285"/>
      <c r="F50" s="2285"/>
      <c r="G50" s="2294"/>
      <c r="H50" s="2285"/>
      <c r="I50" s="2285"/>
      <c r="J50" s="2285"/>
      <c r="K50" s="2286"/>
      <c r="L50" s="2287"/>
      <c r="M50" s="2285"/>
      <c r="N50" s="2285"/>
      <c r="O50" s="2285"/>
      <c r="P50" s="212"/>
      <c r="Q50" s="1354"/>
      <c r="R50" s="1354"/>
      <c r="S50" s="1354"/>
      <c r="T50" s="1354"/>
      <c r="U50" s="1354"/>
      <c r="V50" s="1354"/>
      <c r="W50" s="1354"/>
      <c r="X50" s="1354"/>
      <c r="Y50" s="1354"/>
      <c r="Z50" s="1354"/>
      <c r="AA50" s="1354"/>
      <c r="AB50" s="1354"/>
      <c r="AC50" s="1354"/>
    </row>
    <row r="51" spans="1:29">
      <c r="A51" s="2285"/>
      <c r="B51" s="2285"/>
      <c r="C51" s="2285"/>
      <c r="D51" s="2285"/>
      <c r="E51" s="2285"/>
      <c r="F51" s="2285"/>
      <c r="G51" s="2285"/>
      <c r="H51" s="2285"/>
      <c r="I51" s="2285"/>
      <c r="J51" s="2285"/>
      <c r="K51" s="2286"/>
      <c r="L51" s="2287"/>
      <c r="M51" s="2285"/>
      <c r="N51" s="2285"/>
      <c r="O51" s="2285"/>
      <c r="P51" s="212"/>
      <c r="Q51" s="1354"/>
      <c r="R51" s="1354"/>
      <c r="S51" s="1354"/>
      <c r="T51" s="1354"/>
      <c r="U51" s="1354"/>
      <c r="V51" s="1354"/>
      <c r="W51" s="1354"/>
      <c r="X51" s="1354"/>
      <c r="Y51" s="1354"/>
      <c r="Z51" s="1354"/>
      <c r="AA51" s="1354"/>
      <c r="AB51" s="1354"/>
      <c r="AC51" s="1354"/>
    </row>
    <row r="52" spans="1:29" ht="13.5" customHeight="1">
      <c r="A52" s="2285"/>
      <c r="B52" s="2285"/>
      <c r="C52" s="832" t="s">
        <v>996</v>
      </c>
      <c r="D52" s="833"/>
      <c r="E52" s="834" t="e">
        <f>IF(E47&lt;E48,E48/E47-1,E47/E48-1)</f>
        <v>#DIV/0!</v>
      </c>
      <c r="F52" s="835" t="e">
        <f>IF(OR(E52&gt;=0.3,E52&lt;=-0.3),"超过30%","")</f>
        <v>#DIV/0!</v>
      </c>
      <c r="G52" s="834" t="e">
        <f>IF(G47&lt;G48,G48/G47-1,G47/G48-1)</f>
        <v>#DIV/0!</v>
      </c>
      <c r="H52" s="835" t="e">
        <f>IF(OR(G52&gt;=0.3,G52&lt;=-0.3),"超过30%","")</f>
        <v>#DIV/0!</v>
      </c>
      <c r="I52" s="834" t="e">
        <f>IF(I47&lt;I48,I48/I47-1,I47/I48-1)</f>
        <v>#DIV/0!</v>
      </c>
      <c r="J52" s="835" t="e">
        <f>IF(OR(I52&gt;=0.3,I52&lt;=-0.3),"超过30%","")</f>
        <v>#DIV/0!</v>
      </c>
      <c r="K52" s="2286"/>
      <c r="L52" s="2287"/>
      <c r="M52" s="2285"/>
      <c r="N52" s="2285"/>
      <c r="O52" s="2285"/>
      <c r="P52" s="212"/>
      <c r="Q52" s="1354"/>
      <c r="R52" s="1354"/>
      <c r="S52" s="1354"/>
      <c r="T52" s="1354"/>
      <c r="U52" s="1354"/>
      <c r="V52" s="1354"/>
      <c r="W52" s="1354"/>
      <c r="X52" s="1354"/>
      <c r="Y52" s="1354"/>
      <c r="Z52" s="1354"/>
      <c r="AA52" s="1354"/>
      <c r="AB52" s="1354"/>
      <c r="AC52" s="1354"/>
    </row>
    <row r="53" spans="1:29" ht="13.5" customHeight="1">
      <c r="A53" s="2285"/>
      <c r="B53" s="2285"/>
      <c r="C53" s="832" t="s">
        <v>997</v>
      </c>
      <c r="D53" s="836"/>
      <c r="E53" s="834" t="e">
        <f>IF(E48&lt;G48,G48/E48-1,E48/G48-1)</f>
        <v>#DIV/0!</v>
      </c>
      <c r="F53" s="835" t="e">
        <f>IF(OR(E53&gt;=0.2,E53&lt;=-0.2),"超过20%","")</f>
        <v>#DIV/0!</v>
      </c>
      <c r="G53" s="834" t="e">
        <f>IF(G48&lt;I48,I48/G48-1,G48/I48-1)</f>
        <v>#DIV/0!</v>
      </c>
      <c r="H53" s="835" t="e">
        <f>IF(OR(G53&gt;=0.2,G53&lt;=-0.2),"超过20%","")</f>
        <v>#DIV/0!</v>
      </c>
      <c r="I53" s="834" t="e">
        <f>IF(I48&lt;E48,E48/I48-1,I48/E48-1)</f>
        <v>#DIV/0!</v>
      </c>
      <c r="J53" s="835" t="e">
        <f>IF(OR(I53&gt;=0.2,I53&lt;=-0.2),"超过20%","")</f>
        <v>#DIV/0!</v>
      </c>
      <c r="K53" s="2286"/>
      <c r="L53" s="2287"/>
      <c r="M53" s="2285"/>
      <c r="N53" s="2285"/>
      <c r="O53" s="2285"/>
      <c r="P53" s="212"/>
      <c r="Q53" s="1354"/>
      <c r="R53" s="1354"/>
      <c r="S53" s="1354"/>
      <c r="T53" s="1354"/>
      <c r="U53" s="1354"/>
      <c r="V53" s="1354"/>
      <c r="W53" s="1354"/>
      <c r="X53" s="1354"/>
      <c r="Y53" s="1354"/>
      <c r="Z53" s="1354"/>
      <c r="AA53" s="1354"/>
      <c r="AB53" s="1354"/>
      <c r="AC53" s="1354"/>
    </row>
    <row r="54" spans="1:29" s="117" customFormat="1" ht="13.5" customHeight="1">
      <c r="A54" s="2290"/>
      <c r="B54" s="2290"/>
      <c r="C54" s="832" t="s">
        <v>998</v>
      </c>
      <c r="D54" s="836"/>
      <c r="E54" s="834" t="e">
        <f>IF(E47&lt;G47,G47/E47-1,E47/G47-1)</f>
        <v>#DIV/0!</v>
      </c>
      <c r="F54" s="835" t="e">
        <f>IF(OR(E54&gt;=0.3,E54&lt;=-0.3),"超过30%","")</f>
        <v>#DIV/0!</v>
      </c>
      <c r="G54" s="834" t="e">
        <f>IF(G47&lt;I47,I47/G47-1,G47/I47-1)</f>
        <v>#DIV/0!</v>
      </c>
      <c r="H54" s="835" t="e">
        <f>IF(OR(G54&gt;=0.3,G54&lt;=-0.3),"超过30%","")</f>
        <v>#DIV/0!</v>
      </c>
      <c r="I54" s="834" t="e">
        <f>IF(I47&lt;E47,E47/I47-1,I47/E47-1)</f>
        <v>#DIV/0!</v>
      </c>
      <c r="J54" s="835" t="e">
        <f>IF(OR(I54&gt;=0.3,I54&lt;=-0.3),"超过30%","")</f>
        <v>#DIV/0!</v>
      </c>
      <c r="K54" s="2288"/>
      <c r="L54" s="2289"/>
      <c r="M54" s="2290"/>
      <c r="N54" s="2290"/>
      <c r="O54" s="2290"/>
      <c r="P54" s="1385"/>
      <c r="Q54" s="1359"/>
      <c r="R54" s="1359"/>
      <c r="S54" s="1359"/>
      <c r="T54" s="1359"/>
      <c r="U54" s="1359"/>
      <c r="V54" s="1359"/>
      <c r="W54" s="1359"/>
      <c r="X54" s="1359"/>
      <c r="Y54" s="1359"/>
      <c r="Z54" s="1359"/>
      <c r="AA54" s="1359"/>
      <c r="AB54" s="1359"/>
      <c r="AC54" s="1359"/>
    </row>
    <row r="55" spans="1:29" s="117" customFormat="1">
      <c r="A55" s="2290"/>
      <c r="B55" s="2295"/>
      <c r="C55" s="2296"/>
      <c r="D55" s="2290"/>
      <c r="E55" s="2290"/>
      <c r="F55" s="2290"/>
      <c r="G55" s="2290"/>
      <c r="H55" s="2290"/>
      <c r="I55" s="2290"/>
      <c r="J55" s="2290"/>
      <c r="K55" s="2288"/>
      <c r="L55" s="2289"/>
      <c r="M55" s="2290"/>
      <c r="N55" s="2290"/>
      <c r="O55" s="2290"/>
      <c r="P55" s="1385"/>
      <c r="Q55" s="1359"/>
      <c r="R55" s="1359"/>
      <c r="S55" s="1359"/>
      <c r="T55" s="1359"/>
      <c r="U55" s="1359"/>
      <c r="V55" s="1359"/>
      <c r="W55" s="1359"/>
      <c r="X55" s="1359"/>
      <c r="Y55" s="1359"/>
      <c r="Z55" s="1359"/>
      <c r="AA55" s="1359"/>
      <c r="AB55" s="1359"/>
      <c r="AC55" s="1359"/>
    </row>
    <row r="56" spans="1:29">
      <c r="A56" s="2285"/>
      <c r="B56" s="2295"/>
      <c r="C56" s="2296"/>
      <c r="D56" s="2285"/>
      <c r="E56" s="2285"/>
      <c r="F56" s="2285"/>
      <c r="G56" s="2285"/>
      <c r="H56" s="2285"/>
      <c r="I56" s="2285"/>
      <c r="J56" s="2285"/>
      <c r="K56" s="2286"/>
      <c r="L56" s="2287"/>
      <c r="M56" s="2285"/>
      <c r="N56" s="2285"/>
      <c r="O56" s="2285"/>
      <c r="P56" s="212"/>
      <c r="Q56" s="1354"/>
      <c r="R56" s="1354"/>
      <c r="S56" s="1354"/>
      <c r="T56" s="1354"/>
      <c r="U56" s="1354"/>
      <c r="V56" s="1354"/>
      <c r="W56" s="1354"/>
      <c r="X56" s="1354"/>
      <c r="Y56" s="1354"/>
      <c r="Z56" s="1354"/>
      <c r="AA56" s="1354"/>
      <c r="AB56" s="1354"/>
      <c r="AC56" s="1354"/>
    </row>
    <row r="57" spans="1:29" ht="21" thickBot="1">
      <c r="A57" s="1361" t="s">
        <v>1028</v>
      </c>
      <c r="B57" s="1354"/>
      <c r="C57" s="1362"/>
      <c r="D57" s="1362"/>
      <c r="E57" s="1362"/>
      <c r="F57" s="1363"/>
      <c r="G57" s="1363"/>
      <c r="H57" s="1362"/>
      <c r="I57" s="1362"/>
      <c r="J57" s="1362"/>
      <c r="K57" s="1364"/>
      <c r="L57" s="2292"/>
      <c r="M57" s="2293"/>
      <c r="N57" s="2293"/>
      <c r="O57" s="2293"/>
      <c r="P57" s="1386"/>
      <c r="Q57" s="1387"/>
      <c r="R57" s="1354"/>
      <c r="S57" s="1354"/>
      <c r="T57" s="1354"/>
      <c r="U57" s="1354"/>
      <c r="V57" s="1354"/>
      <c r="W57" s="1354"/>
      <c r="X57" s="1354"/>
      <c r="Y57" s="1354"/>
      <c r="Z57" s="1354"/>
      <c r="AA57" s="1354"/>
      <c r="AB57" s="1354"/>
      <c r="AC57" s="1354"/>
    </row>
    <row r="58" spans="1:29" s="843" customFormat="1" ht="15">
      <c r="A58" s="840" t="s">
        <v>2784</v>
      </c>
      <c r="B58" s="841"/>
      <c r="C58" s="3022" t="str">
        <f>YEAR(C7)&amp;"-"&amp;MONTH(C7)</f>
        <v>2017-9</v>
      </c>
      <c r="D58" s="3023">
        <f>EDATE(C58,-1)</f>
        <v>42948</v>
      </c>
      <c r="E58" s="3023">
        <f t="shared" ref="E58:N58" si="16">EDATE(D58,-1)</f>
        <v>42917</v>
      </c>
      <c r="F58" s="3023">
        <f t="shared" si="16"/>
        <v>42887</v>
      </c>
      <c r="G58" s="3023">
        <f t="shared" si="16"/>
        <v>42856</v>
      </c>
      <c r="H58" s="3023">
        <f t="shared" si="16"/>
        <v>42826</v>
      </c>
      <c r="I58" s="3023">
        <f t="shared" si="16"/>
        <v>42795</v>
      </c>
      <c r="J58" s="3023">
        <f t="shared" si="16"/>
        <v>42767</v>
      </c>
      <c r="K58" s="3023">
        <f t="shared" si="16"/>
        <v>42736</v>
      </c>
      <c r="L58" s="3023">
        <f t="shared" si="16"/>
        <v>42705</v>
      </c>
      <c r="M58" s="3023">
        <f t="shared" si="16"/>
        <v>42675</v>
      </c>
      <c r="N58" s="3023">
        <f t="shared" si="16"/>
        <v>42644</v>
      </c>
      <c r="O58" s="3023">
        <f>EDATE(N58,-1)</f>
        <v>42614</v>
      </c>
      <c r="P58" s="3016"/>
    </row>
    <row r="59" spans="1:29" s="40" customFormat="1" ht="14.25">
      <c r="A59" s="1035"/>
      <c r="B59" s="1036"/>
      <c r="C59" s="3020">
        <v>100</v>
      </c>
      <c r="D59" s="847"/>
      <c r="E59" s="847"/>
      <c r="F59" s="847"/>
      <c r="G59" s="847"/>
      <c r="H59" s="847"/>
      <c r="I59" s="847"/>
      <c r="J59" s="847"/>
      <c r="K59" s="847"/>
      <c r="L59" s="847"/>
      <c r="M59" s="848"/>
      <c r="N59" s="847"/>
      <c r="O59" s="848"/>
      <c r="P59" s="1366"/>
    </row>
    <row r="60" spans="1:29" s="40" customFormat="1" ht="15" thickBot="1">
      <c r="A60" s="1037" t="s">
        <v>1029</v>
      </c>
      <c r="B60" s="1038"/>
      <c r="C60" s="852"/>
      <c r="D60" s="853"/>
      <c r="E60" s="853"/>
      <c r="F60" s="853"/>
      <c r="G60" s="853"/>
      <c r="H60" s="853"/>
      <c r="I60" s="853"/>
      <c r="J60" s="853"/>
      <c r="K60" s="853"/>
      <c r="L60" s="853"/>
      <c r="M60" s="854"/>
      <c r="N60" s="853"/>
      <c r="O60" s="854"/>
      <c r="P60" s="1366"/>
      <c r="Q60" s="119"/>
    </row>
    <row r="61" spans="1:29" s="40" customFormat="1">
      <c r="A61" s="1039" t="s">
        <v>1030</v>
      </c>
      <c r="B61" s="1036"/>
      <c r="C61" s="1040" t="s">
        <v>1031</v>
      </c>
      <c r="D61" s="138"/>
      <c r="E61" s="138"/>
      <c r="F61" s="138"/>
      <c r="G61" s="138"/>
      <c r="H61" s="138"/>
      <c r="I61" s="138"/>
      <c r="J61" s="138"/>
      <c r="K61" s="138"/>
      <c r="L61" s="139"/>
      <c r="M61" s="1041"/>
      <c r="N61" s="1377"/>
      <c r="O61" s="1377"/>
      <c r="P61" s="1367"/>
      <c r="Q61" s="119"/>
    </row>
    <row r="62" spans="1:29" s="40" customFormat="1" ht="15" thickBot="1">
      <c r="A62" s="1039"/>
      <c r="B62" s="1036"/>
      <c r="C62" s="846">
        <v>100</v>
      </c>
      <c r="D62" s="847"/>
      <c r="E62" s="847"/>
      <c r="F62" s="847"/>
      <c r="G62" s="847"/>
      <c r="H62" s="847"/>
      <c r="I62" s="847"/>
      <c r="J62" s="847"/>
      <c r="K62" s="847"/>
      <c r="L62" s="847"/>
      <c r="M62" s="849"/>
      <c r="N62" s="1377"/>
      <c r="O62" s="1377"/>
      <c r="P62" s="1366"/>
      <c r="Q62" s="119"/>
    </row>
    <row r="63" spans="1:29">
      <c r="A63" s="170" t="s">
        <v>1032</v>
      </c>
      <c r="B63" s="284" t="s">
        <v>1033</v>
      </c>
      <c r="C63" s="174">
        <f>C9</f>
        <v>0</v>
      </c>
      <c r="D63" s="120"/>
      <c r="E63" s="120"/>
      <c r="F63" s="120"/>
      <c r="G63" s="120"/>
      <c r="H63" s="120"/>
      <c r="I63" s="120"/>
      <c r="J63" s="120"/>
      <c r="K63" s="121"/>
      <c r="L63" s="122"/>
      <c r="M63" s="123"/>
      <c r="N63" s="1378"/>
      <c r="O63" s="1378"/>
      <c r="P63" s="1368"/>
      <c r="Q63" s="119"/>
    </row>
    <row r="64" spans="1:29" ht="15" thickBot="1">
      <c r="A64" s="171"/>
      <c r="B64" s="1043"/>
      <c r="C64" s="871">
        <v>100</v>
      </c>
      <c r="D64" s="871"/>
      <c r="E64" s="871"/>
      <c r="F64" s="871"/>
      <c r="G64" s="871"/>
      <c r="H64" s="871"/>
      <c r="I64" s="871"/>
      <c r="J64" s="871"/>
      <c r="K64" s="871"/>
      <c r="L64" s="871"/>
      <c r="M64" s="872"/>
      <c r="N64" s="1379"/>
      <c r="O64" s="1379"/>
      <c r="P64" s="1368"/>
      <c r="Q64" s="119"/>
    </row>
    <row r="65" spans="1:17" ht="27.75" thickTop="1">
      <c r="A65" s="171"/>
      <c r="B65" s="1044" t="s">
        <v>1034</v>
      </c>
      <c r="C65" s="874" t="s">
        <v>999</v>
      </c>
      <c r="D65" s="874" t="s">
        <v>1000</v>
      </c>
      <c r="E65" s="874" t="s">
        <v>1001</v>
      </c>
      <c r="F65" s="874" t="s">
        <v>1002</v>
      </c>
      <c r="G65" s="874" t="s">
        <v>1003</v>
      </c>
      <c r="H65" s="874" t="s">
        <v>1004</v>
      </c>
      <c r="I65" s="874" t="s">
        <v>1005</v>
      </c>
      <c r="J65" s="874"/>
      <c r="K65" s="875"/>
      <c r="L65" s="876"/>
      <c r="M65" s="877"/>
      <c r="N65" s="1378"/>
      <c r="O65" s="1378"/>
      <c r="P65" s="1368"/>
      <c r="Q65" s="119"/>
    </row>
    <row r="66" spans="1:17" ht="15" thickBot="1">
      <c r="A66" s="171"/>
      <c r="B66" s="1045"/>
      <c r="C66" s="879" t="s">
        <v>138</v>
      </c>
      <c r="D66" s="879" t="s">
        <v>139</v>
      </c>
      <c r="E66" s="879" t="s">
        <v>140</v>
      </c>
      <c r="F66" s="879">
        <v>100</v>
      </c>
      <c r="G66" s="879">
        <f>F66-$K10</f>
        <v>100</v>
      </c>
      <c r="H66" s="879">
        <f>G66-$K10</f>
        <v>100</v>
      </c>
      <c r="I66" s="879">
        <f>H66-$K10</f>
        <v>100</v>
      </c>
      <c r="J66" s="879"/>
      <c r="K66" s="879"/>
      <c r="L66" s="879"/>
      <c r="M66" s="880"/>
      <c r="N66" s="1379"/>
      <c r="O66" s="1379"/>
      <c r="P66" s="1368"/>
      <c r="Q66" s="119"/>
    </row>
    <row r="67" spans="1:17" ht="15" thickTop="1">
      <c r="A67" s="171"/>
      <c r="B67" s="1046" t="s">
        <v>1035</v>
      </c>
      <c r="C67" s="882" t="str">
        <f>C68&amp;"（含）"&amp;"-"&amp;D68</f>
        <v>（含）-</v>
      </c>
      <c r="D67" s="882" t="str">
        <f t="shared" ref="D67:L67" si="17">D68&amp;"（含）"&amp;"-"&amp;E68</f>
        <v>（含）-</v>
      </c>
      <c r="E67" s="882" t="str">
        <f t="shared" si="17"/>
        <v>（含）-</v>
      </c>
      <c r="F67" s="882" t="str">
        <f t="shared" si="17"/>
        <v>（含）-</v>
      </c>
      <c r="G67" s="882" t="str">
        <f t="shared" si="17"/>
        <v>（含）-</v>
      </c>
      <c r="H67" s="882" t="str">
        <f t="shared" si="17"/>
        <v>（含）-</v>
      </c>
      <c r="I67" s="882" t="str">
        <f t="shared" si="17"/>
        <v>（含）-</v>
      </c>
      <c r="J67" s="882" t="str">
        <f t="shared" si="17"/>
        <v>（含）-</v>
      </c>
      <c r="K67" s="882" t="str">
        <f t="shared" si="17"/>
        <v>（含）-</v>
      </c>
      <c r="L67" s="882" t="str">
        <f t="shared" si="17"/>
        <v>（含）-</v>
      </c>
      <c r="M67" s="784" t="str">
        <f>M68&amp;"（含）"&amp;"-"&amp;P68</f>
        <v>（含）-</v>
      </c>
      <c r="N67" s="1379"/>
      <c r="O67" s="1379"/>
      <c r="P67" s="1368"/>
      <c r="Q67" s="119"/>
    </row>
    <row r="68" spans="1:17" ht="14.25">
      <c r="A68" s="171"/>
      <c r="B68" s="1047"/>
      <c r="C68" s="884"/>
      <c r="D68" s="884"/>
      <c r="E68" s="884"/>
      <c r="F68" s="884"/>
      <c r="G68" s="884"/>
      <c r="H68" s="884"/>
      <c r="I68" s="884"/>
      <c r="J68" s="884"/>
      <c r="K68" s="885"/>
      <c r="L68" s="886"/>
      <c r="M68" s="887"/>
      <c r="N68" s="1378"/>
      <c r="O68" s="1378"/>
      <c r="P68" s="1368"/>
      <c r="Q68" s="119"/>
    </row>
    <row r="69" spans="1:17" ht="15" thickBot="1">
      <c r="A69" s="171"/>
      <c r="B69" s="1043"/>
      <c r="C69" s="879">
        <v>100</v>
      </c>
      <c r="D69" s="879">
        <f t="shared" ref="D69:M69" si="18">C69-$K11</f>
        <v>100</v>
      </c>
      <c r="E69" s="879">
        <f t="shared" si="18"/>
        <v>100</v>
      </c>
      <c r="F69" s="879">
        <f t="shared" si="18"/>
        <v>100</v>
      </c>
      <c r="G69" s="879">
        <f t="shared" si="18"/>
        <v>100</v>
      </c>
      <c r="H69" s="879">
        <f t="shared" si="18"/>
        <v>100</v>
      </c>
      <c r="I69" s="879">
        <f t="shared" si="18"/>
        <v>100</v>
      </c>
      <c r="J69" s="879">
        <f t="shared" si="18"/>
        <v>100</v>
      </c>
      <c r="K69" s="879">
        <f t="shared" si="18"/>
        <v>100</v>
      </c>
      <c r="L69" s="879">
        <f t="shared" si="18"/>
        <v>100</v>
      </c>
      <c r="M69" s="880">
        <f t="shared" si="18"/>
        <v>100</v>
      </c>
      <c r="N69" s="1379"/>
      <c r="O69" s="1379"/>
      <c r="P69" s="1368"/>
      <c r="Q69" s="119"/>
    </row>
    <row r="70" spans="1:17" s="1029" customFormat="1" ht="14.25" thickTop="1">
      <c r="A70" s="1048"/>
      <c r="B70" s="1044">
        <f>B12</f>
        <v>111</v>
      </c>
      <c r="C70" s="137"/>
      <c r="D70" s="137"/>
      <c r="E70" s="137"/>
      <c r="F70" s="137"/>
      <c r="G70" s="137"/>
      <c r="H70" s="1049"/>
      <c r="I70" s="1049"/>
      <c r="J70" s="1049"/>
      <c r="K70" s="1049"/>
      <c r="L70" s="1050"/>
      <c r="M70" s="1051"/>
      <c r="N70" s="1380"/>
      <c r="O70" s="1380"/>
      <c r="P70" s="1369"/>
      <c r="Q70" s="1053"/>
    </row>
    <row r="71" spans="1:17" s="1029" customFormat="1" ht="15" thickBot="1">
      <c r="A71" s="1048"/>
      <c r="B71" s="1045"/>
      <c r="C71" s="895"/>
      <c r="D71" s="871"/>
      <c r="E71" s="871"/>
      <c r="F71" s="871"/>
      <c r="G71" s="871"/>
      <c r="H71" s="871"/>
      <c r="I71" s="871"/>
      <c r="J71" s="871"/>
      <c r="K71" s="871"/>
      <c r="L71" s="871"/>
      <c r="M71" s="872"/>
      <c r="N71" s="1379"/>
      <c r="O71" s="1379"/>
      <c r="P71" s="1369"/>
      <c r="Q71" s="1053"/>
    </row>
    <row r="72" spans="1:17" s="1029" customFormat="1" ht="14.25" thickTop="1">
      <c r="A72" s="1048"/>
      <c r="B72" s="1044">
        <f>B13</f>
        <v>111</v>
      </c>
      <c r="C72" s="137"/>
      <c r="D72" s="137"/>
      <c r="E72" s="137"/>
      <c r="F72" s="137"/>
      <c r="G72" s="137"/>
      <c r="H72" s="1049"/>
      <c r="I72" s="1049"/>
      <c r="J72" s="1049"/>
      <c r="K72" s="1049"/>
      <c r="L72" s="1050"/>
      <c r="M72" s="1051"/>
      <c r="N72" s="1380"/>
      <c r="O72" s="1380"/>
      <c r="P72" s="1370"/>
      <c r="Q72" s="1055"/>
    </row>
    <row r="73" spans="1:17" s="1029" customFormat="1" ht="15" thickBot="1">
      <c r="A73" s="1048"/>
      <c r="B73" s="1045"/>
      <c r="C73" s="895"/>
      <c r="D73" s="871"/>
      <c r="E73" s="871"/>
      <c r="F73" s="871"/>
      <c r="G73" s="895"/>
      <c r="H73" s="897"/>
      <c r="I73" s="897"/>
      <c r="J73" s="897"/>
      <c r="K73" s="897"/>
      <c r="L73" s="897"/>
      <c r="M73" s="898"/>
      <c r="N73" s="1380"/>
      <c r="O73" s="1380"/>
      <c r="P73" s="1369"/>
      <c r="Q73" s="1053"/>
    </row>
    <row r="74" spans="1:17" s="1029" customFormat="1" ht="14.25" thickTop="1">
      <c r="A74" s="1048"/>
      <c r="B74" s="1046">
        <f>B14</f>
        <v>111</v>
      </c>
      <c r="C74" s="137"/>
      <c r="D74" s="137"/>
      <c r="E74" s="137"/>
      <c r="F74" s="137"/>
      <c r="G74" s="138"/>
      <c r="H74" s="1056"/>
      <c r="I74" s="1056"/>
      <c r="J74" s="1056"/>
      <c r="K74" s="1056"/>
      <c r="L74" s="1057"/>
      <c r="M74" s="1058"/>
      <c r="N74" s="1380"/>
      <c r="O74" s="1380"/>
      <c r="P74" s="1371"/>
      <c r="Q74" s="1053"/>
    </row>
    <row r="75" spans="1:17" s="1029" customFormat="1" ht="15" thickBot="1">
      <c r="A75" s="1060"/>
      <c r="B75" s="1061"/>
      <c r="C75" s="905"/>
      <c r="D75" s="905"/>
      <c r="E75" s="905"/>
      <c r="F75" s="905"/>
      <c r="G75" s="905"/>
      <c r="H75" s="906"/>
      <c r="I75" s="906"/>
      <c r="J75" s="906"/>
      <c r="K75" s="906"/>
      <c r="L75" s="906"/>
      <c r="M75" s="907"/>
      <c r="N75" s="1380"/>
      <c r="O75" s="1380"/>
      <c r="P75" s="1369"/>
      <c r="Q75" s="1053"/>
    </row>
    <row r="76" spans="1:17" ht="14.25">
      <c r="A76" s="170" t="s">
        <v>1036</v>
      </c>
      <c r="B76" s="284" t="s">
        <v>1037</v>
      </c>
      <c r="C76" s="908" t="s">
        <v>1006</v>
      </c>
      <c r="D76" s="908" t="s">
        <v>1007</v>
      </c>
      <c r="E76" s="908" t="s">
        <v>1008</v>
      </c>
      <c r="F76" s="908" t="s">
        <v>1009</v>
      </c>
      <c r="G76" s="908" t="s">
        <v>1010</v>
      </c>
      <c r="H76" s="864"/>
      <c r="I76" s="864"/>
      <c r="J76" s="864"/>
      <c r="K76" s="909"/>
      <c r="L76" s="910"/>
      <c r="M76" s="911"/>
      <c r="N76" s="1378"/>
      <c r="O76" s="1378"/>
      <c r="P76" s="1372"/>
      <c r="Q76" s="119"/>
    </row>
    <row r="77" spans="1:17" ht="15" thickBot="1">
      <c r="A77" s="171"/>
      <c r="B77" s="1045"/>
      <c r="C77" s="879">
        <v>100</v>
      </c>
      <c r="D77" s="879">
        <f>C77-$K15</f>
        <v>100</v>
      </c>
      <c r="E77" s="879">
        <f>D77-$K15</f>
        <v>100</v>
      </c>
      <c r="F77" s="879">
        <f>E77-$K15</f>
        <v>100</v>
      </c>
      <c r="G77" s="879">
        <f>F77-$K15</f>
        <v>100</v>
      </c>
      <c r="H77" s="879"/>
      <c r="I77" s="879"/>
      <c r="J77" s="879"/>
      <c r="K77" s="879"/>
      <c r="L77" s="879"/>
      <c r="M77" s="880"/>
      <c r="N77" s="1379"/>
      <c r="O77" s="1379"/>
      <c r="P77" s="1368"/>
      <c r="Q77" s="119"/>
    </row>
    <row r="78" spans="1:17" ht="15" thickTop="1">
      <c r="A78" s="171"/>
      <c r="B78" s="1044" t="s">
        <v>1043</v>
      </c>
      <c r="C78" s="913" t="s">
        <v>422</v>
      </c>
      <c r="D78" s="913" t="s">
        <v>423</v>
      </c>
      <c r="E78" s="913" t="s">
        <v>424</v>
      </c>
      <c r="F78" s="913" t="s">
        <v>425</v>
      </c>
      <c r="G78" s="913" t="s">
        <v>426</v>
      </c>
      <c r="H78" s="874"/>
      <c r="I78" s="874"/>
      <c r="J78" s="874"/>
      <c r="K78" s="875"/>
      <c r="L78" s="876"/>
      <c r="M78" s="877"/>
      <c r="N78" s="1378"/>
      <c r="O78" s="1378"/>
      <c r="P78" s="1368"/>
      <c r="Q78" s="119"/>
    </row>
    <row r="79" spans="1:17" ht="15" thickBot="1">
      <c r="A79" s="171"/>
      <c r="B79" s="1045"/>
      <c r="C79" s="879">
        <v>100</v>
      </c>
      <c r="D79" s="879">
        <f>C79-$K17</f>
        <v>100</v>
      </c>
      <c r="E79" s="879">
        <f>D79-$K17</f>
        <v>100</v>
      </c>
      <c r="F79" s="879">
        <f>E79-$K17</f>
        <v>100</v>
      </c>
      <c r="G79" s="879">
        <f>F79-$K17</f>
        <v>100</v>
      </c>
      <c r="H79" s="879"/>
      <c r="I79" s="879"/>
      <c r="J79" s="879"/>
      <c r="K79" s="879"/>
      <c r="L79" s="879"/>
      <c r="M79" s="880"/>
      <c r="N79" s="1379"/>
      <c r="O79" s="1379"/>
      <c r="P79" s="1368"/>
      <c r="Q79" s="119"/>
    </row>
    <row r="80" spans="1:17" ht="15" thickTop="1">
      <c r="A80" s="171"/>
      <c r="B80" s="1044" t="s">
        <v>2628</v>
      </c>
      <c r="C80" s="913" t="s">
        <v>422</v>
      </c>
      <c r="D80" s="913" t="s">
        <v>423</v>
      </c>
      <c r="E80" s="913" t="s">
        <v>424</v>
      </c>
      <c r="F80" s="913" t="s">
        <v>425</v>
      </c>
      <c r="G80" s="913" t="s">
        <v>426</v>
      </c>
      <c r="H80" s="874"/>
      <c r="I80" s="874"/>
      <c r="J80" s="874"/>
      <c r="K80" s="875"/>
      <c r="L80" s="876"/>
      <c r="M80" s="877"/>
      <c r="N80" s="1378"/>
      <c r="O80" s="1378"/>
      <c r="P80" s="1368"/>
      <c r="Q80" s="119"/>
    </row>
    <row r="81" spans="1:17" ht="15" thickBot="1">
      <c r="A81" s="171"/>
      <c r="B81" s="1045"/>
      <c r="C81" s="879">
        <v>100</v>
      </c>
      <c r="D81" s="879">
        <f>C81-$K19</f>
        <v>100</v>
      </c>
      <c r="E81" s="879">
        <f>D81-$K19</f>
        <v>100</v>
      </c>
      <c r="F81" s="879">
        <f>E81-$K19</f>
        <v>100</v>
      </c>
      <c r="G81" s="879">
        <f>F81-$K19</f>
        <v>100</v>
      </c>
      <c r="H81" s="879"/>
      <c r="I81" s="879"/>
      <c r="J81" s="879"/>
      <c r="K81" s="879"/>
      <c r="L81" s="879"/>
      <c r="M81" s="880"/>
      <c r="N81" s="1379"/>
      <c r="O81" s="1379"/>
      <c r="P81" s="1368"/>
      <c r="Q81" s="119"/>
    </row>
    <row r="82" spans="1:17" ht="15" thickTop="1">
      <c r="A82" s="171"/>
      <c r="B82" s="1046" t="s">
        <v>2647</v>
      </c>
      <c r="C82" s="211" t="s">
        <v>2648</v>
      </c>
      <c r="D82" s="211" t="s">
        <v>2649</v>
      </c>
      <c r="E82" s="211" t="s">
        <v>2650</v>
      </c>
      <c r="F82" s="211" t="s">
        <v>2651</v>
      </c>
      <c r="G82" s="211" t="s">
        <v>2652</v>
      </c>
      <c r="H82" s="874"/>
      <c r="I82" s="874"/>
      <c r="J82" s="874"/>
      <c r="K82" s="874"/>
      <c r="L82" s="874"/>
      <c r="M82" s="2746"/>
      <c r="N82" s="1379"/>
      <c r="O82" s="1379"/>
      <c r="P82" s="1368"/>
      <c r="Q82" s="119"/>
    </row>
    <row r="83" spans="1:17" ht="15" thickBot="1">
      <c r="A83" s="171"/>
      <c r="B83" s="1046"/>
      <c r="C83" s="879">
        <v>100</v>
      </c>
      <c r="D83" s="879">
        <f>C83-$K21</f>
        <v>100</v>
      </c>
      <c r="E83" s="879">
        <f t="shared" ref="E83:G83" si="19">D83-$K21</f>
        <v>100</v>
      </c>
      <c r="F83" s="879">
        <f t="shared" si="19"/>
        <v>100</v>
      </c>
      <c r="G83" s="879">
        <f t="shared" si="19"/>
        <v>100</v>
      </c>
      <c r="H83" s="995"/>
      <c r="I83" s="995"/>
      <c r="J83" s="995"/>
      <c r="K83" s="995"/>
      <c r="L83" s="995"/>
      <c r="M83" s="786"/>
      <c r="N83" s="1379"/>
      <c r="O83" s="1379"/>
      <c r="P83" s="1368"/>
      <c r="Q83" s="119"/>
    </row>
    <row r="84" spans="1:17" ht="15" thickTop="1">
      <c r="A84" s="171"/>
      <c r="B84" s="1044" t="s">
        <v>1044</v>
      </c>
      <c r="C84" s="913" t="s">
        <v>422</v>
      </c>
      <c r="D84" s="913" t="s">
        <v>423</v>
      </c>
      <c r="E84" s="913" t="s">
        <v>424</v>
      </c>
      <c r="F84" s="913" t="s">
        <v>425</v>
      </c>
      <c r="G84" s="913" t="s">
        <v>426</v>
      </c>
      <c r="H84" s="874"/>
      <c r="I84" s="874"/>
      <c r="J84" s="874"/>
      <c r="K84" s="875"/>
      <c r="L84" s="876"/>
      <c r="M84" s="877"/>
      <c r="N84" s="1378"/>
      <c r="O84" s="1378"/>
      <c r="P84" s="1368"/>
      <c r="Q84" s="119"/>
    </row>
    <row r="85" spans="1:17" ht="15" thickBot="1">
      <c r="A85" s="171"/>
      <c r="B85" s="1045"/>
      <c r="C85" s="879">
        <v>100</v>
      </c>
      <c r="D85" s="879">
        <f>C85-$K23</f>
        <v>100</v>
      </c>
      <c r="E85" s="879">
        <f>D85-$K23</f>
        <v>100</v>
      </c>
      <c r="F85" s="879">
        <f>E85-$K23</f>
        <v>100</v>
      </c>
      <c r="G85" s="879">
        <f>F85-$K23</f>
        <v>100</v>
      </c>
      <c r="H85" s="879"/>
      <c r="I85" s="879"/>
      <c r="J85" s="879"/>
      <c r="K85" s="879"/>
      <c r="L85" s="879"/>
      <c r="M85" s="880"/>
      <c r="N85" s="1379"/>
      <c r="O85" s="1379"/>
      <c r="P85" s="1368"/>
      <c r="Q85" s="119"/>
    </row>
    <row r="86" spans="1:17" s="40" customFormat="1" ht="14.25" thickTop="1">
      <c r="A86" s="1062"/>
      <c r="B86" s="1044" t="s">
        <v>1045</v>
      </c>
      <c r="C86" s="137"/>
      <c r="D86" s="137"/>
      <c r="E86" s="137"/>
      <c r="F86" s="137"/>
      <c r="G86" s="137"/>
      <c r="H86" s="137"/>
      <c r="I86" s="137"/>
      <c r="J86" s="137"/>
      <c r="K86" s="137"/>
      <c r="L86" s="1373"/>
      <c r="M86" s="1374"/>
      <c r="N86" s="1377"/>
      <c r="O86" s="1377"/>
      <c r="P86" s="1368"/>
      <c r="Q86" s="119"/>
    </row>
    <row r="87" spans="1:17" s="40" customFormat="1" ht="15" thickBot="1">
      <c r="A87" s="1062"/>
      <c r="B87" s="1045"/>
      <c r="C87" s="917">
        <v>100</v>
      </c>
      <c r="D87" s="879">
        <f t="shared" ref="D87:M87" si="20">C87-$K25</f>
        <v>100</v>
      </c>
      <c r="E87" s="879">
        <f t="shared" si="20"/>
        <v>100</v>
      </c>
      <c r="F87" s="879">
        <f t="shared" si="20"/>
        <v>100</v>
      </c>
      <c r="G87" s="879">
        <f t="shared" si="20"/>
        <v>100</v>
      </c>
      <c r="H87" s="879">
        <f t="shared" si="20"/>
        <v>100</v>
      </c>
      <c r="I87" s="879">
        <f t="shared" si="20"/>
        <v>100</v>
      </c>
      <c r="J87" s="879">
        <f t="shared" si="20"/>
        <v>100</v>
      </c>
      <c r="K87" s="879">
        <f t="shared" si="20"/>
        <v>100</v>
      </c>
      <c r="L87" s="879">
        <f t="shared" si="20"/>
        <v>100</v>
      </c>
      <c r="M87" s="879">
        <f t="shared" si="20"/>
        <v>100</v>
      </c>
      <c r="N87" s="1379"/>
      <c r="O87" s="1379"/>
      <c r="P87" s="1368"/>
      <c r="Q87" s="119"/>
    </row>
    <row r="88" spans="1:17" s="40" customFormat="1" ht="14.25" thickTop="1">
      <c r="A88" s="1062"/>
      <c r="B88" s="1044" t="str">
        <f>B26</f>
        <v>平面位置/可视性</v>
      </c>
      <c r="C88" s="137"/>
      <c r="D88" s="137"/>
      <c r="E88" s="137"/>
      <c r="F88" s="1375"/>
      <c r="G88" s="137"/>
      <c r="H88" s="137"/>
      <c r="I88" s="137"/>
      <c r="J88" s="137"/>
      <c r="K88" s="137"/>
      <c r="L88" s="137"/>
      <c r="M88" s="1374"/>
      <c r="N88" s="1377"/>
      <c r="O88" s="1377"/>
      <c r="P88" s="1368"/>
      <c r="Q88" s="119"/>
    </row>
    <row r="89" spans="1:17" s="40" customFormat="1" ht="15" thickBot="1">
      <c r="A89" s="1062"/>
      <c r="B89" s="1045"/>
      <c r="C89" s="895"/>
      <c r="D89" s="871"/>
      <c r="E89" s="871"/>
      <c r="F89" s="871"/>
      <c r="G89" s="871"/>
      <c r="H89" s="871"/>
      <c r="I89" s="871"/>
      <c r="J89" s="871"/>
      <c r="K89" s="871"/>
      <c r="L89" s="871"/>
      <c r="M89" s="871"/>
      <c r="N89" s="1379"/>
      <c r="O89" s="1379"/>
      <c r="P89" s="1368"/>
      <c r="Q89" s="119"/>
    </row>
    <row r="90" spans="1:17" s="1029" customFormat="1" ht="14.25" thickTop="1">
      <c r="A90" s="1048"/>
      <c r="B90" s="1044" t="str">
        <f>B27</f>
        <v>人流量</v>
      </c>
      <c r="C90" s="137"/>
      <c r="D90" s="137"/>
      <c r="E90" s="137"/>
      <c r="F90" s="137"/>
      <c r="G90" s="137"/>
      <c r="H90" s="1049"/>
      <c r="I90" s="1049"/>
      <c r="J90" s="1049"/>
      <c r="K90" s="1049"/>
      <c r="L90" s="1050"/>
      <c r="M90" s="1051"/>
      <c r="N90" s="1380"/>
      <c r="O90" s="1380"/>
      <c r="P90" s="1369"/>
      <c r="Q90" s="1053"/>
    </row>
    <row r="91" spans="1:17" s="1029" customFormat="1" ht="15" thickBot="1">
      <c r="A91" s="1048"/>
      <c r="B91" s="1045"/>
      <c r="C91" s="917">
        <v>100</v>
      </c>
      <c r="D91" s="879">
        <f>C91-$K27</f>
        <v>100</v>
      </c>
      <c r="E91" s="879">
        <f t="shared" ref="E91:M91" si="21">D91-$K27</f>
        <v>100</v>
      </c>
      <c r="F91" s="879">
        <f t="shared" si="21"/>
        <v>100</v>
      </c>
      <c r="G91" s="879">
        <f t="shared" si="21"/>
        <v>100</v>
      </c>
      <c r="H91" s="879">
        <f t="shared" si="21"/>
        <v>100</v>
      </c>
      <c r="I91" s="879">
        <f t="shared" si="21"/>
        <v>100</v>
      </c>
      <c r="J91" s="879">
        <f t="shared" si="21"/>
        <v>100</v>
      </c>
      <c r="K91" s="879">
        <f t="shared" si="21"/>
        <v>100</v>
      </c>
      <c r="L91" s="879">
        <f t="shared" si="21"/>
        <v>100</v>
      </c>
      <c r="M91" s="879">
        <f t="shared" si="21"/>
        <v>100</v>
      </c>
      <c r="N91" s="1380"/>
      <c r="O91" s="1380"/>
      <c r="P91" s="1369"/>
      <c r="Q91" s="1053"/>
    </row>
    <row r="92" spans="1:17" ht="14.25" thickTop="1">
      <c r="A92" s="171"/>
      <c r="B92" s="1044" t="str">
        <f>B28</f>
        <v>楼层</v>
      </c>
      <c r="C92" s="137"/>
      <c r="D92" s="137"/>
      <c r="E92" s="137"/>
      <c r="F92" s="137"/>
      <c r="G92" s="137"/>
      <c r="H92" s="137"/>
      <c r="I92" s="137"/>
      <c r="J92" s="137"/>
      <c r="K92" s="137"/>
      <c r="L92" s="1373"/>
      <c r="M92" s="1374"/>
      <c r="N92" s="1378"/>
      <c r="O92" s="1378"/>
      <c r="P92" s="1368"/>
      <c r="Q92" s="119"/>
    </row>
    <row r="93" spans="1:17" ht="15" thickBot="1">
      <c r="A93" s="171"/>
      <c r="B93" s="1045"/>
      <c r="C93" s="871"/>
      <c r="D93" s="871"/>
      <c r="E93" s="871"/>
      <c r="F93" s="871"/>
      <c r="G93" s="871"/>
      <c r="H93" s="871"/>
      <c r="I93" s="871"/>
      <c r="J93" s="871"/>
      <c r="K93" s="871"/>
      <c r="L93" s="871"/>
      <c r="M93" s="872"/>
      <c r="N93" s="1379"/>
      <c r="O93" s="1379"/>
      <c r="P93" s="1368"/>
      <c r="Q93" s="119"/>
    </row>
    <row r="94" spans="1:17" ht="14.25" thickTop="1">
      <c r="A94" s="171"/>
      <c r="B94" s="1044">
        <f>B29</f>
        <v>111</v>
      </c>
      <c r="C94" s="137"/>
      <c r="D94" s="137"/>
      <c r="E94" s="137"/>
      <c r="F94" s="137"/>
      <c r="G94" s="129"/>
      <c r="H94" s="129"/>
      <c r="I94" s="129"/>
      <c r="J94" s="129"/>
      <c r="K94" s="130"/>
      <c r="L94" s="131"/>
      <c r="M94" s="132"/>
      <c r="N94" s="1378"/>
      <c r="O94" s="1378"/>
      <c r="P94" s="1368"/>
      <c r="Q94" s="119"/>
    </row>
    <row r="95" spans="1:17" ht="15" thickBot="1">
      <c r="A95" s="171"/>
      <c r="B95" s="1045"/>
      <c r="C95" s="895"/>
      <c r="D95" s="871"/>
      <c r="E95" s="871"/>
      <c r="F95" s="871"/>
      <c r="G95" s="871"/>
      <c r="H95" s="871"/>
      <c r="I95" s="871"/>
      <c r="J95" s="871"/>
      <c r="K95" s="871"/>
      <c r="L95" s="871"/>
      <c r="M95" s="872"/>
      <c r="N95" s="1379"/>
      <c r="O95" s="1379"/>
      <c r="P95" s="1368"/>
      <c r="Q95" s="119"/>
    </row>
    <row r="96" spans="1:17" ht="14.25" thickTop="1">
      <c r="A96" s="171"/>
      <c r="B96" s="1044">
        <f>B30</f>
        <v>111</v>
      </c>
      <c r="C96" s="137"/>
      <c r="D96" s="137"/>
      <c r="E96" s="137"/>
      <c r="F96" s="137"/>
      <c r="G96" s="129"/>
      <c r="H96" s="129"/>
      <c r="I96" s="129"/>
      <c r="J96" s="129"/>
      <c r="K96" s="130"/>
      <c r="L96" s="131"/>
      <c r="M96" s="132"/>
      <c r="N96" s="1378"/>
      <c r="O96" s="1378"/>
      <c r="P96" s="1368"/>
      <c r="Q96" s="119"/>
    </row>
    <row r="97" spans="1:17" ht="15" thickBot="1">
      <c r="A97" s="171"/>
      <c r="B97" s="1045"/>
      <c r="C97" s="895"/>
      <c r="D97" s="871"/>
      <c r="E97" s="871"/>
      <c r="F97" s="871"/>
      <c r="G97" s="871"/>
      <c r="H97" s="871"/>
      <c r="I97" s="871"/>
      <c r="J97" s="871"/>
      <c r="K97" s="871"/>
      <c r="L97" s="871"/>
      <c r="M97" s="872"/>
      <c r="N97" s="1379"/>
      <c r="O97" s="1379"/>
      <c r="P97" s="1368"/>
      <c r="Q97" s="119"/>
    </row>
    <row r="98" spans="1:17" ht="14.25" thickTop="1">
      <c r="A98" s="171"/>
      <c r="B98" s="1046">
        <f>B31</f>
        <v>111</v>
      </c>
      <c r="C98" s="137"/>
      <c r="D98" s="137"/>
      <c r="E98" s="137"/>
      <c r="F98" s="137"/>
      <c r="G98" s="133"/>
      <c r="H98" s="133"/>
      <c r="I98" s="133"/>
      <c r="J98" s="133"/>
      <c r="K98" s="134"/>
      <c r="L98" s="135"/>
      <c r="M98" s="136"/>
      <c r="N98" s="1378"/>
      <c r="O98" s="1378"/>
      <c r="P98" s="1368"/>
      <c r="Q98" s="119"/>
    </row>
    <row r="99" spans="1:17" ht="15" thickBot="1">
      <c r="A99" s="172"/>
      <c r="B99" s="1061"/>
      <c r="C99" s="905"/>
      <c r="D99" s="905"/>
      <c r="E99" s="905"/>
      <c r="F99" s="905"/>
      <c r="G99" s="926"/>
      <c r="H99" s="926"/>
      <c r="I99" s="926"/>
      <c r="J99" s="926"/>
      <c r="K99" s="926"/>
      <c r="L99" s="926"/>
      <c r="M99" s="927"/>
      <c r="N99" s="1379"/>
      <c r="O99" s="1379"/>
      <c r="P99" s="1368"/>
      <c r="Q99" s="119"/>
    </row>
    <row r="100" spans="1:17">
      <c r="A100" s="170" t="s">
        <v>1046</v>
      </c>
      <c r="B100" s="284" t="s">
        <v>1047</v>
      </c>
      <c r="C100" s="120"/>
      <c r="D100" s="120"/>
      <c r="E100" s="120"/>
      <c r="F100" s="120"/>
      <c r="G100" s="120"/>
      <c r="H100" s="120"/>
      <c r="I100" s="120"/>
      <c r="J100" s="120"/>
      <c r="K100" s="121"/>
      <c r="L100" s="122"/>
      <c r="M100" s="123"/>
      <c r="N100" s="1378"/>
      <c r="O100" s="1378"/>
      <c r="P100" s="1368"/>
      <c r="Q100" s="119"/>
    </row>
    <row r="101" spans="1:17" ht="15" thickBot="1">
      <c r="A101" s="171"/>
      <c r="B101" s="1045"/>
      <c r="C101" s="879">
        <v>100</v>
      </c>
      <c r="D101" s="879">
        <f t="shared" ref="D101:M101" si="22">C101-$K32</f>
        <v>100</v>
      </c>
      <c r="E101" s="879">
        <f t="shared" si="22"/>
        <v>100</v>
      </c>
      <c r="F101" s="879">
        <f t="shared" si="22"/>
        <v>100</v>
      </c>
      <c r="G101" s="879">
        <f t="shared" si="22"/>
        <v>100</v>
      </c>
      <c r="H101" s="879">
        <f t="shared" si="22"/>
        <v>100</v>
      </c>
      <c r="I101" s="879">
        <f t="shared" si="22"/>
        <v>100</v>
      </c>
      <c r="J101" s="879">
        <f t="shared" si="22"/>
        <v>100</v>
      </c>
      <c r="K101" s="879">
        <f t="shared" si="22"/>
        <v>100</v>
      </c>
      <c r="L101" s="879">
        <f t="shared" si="22"/>
        <v>100</v>
      </c>
      <c r="M101" s="880">
        <f t="shared" si="22"/>
        <v>100</v>
      </c>
      <c r="N101" s="1379"/>
      <c r="O101" s="1379"/>
      <c r="P101" s="1368"/>
      <c r="Q101" s="119"/>
    </row>
    <row r="102" spans="1:17" ht="15" thickTop="1">
      <c r="A102" s="171"/>
      <c r="B102" s="1044" t="s">
        <v>1048</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1377"/>
      <c r="O102" s="1377"/>
      <c r="P102" s="1368"/>
      <c r="Q102" s="119"/>
    </row>
    <row r="103" spans="1:17" s="1029" customFormat="1" ht="14.25">
      <c r="A103" s="1063"/>
      <c r="B103" s="1064"/>
      <c r="C103" s="930"/>
      <c r="D103" s="930"/>
      <c r="E103" s="930"/>
      <c r="F103" s="930"/>
      <c r="G103" s="930"/>
      <c r="H103" s="930"/>
      <c r="I103" s="930"/>
      <c r="J103" s="931"/>
      <c r="K103" s="931"/>
      <c r="L103" s="932"/>
      <c r="M103" s="933"/>
      <c r="N103" s="1380"/>
      <c r="O103" s="1380"/>
      <c r="P103" s="1369"/>
      <c r="Q103" s="1053"/>
    </row>
    <row r="104" spans="1:17" s="1029" customFormat="1" ht="15" thickBot="1">
      <c r="A104" s="1048"/>
      <c r="B104" s="1045"/>
      <c r="C104" s="895"/>
      <c r="D104" s="871"/>
      <c r="E104" s="871"/>
      <c r="F104" s="871"/>
      <c r="G104" s="871"/>
      <c r="H104" s="871"/>
      <c r="I104" s="871"/>
      <c r="J104" s="871"/>
      <c r="K104" s="871"/>
      <c r="L104" s="871"/>
      <c r="M104" s="872"/>
      <c r="N104" s="1379"/>
      <c r="O104" s="1379"/>
      <c r="P104" s="1369"/>
      <c r="Q104" s="1053"/>
    </row>
    <row r="105" spans="1:17" ht="14.25" thickTop="1">
      <c r="A105" s="173"/>
      <c r="B105" s="1044" t="s">
        <v>1049</v>
      </c>
      <c r="C105" s="137"/>
      <c r="D105" s="137"/>
      <c r="E105" s="129"/>
      <c r="F105" s="129"/>
      <c r="G105" s="129"/>
      <c r="H105" s="129"/>
      <c r="I105" s="129"/>
      <c r="J105" s="129"/>
      <c r="K105" s="130"/>
      <c r="L105" s="131"/>
      <c r="M105" s="132"/>
      <c r="N105" s="1378"/>
      <c r="O105" s="1378"/>
      <c r="P105" s="1368"/>
      <c r="Q105" s="119"/>
    </row>
    <row r="106" spans="1:17" ht="15" thickBot="1">
      <c r="A106" s="171"/>
      <c r="B106" s="1045"/>
      <c r="C106" s="879">
        <v>100</v>
      </c>
      <c r="D106" s="879">
        <f t="shared" ref="D106:M106" si="24">C106-$K34</f>
        <v>100</v>
      </c>
      <c r="E106" s="879">
        <f t="shared" si="24"/>
        <v>100</v>
      </c>
      <c r="F106" s="879">
        <f t="shared" si="24"/>
        <v>100</v>
      </c>
      <c r="G106" s="879">
        <f t="shared" si="24"/>
        <v>100</v>
      </c>
      <c r="H106" s="879">
        <f t="shared" si="24"/>
        <v>100</v>
      </c>
      <c r="I106" s="879">
        <f t="shared" si="24"/>
        <v>100</v>
      </c>
      <c r="J106" s="879">
        <f t="shared" si="24"/>
        <v>100</v>
      </c>
      <c r="K106" s="879">
        <f t="shared" si="24"/>
        <v>100</v>
      </c>
      <c r="L106" s="879">
        <f t="shared" si="24"/>
        <v>100</v>
      </c>
      <c r="M106" s="880">
        <f t="shared" si="24"/>
        <v>100</v>
      </c>
      <c r="N106" s="1379"/>
      <c r="O106" s="1379"/>
      <c r="P106" s="1368"/>
      <c r="Q106" s="119"/>
    </row>
    <row r="107" spans="1:17" ht="14.25" thickTop="1">
      <c r="A107" s="173"/>
      <c r="B107" s="1044" t="s">
        <v>1050</v>
      </c>
      <c r="C107" s="137"/>
      <c r="D107" s="137"/>
      <c r="E107" s="137"/>
      <c r="F107" s="129"/>
      <c r="G107" s="129"/>
      <c r="H107" s="129"/>
      <c r="I107" s="129"/>
      <c r="J107" s="129"/>
      <c r="K107" s="130"/>
      <c r="L107" s="131"/>
      <c r="M107" s="132"/>
      <c r="N107" s="1378"/>
      <c r="O107" s="1378"/>
      <c r="P107" s="1368"/>
      <c r="Q107" s="119"/>
    </row>
    <row r="108" spans="1:17" ht="15" thickBot="1">
      <c r="A108" s="171"/>
      <c r="B108" s="1045"/>
      <c r="C108" s="879">
        <v>100</v>
      </c>
      <c r="D108" s="879">
        <f t="shared" ref="D108:M108" si="25">C108-$K35</f>
        <v>100</v>
      </c>
      <c r="E108" s="879">
        <f t="shared" si="25"/>
        <v>100</v>
      </c>
      <c r="F108" s="879">
        <f t="shared" si="25"/>
        <v>100</v>
      </c>
      <c r="G108" s="879">
        <f t="shared" si="25"/>
        <v>100</v>
      </c>
      <c r="H108" s="879">
        <f t="shared" si="25"/>
        <v>100</v>
      </c>
      <c r="I108" s="879">
        <f t="shared" si="25"/>
        <v>100</v>
      </c>
      <c r="J108" s="879">
        <f t="shared" si="25"/>
        <v>100</v>
      </c>
      <c r="K108" s="879">
        <f t="shared" si="25"/>
        <v>100</v>
      </c>
      <c r="L108" s="879">
        <f t="shared" si="25"/>
        <v>100</v>
      </c>
      <c r="M108" s="880">
        <f t="shared" si="25"/>
        <v>100</v>
      </c>
      <c r="N108" s="1379"/>
      <c r="O108" s="1379"/>
      <c r="P108" s="1368"/>
      <c r="Q108" s="119"/>
    </row>
    <row r="109" spans="1:17" ht="15" thickTop="1">
      <c r="A109" s="173"/>
      <c r="B109" s="1044" t="s">
        <v>1051</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129"/>
      <c r="J109" s="129"/>
      <c r="K109" s="130"/>
      <c r="L109" s="131"/>
      <c r="M109" s="132"/>
      <c r="N109" s="1378"/>
      <c r="O109" s="1378"/>
      <c r="P109" s="1368"/>
      <c r="Q109" s="119"/>
    </row>
    <row r="110" spans="1:17" ht="14.25">
      <c r="A110" s="173"/>
      <c r="B110" s="1046"/>
      <c r="C110" s="938">
        <v>0.5</v>
      </c>
      <c r="D110" s="938">
        <v>0.6</v>
      </c>
      <c r="E110" s="938">
        <v>0.7</v>
      </c>
      <c r="F110" s="938">
        <v>0.8</v>
      </c>
      <c r="G110" s="938">
        <v>0.9</v>
      </c>
      <c r="H110" s="938">
        <v>1.0001</v>
      </c>
      <c r="I110" s="181"/>
      <c r="J110" s="181"/>
      <c r="K110" s="182"/>
      <c r="L110" s="183"/>
      <c r="M110" s="184"/>
      <c r="N110" s="1378"/>
      <c r="O110" s="1378"/>
      <c r="P110" s="1368"/>
      <c r="Q110" s="119"/>
    </row>
    <row r="111" spans="1:17" ht="15" thickBot="1">
      <c r="A111" s="171"/>
      <c r="B111" s="1045"/>
      <c r="C111" s="917">
        <v>100</v>
      </c>
      <c r="D111" s="879">
        <f>C111+$K36</f>
        <v>100</v>
      </c>
      <c r="E111" s="879">
        <f t="shared" ref="E111:M111" si="26">D111+$K36</f>
        <v>100</v>
      </c>
      <c r="F111" s="879">
        <f t="shared" si="26"/>
        <v>100</v>
      </c>
      <c r="G111" s="879">
        <f t="shared" si="26"/>
        <v>100</v>
      </c>
      <c r="H111" s="879">
        <f t="shared" si="26"/>
        <v>100</v>
      </c>
      <c r="I111" s="879">
        <f t="shared" si="26"/>
        <v>100</v>
      </c>
      <c r="J111" s="879">
        <f t="shared" si="26"/>
        <v>100</v>
      </c>
      <c r="K111" s="879">
        <f t="shared" si="26"/>
        <v>100</v>
      </c>
      <c r="L111" s="879">
        <f t="shared" si="26"/>
        <v>100</v>
      </c>
      <c r="M111" s="879">
        <f t="shared" si="26"/>
        <v>100</v>
      </c>
      <c r="N111" s="1379"/>
      <c r="O111" s="1379"/>
      <c r="P111" s="1368"/>
      <c r="Q111" s="119"/>
    </row>
    <row r="112" spans="1:17" s="1029" customFormat="1" ht="14.25" thickTop="1">
      <c r="A112" s="1063"/>
      <c r="B112" s="1044" t="s">
        <v>2630</v>
      </c>
      <c r="C112" s="137"/>
      <c r="D112" s="137"/>
      <c r="E112" s="137"/>
      <c r="F112" s="137"/>
      <c r="G112" s="137"/>
      <c r="H112" s="129"/>
      <c r="I112" s="129"/>
      <c r="J112" s="129"/>
      <c r="K112" s="130"/>
      <c r="L112" s="131"/>
      <c r="M112" s="132"/>
      <c r="N112" s="1380"/>
      <c r="O112" s="1380"/>
      <c r="P112" s="1369"/>
      <c r="Q112" s="1053"/>
    </row>
    <row r="113" spans="1:17" s="1029" customFormat="1" ht="15" thickBot="1">
      <c r="A113" s="1048"/>
      <c r="B113" s="1045"/>
      <c r="C113" s="879">
        <v>100</v>
      </c>
      <c r="D113" s="879">
        <f>C113-$K37</f>
        <v>100</v>
      </c>
      <c r="E113" s="879">
        <f t="shared" ref="E113:M113" si="27">D113-$K37</f>
        <v>100</v>
      </c>
      <c r="F113" s="879">
        <f t="shared" si="27"/>
        <v>100</v>
      </c>
      <c r="G113" s="879">
        <f t="shared" si="27"/>
        <v>100</v>
      </c>
      <c r="H113" s="879">
        <f t="shared" si="27"/>
        <v>100</v>
      </c>
      <c r="I113" s="879">
        <f t="shared" si="27"/>
        <v>100</v>
      </c>
      <c r="J113" s="879">
        <f t="shared" si="27"/>
        <v>100</v>
      </c>
      <c r="K113" s="879">
        <f t="shared" si="27"/>
        <v>100</v>
      </c>
      <c r="L113" s="879">
        <f t="shared" si="27"/>
        <v>100</v>
      </c>
      <c r="M113" s="879">
        <f t="shared" si="27"/>
        <v>100</v>
      </c>
      <c r="N113" s="1380"/>
      <c r="O113" s="1380"/>
      <c r="P113" s="1369"/>
      <c r="Q113" s="1053"/>
    </row>
    <row r="114" spans="1:17" ht="14.25" thickTop="1">
      <c r="A114" s="173"/>
      <c r="B114" s="1044" t="s">
        <v>1052</v>
      </c>
      <c r="C114" s="137"/>
      <c r="D114" s="137"/>
      <c r="E114" s="129"/>
      <c r="F114" s="129"/>
      <c r="G114" s="129"/>
      <c r="H114" s="129"/>
      <c r="I114" s="129"/>
      <c r="J114" s="129"/>
      <c r="K114" s="130"/>
      <c r="L114" s="131"/>
      <c r="M114" s="132"/>
      <c r="N114" s="1378"/>
      <c r="O114" s="1378"/>
      <c r="P114" s="1368"/>
      <c r="Q114" s="119"/>
    </row>
    <row r="115" spans="1:17" ht="15" thickBot="1">
      <c r="A115" s="171"/>
      <c r="B115" s="1045"/>
      <c r="C115" s="879">
        <v>100</v>
      </c>
      <c r="D115" s="879">
        <f t="shared" ref="D115:M115" si="28">C115-$K38</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880">
        <f t="shared" si="28"/>
        <v>100</v>
      </c>
      <c r="N115" s="1379"/>
      <c r="O115" s="1379"/>
      <c r="P115" s="1368"/>
      <c r="Q115" s="119"/>
    </row>
    <row r="116" spans="1:17" ht="14.25" thickTop="1">
      <c r="A116" s="173"/>
      <c r="B116" s="1044" t="s">
        <v>1053</v>
      </c>
      <c r="C116" s="137"/>
      <c r="D116" s="137"/>
      <c r="E116" s="137"/>
      <c r="F116" s="137"/>
      <c r="G116" s="137"/>
      <c r="H116" s="129"/>
      <c r="I116" s="129"/>
      <c r="J116" s="129"/>
      <c r="K116" s="130"/>
      <c r="L116" s="131"/>
      <c r="M116" s="132"/>
      <c r="N116" s="1378"/>
      <c r="O116" s="1378"/>
      <c r="P116" s="1368"/>
      <c r="Q116" s="119"/>
    </row>
    <row r="117" spans="1:17" ht="15" thickBot="1">
      <c r="A117" s="171"/>
      <c r="B117" s="1045"/>
      <c r="C117" s="879">
        <v>100</v>
      </c>
      <c r="D117" s="879">
        <f>C117-$K39</f>
        <v>100</v>
      </c>
      <c r="E117" s="879">
        <f>D117-$K39</f>
        <v>100</v>
      </c>
      <c r="F117" s="879">
        <f>E117-$K39</f>
        <v>100</v>
      </c>
      <c r="G117" s="879">
        <f>F117-$K39</f>
        <v>100</v>
      </c>
      <c r="H117" s="879"/>
      <c r="I117" s="879"/>
      <c r="J117" s="879"/>
      <c r="K117" s="879"/>
      <c r="L117" s="879"/>
      <c r="M117" s="880"/>
      <c r="N117" s="1379"/>
      <c r="O117" s="1379"/>
      <c r="P117" s="1368"/>
      <c r="Q117" s="119"/>
    </row>
    <row r="118" spans="1:17" ht="15" thickTop="1">
      <c r="A118" s="173"/>
      <c r="B118" s="1044" t="s">
        <v>1054</v>
      </c>
      <c r="C118" s="962"/>
      <c r="D118" s="962"/>
      <c r="E118" s="962"/>
      <c r="F118" s="962"/>
      <c r="G118" s="962"/>
      <c r="H118" s="890"/>
      <c r="I118" s="890"/>
      <c r="J118" s="890"/>
      <c r="K118" s="890"/>
      <c r="L118" s="891"/>
      <c r="M118" s="892"/>
      <c r="N118" s="1378"/>
      <c r="O118" s="1378"/>
      <c r="P118" s="1368"/>
      <c r="Q118" s="119"/>
    </row>
    <row r="119" spans="1:17" ht="15" thickBot="1">
      <c r="A119" s="171"/>
      <c r="B119" s="1045"/>
      <c r="C119" s="895"/>
      <c r="D119" s="871"/>
      <c r="E119" s="871"/>
      <c r="F119" s="871"/>
      <c r="G119" s="871"/>
      <c r="H119" s="871"/>
      <c r="I119" s="871"/>
      <c r="J119" s="871"/>
      <c r="K119" s="871"/>
      <c r="L119" s="871"/>
      <c r="M119" s="872"/>
      <c r="N119" s="1379"/>
      <c r="O119" s="1379"/>
      <c r="P119" s="1368"/>
      <c r="Q119" s="119"/>
    </row>
    <row r="120" spans="1:17" s="1029" customFormat="1" ht="14.25" thickTop="1">
      <c r="A120" s="1063"/>
      <c r="B120" s="1044" t="s">
        <v>1055</v>
      </c>
      <c r="C120" s="129"/>
      <c r="D120" s="129"/>
      <c r="E120" s="129"/>
      <c r="F120" s="129"/>
      <c r="G120" s="1049"/>
      <c r="H120" s="1049"/>
      <c r="I120" s="1049"/>
      <c r="J120" s="1049"/>
      <c r="K120" s="1049"/>
      <c r="L120" s="1050"/>
      <c r="M120" s="1051"/>
      <c r="N120" s="1380"/>
      <c r="O120" s="1380"/>
      <c r="P120" s="1369"/>
      <c r="Q120" s="1053"/>
    </row>
    <row r="121" spans="1:17" s="1029" customFormat="1" ht="15" thickBot="1">
      <c r="A121" s="1048"/>
      <c r="B121" s="1043"/>
      <c r="C121" s="917">
        <v>100</v>
      </c>
      <c r="D121" s="879">
        <f>C121-$K41</f>
        <v>100</v>
      </c>
      <c r="E121" s="879">
        <f t="shared" ref="E121:M121" si="29">D121-$K41</f>
        <v>100</v>
      </c>
      <c r="F121" s="879">
        <f t="shared" si="29"/>
        <v>100</v>
      </c>
      <c r="G121" s="879">
        <f t="shared" si="29"/>
        <v>100</v>
      </c>
      <c r="H121" s="879">
        <f t="shared" si="29"/>
        <v>100</v>
      </c>
      <c r="I121" s="879">
        <f t="shared" si="29"/>
        <v>100</v>
      </c>
      <c r="J121" s="879">
        <f t="shared" si="29"/>
        <v>100</v>
      </c>
      <c r="K121" s="879">
        <f t="shared" si="29"/>
        <v>100</v>
      </c>
      <c r="L121" s="879">
        <f t="shared" si="29"/>
        <v>100</v>
      </c>
      <c r="M121" s="880">
        <f t="shared" si="29"/>
        <v>100</v>
      </c>
      <c r="N121" s="1380"/>
      <c r="O121" s="1380"/>
      <c r="P121" s="1369"/>
      <c r="Q121" s="1053"/>
    </row>
    <row r="122" spans="1:17" ht="14.25" thickTop="1">
      <c r="A122" s="173"/>
      <c r="B122" s="1044" t="s">
        <v>1056</v>
      </c>
      <c r="C122" s="137"/>
      <c r="D122" s="137"/>
      <c r="E122" s="137"/>
      <c r="F122" s="129"/>
      <c r="G122" s="129"/>
      <c r="H122" s="129"/>
      <c r="I122" s="129"/>
      <c r="J122" s="129"/>
      <c r="K122" s="130"/>
      <c r="L122" s="131"/>
      <c r="M122" s="132"/>
      <c r="N122" s="1378"/>
      <c r="O122" s="1378"/>
      <c r="P122" s="1368"/>
      <c r="Q122" s="119"/>
    </row>
    <row r="123" spans="1:17" ht="15" thickBot="1">
      <c r="A123" s="171"/>
      <c r="B123" s="1045"/>
      <c r="C123" s="879">
        <v>100</v>
      </c>
      <c r="D123" s="879">
        <f t="shared" ref="D123:M123" si="30">C123-$K42</f>
        <v>100</v>
      </c>
      <c r="E123" s="879">
        <f t="shared" si="30"/>
        <v>100</v>
      </c>
      <c r="F123" s="879">
        <f t="shared" si="30"/>
        <v>100</v>
      </c>
      <c r="G123" s="879">
        <f t="shared" si="30"/>
        <v>100</v>
      </c>
      <c r="H123" s="879">
        <f t="shared" si="30"/>
        <v>100</v>
      </c>
      <c r="I123" s="879">
        <f t="shared" si="30"/>
        <v>100</v>
      </c>
      <c r="J123" s="879">
        <f t="shared" si="30"/>
        <v>100</v>
      </c>
      <c r="K123" s="879">
        <f t="shared" si="30"/>
        <v>100</v>
      </c>
      <c r="L123" s="879">
        <f t="shared" si="30"/>
        <v>100</v>
      </c>
      <c r="M123" s="880">
        <f t="shared" si="30"/>
        <v>100</v>
      </c>
      <c r="N123" s="1379"/>
      <c r="O123" s="1379"/>
      <c r="P123" s="1368"/>
      <c r="Q123" s="119"/>
    </row>
    <row r="124" spans="1:17" ht="27.75" thickTop="1">
      <c r="A124" s="173"/>
      <c r="B124" s="1044" t="s">
        <v>1057</v>
      </c>
      <c r="C124" s="179" t="s">
        <v>1038</v>
      </c>
      <c r="D124" s="179" t="s">
        <v>1039</v>
      </c>
      <c r="E124" s="179" t="s">
        <v>1040</v>
      </c>
      <c r="F124" s="179" t="s">
        <v>1041</v>
      </c>
      <c r="G124" s="179" t="s">
        <v>1042</v>
      </c>
      <c r="H124" s="175"/>
      <c r="I124" s="175"/>
      <c r="J124" s="175"/>
      <c r="K124" s="176"/>
      <c r="L124" s="177"/>
      <c r="M124" s="178"/>
      <c r="N124" s="1378"/>
      <c r="O124" s="1378"/>
      <c r="P124" s="1369"/>
      <c r="Q124" s="119"/>
    </row>
    <row r="125" spans="1:17" ht="15" thickBot="1">
      <c r="A125" s="171"/>
      <c r="B125" s="1045"/>
      <c r="C125" s="879">
        <v>100</v>
      </c>
      <c r="D125" s="879">
        <f>C125-$K43</f>
        <v>100</v>
      </c>
      <c r="E125" s="879">
        <f>D125-$K43</f>
        <v>100</v>
      </c>
      <c r="F125" s="879">
        <f>E125-$K43</f>
        <v>100</v>
      </c>
      <c r="G125" s="879">
        <f>F125-$K43</f>
        <v>100</v>
      </c>
      <c r="H125" s="879"/>
      <c r="I125" s="879"/>
      <c r="J125" s="879"/>
      <c r="K125" s="879"/>
      <c r="L125" s="879"/>
      <c r="M125" s="880"/>
      <c r="N125" s="1379"/>
      <c r="O125" s="1379"/>
      <c r="P125" s="1368"/>
      <c r="Q125" s="119"/>
    </row>
    <row r="126" spans="1:17" s="1029" customFormat="1" ht="14.25" thickTop="1">
      <c r="A126" s="1063"/>
      <c r="B126" s="1044">
        <f>B44</f>
        <v>111</v>
      </c>
      <c r="C126" s="137"/>
      <c r="D126" s="137"/>
      <c r="E126" s="137"/>
      <c r="F126" s="137"/>
      <c r="G126" s="137"/>
      <c r="H126" s="1049"/>
      <c r="I126" s="1049"/>
      <c r="J126" s="1049"/>
      <c r="K126" s="1049"/>
      <c r="L126" s="1050"/>
      <c r="M126" s="1051"/>
      <c r="N126" s="1380"/>
      <c r="O126" s="1380"/>
      <c r="P126" s="1369"/>
      <c r="Q126" s="1053"/>
    </row>
    <row r="127" spans="1:17" s="1029" customFormat="1" ht="15" thickBot="1">
      <c r="A127" s="1048"/>
      <c r="B127" s="1045"/>
      <c r="C127" s="895"/>
      <c r="D127" s="871"/>
      <c r="E127" s="871"/>
      <c r="F127" s="871"/>
      <c r="G127" s="895"/>
      <c r="H127" s="897"/>
      <c r="I127" s="897"/>
      <c r="J127" s="897"/>
      <c r="K127" s="897"/>
      <c r="L127" s="897"/>
      <c r="M127" s="898"/>
      <c r="N127" s="1380"/>
      <c r="O127" s="1380"/>
      <c r="P127" s="1369"/>
      <c r="Q127" s="1053"/>
    </row>
    <row r="128" spans="1:17" ht="14.25" thickTop="1">
      <c r="A128" s="173"/>
      <c r="B128" s="1044">
        <f>B45</f>
        <v>111</v>
      </c>
      <c r="C128" s="137"/>
      <c r="D128" s="137"/>
      <c r="E128" s="137"/>
      <c r="F128" s="137"/>
      <c r="G128" s="129"/>
      <c r="H128" s="129"/>
      <c r="I128" s="129"/>
      <c r="J128" s="129"/>
      <c r="K128" s="130"/>
      <c r="L128" s="131"/>
      <c r="M128" s="132"/>
      <c r="N128" s="1378"/>
      <c r="O128" s="1378"/>
      <c r="P128" s="1368"/>
      <c r="Q128" s="119"/>
    </row>
    <row r="129" spans="1:17" ht="15" thickBot="1">
      <c r="A129" s="171"/>
      <c r="B129" s="1045"/>
      <c r="C129" s="895"/>
      <c r="D129" s="871"/>
      <c r="E129" s="871"/>
      <c r="F129" s="871"/>
      <c r="G129" s="871"/>
      <c r="H129" s="871"/>
      <c r="I129" s="871"/>
      <c r="J129" s="871"/>
      <c r="K129" s="871"/>
      <c r="L129" s="871"/>
      <c r="M129" s="872"/>
      <c r="N129" s="1379"/>
      <c r="O129" s="1379"/>
      <c r="P129" s="1368"/>
      <c r="Q129" s="119"/>
    </row>
    <row r="130" spans="1:17" ht="14.25" thickTop="1">
      <c r="A130" s="173"/>
      <c r="B130" s="1046">
        <f>B46</f>
        <v>111</v>
      </c>
      <c r="C130" s="137"/>
      <c r="D130" s="137"/>
      <c r="E130" s="137"/>
      <c r="F130" s="137"/>
      <c r="G130" s="133"/>
      <c r="H130" s="133"/>
      <c r="I130" s="133"/>
      <c r="J130" s="133"/>
      <c r="K130" s="138"/>
      <c r="L130" s="139"/>
      <c r="M130" s="136"/>
      <c r="N130" s="1378"/>
      <c r="O130" s="1378"/>
      <c r="P130" s="1368"/>
      <c r="Q130" s="119"/>
    </row>
    <row r="131" spans="1:17" ht="15" thickBot="1">
      <c r="A131" s="172"/>
      <c r="B131" s="1061"/>
      <c r="C131" s="905"/>
      <c r="D131" s="905"/>
      <c r="E131" s="905"/>
      <c r="F131" s="905"/>
      <c r="G131" s="926"/>
      <c r="H131" s="926"/>
      <c r="I131" s="926"/>
      <c r="J131" s="926"/>
      <c r="K131" s="926"/>
      <c r="L131" s="926"/>
      <c r="M131" s="927"/>
      <c r="N131" s="1379"/>
      <c r="O131" s="1379"/>
      <c r="P131" s="1368"/>
      <c r="Q131" s="11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28" t="s">
        <v>1999</v>
      </c>
    </row>
    <row r="2" spans="1:1">
      <c r="A2" s="1929"/>
    </row>
    <row r="3" spans="1:1" ht="18.75">
      <c r="A3" s="2867" t="str">
        <f>项目基本情况!B5&amp;"："</f>
        <v>：</v>
      </c>
    </row>
    <row r="4" spans="1:1" ht="37.5">
      <c r="A4" s="1930" t="str">
        <f>"受贵公司委托，我公司对"&amp;项目基本情况!S1&amp;"进行了预评估。"</f>
        <v>受贵公司委托，我公司对北京市出让国有建设用地使用权抵押价值进行了预评估。</v>
      </c>
    </row>
    <row r="5" spans="1:1" ht="18.75">
      <c r="A5" s="1931" t="s">
        <v>2000</v>
      </c>
    </row>
    <row r="6" spans="1:1" ht="18.75">
      <c r="A6" s="3033" t="s">
        <v>2861</v>
      </c>
    </row>
    <row r="7" spans="1:1" ht="56.25">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估价对象为北京市出让国有建设用地使用权，为所有。根据《国有土地使用证》[]，估价对象（分摊）出让国有建设用地使用权面积为10808.06平方米，建筑面积为43758.52平方米。</v>
      </c>
    </row>
    <row r="8" spans="1:1" ht="56.25">
      <c r="A8" s="1974" t="s">
        <v>2855</v>
      </c>
    </row>
    <row r="9" spans="1:1" ht="18.75">
      <c r="A9" s="3033" t="s">
        <v>2862</v>
      </c>
    </row>
    <row r="10" spans="1:1" ht="75">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属开发建设的居住项目，该项目尚在开发建设中。根据《国有土地使用证》[]，估价对象（分摊）出让国有建设用地使用权面积为10808.06平方米，规划建筑面积为43758.52平方米。</v>
      </c>
    </row>
    <row r="11" spans="1:1" ht="75">
      <c r="A11" s="1974" t="s">
        <v>2896</v>
      </c>
    </row>
    <row r="12" spans="1:1" ht="18.75">
      <c r="A12" s="1931" t="s">
        <v>2001</v>
      </c>
    </row>
    <row r="13" spans="1:1" ht="38.25" customHeight="1">
      <c r="A13" s="193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1933" t="s">
        <v>2002</v>
      </c>
    </row>
    <row r="15" spans="1:1" ht="18.75">
      <c r="A15" s="1934" t="str">
        <f>TEXT(项目基本情况!D3,"yyyy年m月d日;;")&amp;IF(项目基本情况!D3=项目基本情况!B3,"（评估专业人员实地查勘之日）","")</f>
        <v>2017年9月28日（评估专业人员实地查勘之日）</v>
      </c>
    </row>
    <row r="16" spans="1:1" ht="18.75">
      <c r="A16" s="1933" t="s">
        <v>2004</v>
      </c>
    </row>
    <row r="17" spans="1:1" ht="75">
      <c r="A17" s="1930" t="s">
        <v>2856</v>
      </c>
    </row>
    <row r="18" spans="1:1" ht="56.25">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28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3" t="s">
        <v>2020</v>
      </c>
    </row>
    <row r="24" spans="1:1" ht="18.75">
      <c r="A24" s="1937" t="str">
        <f>"本次评估采用的主估价方法为"&amp;结果表!K4&amp;"和"&amp;结果表!L4&amp;"。"</f>
        <v>本次评估采用的主估价方法为成本法和假设开发法。</v>
      </c>
    </row>
    <row r="25" spans="1:1" ht="18.75">
      <c r="A25" s="1937"/>
    </row>
    <row r="26" spans="1:1" ht="18.75">
      <c r="A26" s="2064" t="s">
        <v>2100</v>
      </c>
    </row>
    <row r="27" spans="1:1">
      <c r="A27" s="1976"/>
    </row>
    <row r="28" spans="1:1">
      <c r="A28" s="1976"/>
    </row>
    <row r="29" spans="1:1">
      <c r="A29" s="1976"/>
    </row>
    <row r="30" spans="1:1">
      <c r="A30" s="1976"/>
    </row>
    <row r="31" spans="1:1">
      <c r="A31" s="1976"/>
    </row>
    <row r="32" spans="1:1">
      <c r="A32" s="1976"/>
    </row>
    <row r="33" spans="1:1">
      <c r="A33" s="1976"/>
    </row>
    <row r="34" spans="1:1">
      <c r="A34" s="1976"/>
    </row>
    <row r="35" spans="1:1">
      <c r="A35" s="1976"/>
    </row>
    <row r="36" spans="1:1">
      <c r="A36" s="1976"/>
    </row>
    <row r="37" spans="1:1">
      <c r="A37" s="1976"/>
    </row>
    <row r="38" spans="1:1">
      <c r="A38" s="1976"/>
    </row>
    <row r="39" spans="1:1">
      <c r="A39" s="1976"/>
    </row>
    <row r="40" spans="1:1">
      <c r="A40" s="1976"/>
    </row>
    <row r="41" spans="1:1">
      <c r="A41" s="1976"/>
    </row>
    <row r="42" spans="1:1">
      <c r="A42" s="1976"/>
    </row>
    <row r="43" spans="1:1">
      <c r="A43" s="1976"/>
    </row>
    <row r="44" spans="1:1">
      <c r="A44" s="1976"/>
    </row>
    <row r="45" spans="1:1">
      <c r="A45" s="1976"/>
    </row>
    <row r="46" spans="1:1">
      <c r="A46" s="1976"/>
    </row>
    <row r="47" spans="1:1">
      <c r="A47" s="1976"/>
    </row>
    <row r="48" spans="1:1">
      <c r="A48" s="197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I34" sqref="I34"/>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230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95" customFormat="1" ht="28.5" customHeight="1" thickBot="1">
      <c r="A1" s="3081" t="s">
        <v>1058</v>
      </c>
      <c r="B1" s="3099" t="s">
        <v>1059</v>
      </c>
      <c r="C1" s="3093" t="s">
        <v>1060</v>
      </c>
      <c r="D1" s="3084"/>
      <c r="E1" s="3089"/>
      <c r="F1" s="3086"/>
      <c r="G1" s="3088" t="s">
        <v>1061</v>
      </c>
      <c r="H1" s="3089"/>
      <c r="I1" s="3089"/>
      <c r="J1" s="3089"/>
      <c r="K1" s="3090"/>
      <c r="L1" s="3091"/>
      <c r="M1" s="3083"/>
      <c r="N1" s="3083"/>
      <c r="O1" s="3083"/>
      <c r="P1" s="3093"/>
      <c r="Q1" s="3093"/>
      <c r="R1" s="3093"/>
      <c r="S1" s="3093"/>
      <c r="T1" s="3093"/>
      <c r="U1" s="3093"/>
      <c r="V1" s="3093"/>
      <c r="W1" s="3093"/>
      <c r="X1" s="3093"/>
      <c r="Y1" s="3093"/>
      <c r="Z1" s="3093"/>
      <c r="AA1" s="3093"/>
      <c r="AB1" s="3093"/>
      <c r="AC1" s="3094"/>
    </row>
    <row r="2" spans="1:29" s="90" customFormat="1" ht="28.5" customHeight="1" thickTop="1">
      <c r="A2" s="3077" t="s">
        <v>1062</v>
      </c>
      <c r="B2" s="2825" t="e">
        <f ca="1">IF(C2="——",ROUND(C50*D3/10000,0),ROUND(C50*D3/10000,0)-D2)</f>
        <v>#DIV/0!</v>
      </c>
      <c r="C2" s="3078"/>
      <c r="D2" s="2705" t="e">
        <f ca="1">SUMIF(INDIRECT("'"&amp;F2&amp;"'"&amp;"!A:A"),"承租人权益价值",INDIRECT("'"&amp;F2&amp;"'"&amp;"!c:c"))</f>
        <v>#REF!</v>
      </c>
      <c r="E2" s="3079" t="s">
        <v>863</v>
      </c>
      <c r="F2" s="3080"/>
      <c r="G2" s="2299"/>
      <c r="H2" s="2299"/>
      <c r="I2" s="2299"/>
      <c r="J2" s="2299"/>
      <c r="K2" s="2299"/>
      <c r="L2" s="2300"/>
      <c r="M2" s="2301"/>
      <c r="N2" s="2301"/>
      <c r="O2" s="2301"/>
      <c r="P2" s="1324"/>
      <c r="Q2" s="1324"/>
      <c r="R2" s="1324"/>
      <c r="S2" s="1324"/>
      <c r="T2" s="1324"/>
      <c r="U2" s="1324"/>
      <c r="V2" s="1324"/>
      <c r="W2" s="1324"/>
      <c r="X2" s="1324"/>
      <c r="Y2" s="1324"/>
      <c r="Z2" s="1324"/>
      <c r="AA2" s="1324"/>
      <c r="AB2" s="1324"/>
      <c r="AC2" s="1325"/>
    </row>
    <row r="3" spans="1:29" s="90" customFormat="1" ht="28.5" customHeight="1" thickBot="1">
      <c r="A3" s="87" t="s">
        <v>1063</v>
      </c>
      <c r="B3" s="944" t="e">
        <f ca="1">IF(C2="——",C50,ROUND(B2*10000/D3,0))</f>
        <v>#DIV/0!</v>
      </c>
      <c r="C3" s="140" t="s">
        <v>1064</v>
      </c>
      <c r="D3" s="738">
        <f>IF(D1="",'数据-汇总表'!E3,SUMIF('数据-汇总表'!$C19:$C33,D1,'数据-汇总表'!$E19:$E33))</f>
        <v>43758.520000000004</v>
      </c>
      <c r="E3" s="2297"/>
      <c r="F3" s="2298"/>
      <c r="G3" s="2299"/>
      <c r="H3" s="2299"/>
      <c r="I3" s="2299"/>
      <c r="J3" s="2299"/>
      <c r="K3" s="2302"/>
      <c r="L3" s="2300"/>
      <c r="M3" s="2301"/>
      <c r="N3" s="2301"/>
      <c r="O3" s="2301"/>
      <c r="P3" s="1324"/>
      <c r="Q3" s="1324"/>
      <c r="R3" s="1324"/>
      <c r="S3" s="1324"/>
      <c r="T3" s="1324"/>
      <c r="U3" s="1324"/>
      <c r="V3" s="1324"/>
      <c r="W3" s="1324"/>
      <c r="X3" s="1324"/>
      <c r="Y3" s="1324"/>
      <c r="Z3" s="1324"/>
      <c r="AA3" s="1324"/>
      <c r="AB3" s="1324"/>
      <c r="AC3" s="1325"/>
    </row>
    <row r="4" spans="1:29">
      <c r="A4" s="141" t="s">
        <v>1065</v>
      </c>
      <c r="B4" s="142"/>
      <c r="C4" s="3675" t="s">
        <v>1066</v>
      </c>
      <c r="D4" s="3676"/>
      <c r="E4" s="3677" t="s">
        <v>1067</v>
      </c>
      <c r="F4" s="3678"/>
      <c r="G4" s="3675" t="s">
        <v>1068</v>
      </c>
      <c r="H4" s="3676"/>
      <c r="I4" s="3675" t="s">
        <v>1069</v>
      </c>
      <c r="J4" s="3676"/>
      <c r="K4" s="185" t="s">
        <v>1070</v>
      </c>
      <c r="L4" s="2276"/>
      <c r="M4" s="2277"/>
      <c r="N4" s="2277"/>
      <c r="O4" s="2277"/>
      <c r="P4" s="3713" t="s">
        <v>1065</v>
      </c>
      <c r="Q4" s="3714"/>
      <c r="R4" s="3717" t="s">
        <v>1067</v>
      </c>
      <c r="S4" s="3718"/>
      <c r="T4" s="3717" t="s">
        <v>1068</v>
      </c>
      <c r="U4" s="3718"/>
      <c r="V4" s="3719" t="s">
        <v>1069</v>
      </c>
      <c r="W4" s="3719"/>
      <c r="X4" s="2316"/>
      <c r="Y4" s="3717" t="s">
        <v>1065</v>
      </c>
      <c r="Z4" s="3718"/>
      <c r="AA4" s="3721" t="s">
        <v>1067</v>
      </c>
      <c r="AB4" s="3721" t="s">
        <v>1068</v>
      </c>
      <c r="AC4" s="3710" t="s">
        <v>1069</v>
      </c>
    </row>
    <row r="5" spans="1:29">
      <c r="A5" s="144"/>
      <c r="B5" s="145"/>
      <c r="C5" s="3624" t="s">
        <v>1071</v>
      </c>
      <c r="D5" s="3625"/>
      <c r="E5" s="3705" t="s">
        <v>1072</v>
      </c>
      <c r="F5" s="3706"/>
      <c r="G5" s="3624" t="s">
        <v>1073</v>
      </c>
      <c r="H5" s="3625"/>
      <c r="I5" s="3624" t="s">
        <v>1074</v>
      </c>
      <c r="J5" s="3625"/>
      <c r="K5" s="185"/>
      <c r="L5" s="2276"/>
      <c r="M5" s="2277"/>
      <c r="N5" s="2277"/>
      <c r="O5" s="2277"/>
      <c r="P5" s="3715"/>
      <c r="Q5" s="3682"/>
      <c r="R5" s="3687"/>
      <c r="S5" s="3688"/>
      <c r="T5" s="3687"/>
      <c r="U5" s="3688"/>
      <c r="V5" s="3691"/>
      <c r="W5" s="3691"/>
      <c r="X5" s="2202"/>
      <c r="Y5" s="3687"/>
      <c r="Z5" s="3688"/>
      <c r="AA5" s="3673"/>
      <c r="AB5" s="3673"/>
      <c r="AC5" s="3711"/>
    </row>
    <row r="6" spans="1:29" ht="14.25" thickBot="1">
      <c r="A6" s="146"/>
      <c r="B6" s="147"/>
      <c r="C6" s="3626" t="s">
        <v>1075</v>
      </c>
      <c r="D6" s="3627"/>
      <c r="E6" s="3703" t="s">
        <v>1075</v>
      </c>
      <c r="F6" s="3704"/>
      <c r="G6" s="3626" t="s">
        <v>1075</v>
      </c>
      <c r="H6" s="3627"/>
      <c r="I6" s="3626" t="s">
        <v>1075</v>
      </c>
      <c r="J6" s="3627"/>
      <c r="K6" s="185" t="s">
        <v>1076</v>
      </c>
      <c r="L6" s="2276"/>
      <c r="M6" s="2277"/>
      <c r="N6" s="2277"/>
      <c r="O6" s="2277"/>
      <c r="P6" s="3716"/>
      <c r="Q6" s="3684"/>
      <c r="R6" s="3687"/>
      <c r="S6" s="3688"/>
      <c r="T6" s="3689"/>
      <c r="U6" s="3690"/>
      <c r="V6" s="3691"/>
      <c r="W6" s="3691"/>
      <c r="X6" s="2202"/>
      <c r="Y6" s="3689"/>
      <c r="Z6" s="3690"/>
      <c r="AA6" s="3674"/>
      <c r="AB6" s="3674"/>
      <c r="AC6" s="3712"/>
    </row>
    <row r="7" spans="1:29" s="40" customFormat="1" ht="15" thickBot="1">
      <c r="A7" s="1006" t="s">
        <v>1077</v>
      </c>
      <c r="B7" s="1007"/>
      <c r="C7" s="749">
        <f>'数据-取费表'!B2</f>
        <v>43006</v>
      </c>
      <c r="D7" s="750">
        <v>100</v>
      </c>
      <c r="E7" s="1009"/>
      <c r="F7" s="752">
        <f>SUMIF(59:59,YEAR(E7)&amp;"-"&amp;MONTH(E7),60:60)</f>
        <v>0</v>
      </c>
      <c r="G7" s="1009"/>
      <c r="H7" s="750">
        <f>SUMIF(59:59,YEAR(G7)&amp;"-"&amp;MONTH(G7),60:60)</f>
        <v>0</v>
      </c>
      <c r="I7" s="1009"/>
      <c r="J7" s="750">
        <f>SUMIF(59:59,YEAR(I7)&amp;"-"&amp;MONTH(I7),60:60)</f>
        <v>0</v>
      </c>
      <c r="K7" s="1011"/>
      <c r="L7" s="2278"/>
      <c r="M7" s="2240"/>
      <c r="N7" s="2240"/>
      <c r="O7" s="2240"/>
      <c r="P7" s="3720" t="s">
        <v>1077</v>
      </c>
      <c r="Q7" s="3696"/>
      <c r="R7" s="1332" t="s">
        <v>65</v>
      </c>
      <c r="S7" s="1333">
        <f t="shared" ref="S7:S15" si="0">F7</f>
        <v>0</v>
      </c>
      <c r="T7" s="1332" t="s">
        <v>65</v>
      </c>
      <c r="U7" s="1333">
        <f t="shared" ref="U7:U15" si="1">H7</f>
        <v>0</v>
      </c>
      <c r="V7" s="1332" t="s">
        <v>65</v>
      </c>
      <c r="W7" s="1333">
        <f t="shared" ref="W7:W15" si="2">J7</f>
        <v>0</v>
      </c>
      <c r="X7" s="285"/>
      <c r="Y7" s="3694" t="s">
        <v>1077</v>
      </c>
      <c r="Z7" s="3695"/>
      <c r="AA7" s="1334" t="e">
        <f>D7/F7</f>
        <v>#DIV/0!</v>
      </c>
      <c r="AB7" s="1334" t="e">
        <f>D7/H7</f>
        <v>#DIV/0!</v>
      </c>
      <c r="AC7" s="2317" t="e">
        <f>D7/J7</f>
        <v>#DIV/0!</v>
      </c>
    </row>
    <row r="8" spans="1:29" s="40" customFormat="1" ht="15" thickBot="1">
      <c r="A8" s="1006" t="s">
        <v>1078</v>
      </c>
      <c r="B8" s="1007"/>
      <c r="C8" s="1012" t="s">
        <v>1079</v>
      </c>
      <c r="D8" s="750">
        <v>100</v>
      </c>
      <c r="E8" s="1012"/>
      <c r="F8" s="752">
        <f>SUMIF(62:62,E8,63:63)-SUMIF(62:62,C8,63:63)+100</f>
        <v>0</v>
      </c>
      <c r="G8" s="1012"/>
      <c r="H8" s="750">
        <f>SUMIF(62:62,G8,63:63)-SUMIF(62:62,C8,63:63)+100</f>
        <v>0</v>
      </c>
      <c r="I8" s="1012"/>
      <c r="J8" s="750">
        <f>SUMIF(62:62,I8,63:63)-SUMIF(62:62,C8,63:63)+100</f>
        <v>0</v>
      </c>
      <c r="K8" s="1011"/>
      <c r="L8" s="2278"/>
      <c r="M8" s="2240"/>
      <c r="N8" s="2240"/>
      <c r="O8" s="2240"/>
      <c r="P8" s="3720" t="s">
        <v>1011</v>
      </c>
      <c r="Q8" s="3695"/>
      <c r="R8" s="1332" t="s">
        <v>65</v>
      </c>
      <c r="S8" s="1333">
        <f t="shared" si="0"/>
        <v>0</v>
      </c>
      <c r="T8" s="1332" t="s">
        <v>65</v>
      </c>
      <c r="U8" s="1333">
        <f t="shared" si="1"/>
        <v>0</v>
      </c>
      <c r="V8" s="1332" t="s">
        <v>65</v>
      </c>
      <c r="W8" s="1333">
        <f t="shared" si="2"/>
        <v>0</v>
      </c>
      <c r="X8" s="285"/>
      <c r="Y8" s="3694" t="s">
        <v>1011</v>
      </c>
      <c r="Z8" s="3695"/>
      <c r="AA8" s="1334" t="e">
        <f t="shared" ref="AA8:AA47" si="3">D8/F8</f>
        <v>#DIV/0!</v>
      </c>
      <c r="AB8" s="1334" t="e">
        <f t="shared" ref="AB8:AB47" si="4">D8/H8</f>
        <v>#DIV/0!</v>
      </c>
      <c r="AC8" s="2317" t="e">
        <f t="shared" ref="AC8:AC47" si="5">D8/J8</f>
        <v>#DIV/0!</v>
      </c>
    </row>
    <row r="9" spans="1:29" s="40" customFormat="1" ht="14.25">
      <c r="A9" s="1013" t="s">
        <v>1012</v>
      </c>
      <c r="B9" s="62" t="s">
        <v>1013</v>
      </c>
      <c r="C9" s="1335"/>
      <c r="D9" s="421">
        <v>100</v>
      </c>
      <c r="E9" s="1337"/>
      <c r="F9" s="421">
        <f>SUMIF(64:64,E9,65:65)-SUMIF(64:64,C9,65:65)+100</f>
        <v>100</v>
      </c>
      <c r="G9" s="1336"/>
      <c r="H9" s="421">
        <f>SUMIF(64:64,G9,65:65)-SUMIF(64:64,C9,65:65)+100</f>
        <v>100</v>
      </c>
      <c r="I9" s="1336"/>
      <c r="J9" s="421">
        <f>SUMIF(64:64,I9,65:65)-SUMIF(64:64,C9,65:65)+100</f>
        <v>100</v>
      </c>
      <c r="K9" s="1011"/>
      <c r="L9" s="2278"/>
      <c r="M9" s="2240"/>
      <c r="N9" s="2240"/>
      <c r="O9" s="2240"/>
      <c r="P9" s="3671" t="s">
        <v>67</v>
      </c>
      <c r="Q9" s="2193" t="str">
        <f t="shared" ref="Q9:Q15" si="6">B9</f>
        <v>用途</v>
      </c>
      <c r="R9" s="1332" t="s">
        <v>65</v>
      </c>
      <c r="S9" s="1333">
        <f t="shared" si="0"/>
        <v>100</v>
      </c>
      <c r="T9" s="1332" t="s">
        <v>65</v>
      </c>
      <c r="U9" s="1333">
        <f t="shared" si="1"/>
        <v>100</v>
      </c>
      <c r="V9" s="1332" t="s">
        <v>65</v>
      </c>
      <c r="W9" s="1333">
        <f t="shared" si="2"/>
        <v>100</v>
      </c>
      <c r="X9" s="285"/>
      <c r="Y9" s="3429" t="s">
        <v>67</v>
      </c>
      <c r="Z9" s="2192" t="str">
        <f t="shared" ref="Z9:Z15" si="7">Q9</f>
        <v>用途</v>
      </c>
      <c r="AA9" s="1334">
        <f t="shared" si="3"/>
        <v>1</v>
      </c>
      <c r="AB9" s="1334">
        <f t="shared" si="4"/>
        <v>1</v>
      </c>
      <c r="AC9" s="2317">
        <f t="shared" si="5"/>
        <v>1</v>
      </c>
    </row>
    <row r="10" spans="1:29" s="92" customFormat="1" ht="27">
      <c r="A10" s="148"/>
      <c r="B10" s="12" t="s">
        <v>106</v>
      </c>
      <c r="C10" s="1338"/>
      <c r="D10" s="422">
        <v>100</v>
      </c>
      <c r="E10" s="1338"/>
      <c r="F10" s="422">
        <f>SUMIF(66:66,E10,67:67)-SUMIF(66:66,C10,67:67)+100</f>
        <v>100</v>
      </c>
      <c r="G10" s="1339"/>
      <c r="H10" s="422">
        <f>SUMIF(66:66,G10,67:67)-SUMIF(66:66,C10,67:67)+100</f>
        <v>100</v>
      </c>
      <c r="I10" s="1338"/>
      <c r="J10" s="422">
        <f>SUMIF(66:66,I10,67:67)-SUMIF(66:66,C10,67:67)+100</f>
        <v>100</v>
      </c>
      <c r="K10" s="947"/>
      <c r="L10" s="2279"/>
      <c r="M10" s="2280"/>
      <c r="N10" s="2280"/>
      <c r="O10" s="2280"/>
      <c r="P10" s="3671"/>
      <c r="Q10" s="2193" t="str">
        <f t="shared" si="6"/>
        <v>土地使用年限（年）</v>
      </c>
      <c r="R10" s="1332" t="s">
        <v>65</v>
      </c>
      <c r="S10" s="1333">
        <f t="shared" si="0"/>
        <v>100</v>
      </c>
      <c r="T10" s="1332" t="s">
        <v>65</v>
      </c>
      <c r="U10" s="1333">
        <f t="shared" si="1"/>
        <v>100</v>
      </c>
      <c r="V10" s="1332" t="s">
        <v>65</v>
      </c>
      <c r="W10" s="1333">
        <f t="shared" si="2"/>
        <v>100</v>
      </c>
      <c r="X10" s="285"/>
      <c r="Y10" s="3429"/>
      <c r="Z10" s="2192" t="str">
        <f t="shared" si="7"/>
        <v>土地使用年限（年）</v>
      </c>
      <c r="AA10" s="1334">
        <f t="shared" si="3"/>
        <v>1</v>
      </c>
      <c r="AB10" s="1334">
        <f t="shared" si="4"/>
        <v>1</v>
      </c>
      <c r="AC10" s="2317">
        <f t="shared" si="5"/>
        <v>1</v>
      </c>
    </row>
    <row r="11" spans="1:29" ht="15">
      <c r="A11" s="149"/>
      <c r="B11" s="12" t="s">
        <v>93</v>
      </c>
      <c r="C11" s="765"/>
      <c r="D11" s="422">
        <v>100</v>
      </c>
      <c r="E11" s="765"/>
      <c r="F11" s="422" t="e">
        <f>LOOKUP(E11,69:69,70:70)-LOOKUP(C11,69:69,70:70)+100</f>
        <v>#N/A</v>
      </c>
      <c r="G11" s="766"/>
      <c r="H11" s="422" t="e">
        <f>LOOKUP(G11,69:69,70:70)-LOOKUP(C11,69:69,70:70)+100</f>
        <v>#N/A</v>
      </c>
      <c r="I11" s="765"/>
      <c r="J11" s="422" t="e">
        <f>LOOKUP(I11,69:69,70:70)-LOOKUP(C11,69:69,70:70)+100</f>
        <v>#N/A</v>
      </c>
      <c r="K11" s="947"/>
      <c r="L11" s="2281"/>
      <c r="M11" s="2277"/>
      <c r="N11" s="2277"/>
      <c r="O11" s="2277"/>
      <c r="P11" s="3671"/>
      <c r="Q11" s="2193" t="str">
        <f t="shared" si="6"/>
        <v>容积率</v>
      </c>
      <c r="R11" s="1332" t="s">
        <v>65</v>
      </c>
      <c r="S11" s="1333" t="e">
        <f t="shared" si="0"/>
        <v>#N/A</v>
      </c>
      <c r="T11" s="1332" t="s">
        <v>65</v>
      </c>
      <c r="U11" s="1333" t="e">
        <f t="shared" si="1"/>
        <v>#N/A</v>
      </c>
      <c r="V11" s="1332" t="s">
        <v>65</v>
      </c>
      <c r="W11" s="1333" t="e">
        <f t="shared" si="2"/>
        <v>#N/A</v>
      </c>
      <c r="X11" s="285"/>
      <c r="Y11" s="3429"/>
      <c r="Z11" s="2192" t="str">
        <f t="shared" si="7"/>
        <v>容积率</v>
      </c>
      <c r="AA11" s="1334" t="e">
        <f t="shared" si="3"/>
        <v>#N/A</v>
      </c>
      <c r="AB11" s="1334" t="e">
        <f t="shared" si="4"/>
        <v>#N/A</v>
      </c>
      <c r="AC11" s="2317" t="e">
        <f t="shared" si="5"/>
        <v>#N/A</v>
      </c>
    </row>
    <row r="12" spans="1:29" s="40" customFormat="1" ht="14.25">
      <c r="A12" s="1020"/>
      <c r="B12" s="1021">
        <v>111</v>
      </c>
      <c r="C12" s="1016"/>
      <c r="D12" s="769">
        <v>100</v>
      </c>
      <c r="E12" s="1016"/>
      <c r="F12" s="422">
        <f>SUMIF(71:71,E12,72:72)-SUMIF(71:71,C12,72:72)+100</f>
        <v>100</v>
      </c>
      <c r="G12" s="1392"/>
      <c r="H12" s="422">
        <f>SUMIF(71:71,G12,72:72)-SUMIF(71:71,C12,72:72)+100</f>
        <v>100</v>
      </c>
      <c r="I12" s="1016"/>
      <c r="J12" s="422">
        <f>SUMIF(71:71,I12,72:72)-SUMIF(71:71,C12,72:72)+100</f>
        <v>100</v>
      </c>
      <c r="K12" s="186"/>
      <c r="L12" s="2278"/>
      <c r="M12" s="2240"/>
      <c r="N12" s="2240"/>
      <c r="O12" s="2240"/>
      <c r="P12" s="3671"/>
      <c r="Q12" s="2193">
        <f t="shared" si="6"/>
        <v>111</v>
      </c>
      <c r="R12" s="1332" t="s">
        <v>65</v>
      </c>
      <c r="S12" s="1333">
        <f t="shared" si="0"/>
        <v>100</v>
      </c>
      <c r="T12" s="1332" t="s">
        <v>65</v>
      </c>
      <c r="U12" s="1333">
        <f t="shared" si="1"/>
        <v>100</v>
      </c>
      <c r="V12" s="1332" t="s">
        <v>65</v>
      </c>
      <c r="W12" s="1333">
        <f t="shared" si="2"/>
        <v>100</v>
      </c>
      <c r="X12" s="285"/>
      <c r="Y12" s="3429"/>
      <c r="Z12" s="2192">
        <f t="shared" si="7"/>
        <v>111</v>
      </c>
      <c r="AA12" s="1334">
        <f>D12/F12</f>
        <v>1</v>
      </c>
      <c r="AB12" s="1334">
        <f>D12/H12</f>
        <v>1</v>
      </c>
      <c r="AC12" s="2317">
        <f>D12/J12</f>
        <v>1</v>
      </c>
    </row>
    <row r="13" spans="1:29" ht="14.25">
      <c r="A13" s="149"/>
      <c r="B13" s="1021">
        <v>111</v>
      </c>
      <c r="C13" s="93"/>
      <c r="D13" s="771">
        <v>100</v>
      </c>
      <c r="E13" s="1016"/>
      <c r="F13" s="422">
        <f>SUMIF(73:73,E13,74:74)-SUMIF(73:73,C13,74:74)+100</f>
        <v>100</v>
      </c>
      <c r="G13" s="1392"/>
      <c r="H13" s="771">
        <f>SUMIF(73:73,G13,74:74)-SUMIF(73:73,C13,74:74)+100</f>
        <v>100</v>
      </c>
      <c r="I13" s="1016"/>
      <c r="J13" s="771">
        <f>SUMIF(73:73,I13,74:74)-SUMIF(73:73,C13,74:74)+100</f>
        <v>100</v>
      </c>
      <c r="K13" s="186"/>
      <c r="L13" s="2282"/>
      <c r="M13" s="2277"/>
      <c r="N13" s="2277"/>
      <c r="O13" s="2277"/>
      <c r="P13" s="3671"/>
      <c r="Q13" s="2193">
        <f t="shared" si="6"/>
        <v>111</v>
      </c>
      <c r="R13" s="1332" t="s">
        <v>65</v>
      </c>
      <c r="S13" s="1333">
        <f t="shared" si="0"/>
        <v>100</v>
      </c>
      <c r="T13" s="1332" t="s">
        <v>65</v>
      </c>
      <c r="U13" s="1333">
        <f t="shared" si="1"/>
        <v>100</v>
      </c>
      <c r="V13" s="1332" t="s">
        <v>65</v>
      </c>
      <c r="W13" s="1333">
        <f t="shared" si="2"/>
        <v>100</v>
      </c>
      <c r="X13" s="285"/>
      <c r="Y13" s="3429"/>
      <c r="Z13" s="2192">
        <f t="shared" si="7"/>
        <v>111</v>
      </c>
      <c r="AA13" s="1334">
        <f t="shared" si="3"/>
        <v>1</v>
      </c>
      <c r="AB13" s="1334">
        <f t="shared" si="4"/>
        <v>1</v>
      </c>
      <c r="AC13" s="2317">
        <f t="shared" si="5"/>
        <v>1</v>
      </c>
    </row>
    <row r="14" spans="1:29" ht="15" thickBot="1">
      <c r="A14" s="152"/>
      <c r="B14" s="1022">
        <v>111</v>
      </c>
      <c r="C14" s="94"/>
      <c r="D14" s="774">
        <v>100</v>
      </c>
      <c r="E14" s="1393"/>
      <c r="F14" s="774">
        <f>SUMIF(75:75,E14,76:76)-SUMIF(75:75,C14,76:76)+100</f>
        <v>100</v>
      </c>
      <c r="G14" s="1392"/>
      <c r="H14" s="774">
        <f>SUMIF(75:75,G14,76:76)-SUMIF(75:75,C14,76:76)+100</f>
        <v>100</v>
      </c>
      <c r="I14" s="1016"/>
      <c r="J14" s="774">
        <f>SUMIF(75:75,I14,76:76)-SUMIF(75:75,C14,76:76)+100</f>
        <v>100</v>
      </c>
      <c r="K14" s="186"/>
      <c r="L14" s="2282"/>
      <c r="M14" s="2277"/>
      <c r="N14" s="2277"/>
      <c r="O14" s="2277"/>
      <c r="P14" s="3671"/>
      <c r="Q14" s="2193">
        <f t="shared" si="6"/>
        <v>111</v>
      </c>
      <c r="R14" s="1332" t="s">
        <v>65</v>
      </c>
      <c r="S14" s="1333">
        <f t="shared" si="0"/>
        <v>100</v>
      </c>
      <c r="T14" s="1332" t="s">
        <v>65</v>
      </c>
      <c r="U14" s="1333">
        <f t="shared" si="1"/>
        <v>100</v>
      </c>
      <c r="V14" s="1332" t="s">
        <v>65</v>
      </c>
      <c r="W14" s="1333">
        <f t="shared" si="2"/>
        <v>100</v>
      </c>
      <c r="X14" s="285"/>
      <c r="Y14" s="3429"/>
      <c r="Z14" s="2192">
        <f t="shared" si="7"/>
        <v>111</v>
      </c>
      <c r="AA14" s="1334">
        <f t="shared" si="3"/>
        <v>1</v>
      </c>
      <c r="AB14" s="1334">
        <f t="shared" si="4"/>
        <v>1</v>
      </c>
      <c r="AC14" s="2317">
        <f t="shared" si="5"/>
        <v>1</v>
      </c>
    </row>
    <row r="15" spans="1:29" ht="54">
      <c r="A15" s="153" t="s">
        <v>69</v>
      </c>
      <c r="B15" s="1023" t="s">
        <v>142</v>
      </c>
      <c r="C15" s="206" t="str">
        <f>估价对象房地状况!C5</f>
        <v>估价对象周边办公楼项目较少，办公集聚程度较差</v>
      </c>
      <c r="D15" s="777">
        <v>100</v>
      </c>
      <c r="E15" s="96"/>
      <c r="F15" s="777">
        <f>SUMIF(77:77,E16,78:78)-SUMIF(77:77,C16,78:78)+100</f>
        <v>100</v>
      </c>
      <c r="G15" s="95"/>
      <c r="H15" s="777">
        <f>SUMIF(77:77,G16,78:78)-SUMIF(77:77,C16,78:78)+100</f>
        <v>100</v>
      </c>
      <c r="I15" s="95"/>
      <c r="J15" s="777">
        <f>SUMIF(77:77,I16,78:78)-SUMIF(77:77,C16,78:78)+100</f>
        <v>100</v>
      </c>
      <c r="K15" s="949"/>
      <c r="L15" s="2282"/>
      <c r="M15" s="2277"/>
      <c r="N15" s="2277"/>
      <c r="O15" s="2277"/>
      <c r="P15" s="3669" t="s">
        <v>69</v>
      </c>
      <c r="Q15" s="2200" t="str">
        <f t="shared" si="6"/>
        <v>办公集聚程度</v>
      </c>
      <c r="R15" s="1341" t="s">
        <v>65</v>
      </c>
      <c r="S15" s="1342">
        <f t="shared" si="0"/>
        <v>100</v>
      </c>
      <c r="T15" s="1341" t="s">
        <v>65</v>
      </c>
      <c r="U15" s="1342">
        <f t="shared" si="1"/>
        <v>100</v>
      </c>
      <c r="V15" s="1341" t="s">
        <v>65</v>
      </c>
      <c r="W15" s="1342">
        <f t="shared" si="2"/>
        <v>100</v>
      </c>
      <c r="X15" s="2202"/>
      <c r="Y15" s="3662" t="s">
        <v>69</v>
      </c>
      <c r="Z15" s="2201" t="str">
        <f t="shared" si="7"/>
        <v>办公集聚程度</v>
      </c>
      <c r="AA15" s="1344">
        <f t="shared" si="3"/>
        <v>1</v>
      </c>
      <c r="AB15" s="1344">
        <f t="shared" si="4"/>
        <v>1</v>
      </c>
      <c r="AC15" s="2318">
        <f t="shared" si="5"/>
        <v>1</v>
      </c>
    </row>
    <row r="16" spans="1:29" ht="14.25">
      <c r="A16" s="149"/>
      <c r="B16" s="207"/>
      <c r="C16" s="190"/>
      <c r="D16" s="784"/>
      <c r="E16" s="97"/>
      <c r="F16" s="784"/>
      <c r="G16" s="190"/>
      <c r="H16" s="786"/>
      <c r="I16" s="97"/>
      <c r="J16" s="784"/>
      <c r="K16" s="187"/>
      <c r="L16" s="2282"/>
      <c r="M16" s="2277"/>
      <c r="N16" s="2277"/>
      <c r="O16" s="2277"/>
      <c r="P16" s="3670"/>
      <c r="Q16" s="2200"/>
      <c r="R16" s="1341"/>
      <c r="S16" s="1342"/>
      <c r="T16" s="1341"/>
      <c r="U16" s="1342"/>
      <c r="V16" s="1341"/>
      <c r="W16" s="1342"/>
      <c r="X16" s="2202"/>
      <c r="Y16" s="3663"/>
      <c r="Z16" s="2201"/>
      <c r="AA16" s="1344">
        <v>1</v>
      </c>
      <c r="AB16" s="1344">
        <v>1</v>
      </c>
      <c r="AC16" s="2318">
        <v>1</v>
      </c>
    </row>
    <row r="17" spans="1:29" ht="67.5">
      <c r="A17" s="149"/>
      <c r="B17" s="1024" t="s">
        <v>72</v>
      </c>
      <c r="C17" s="208" t="str">
        <f>估价对象房地状况!C6</f>
        <v>估价对象周边有849、兴23路等公交线路，综合评价交通便捷度一般</v>
      </c>
      <c r="D17" s="786">
        <v>100</v>
      </c>
      <c r="E17" s="101"/>
      <c r="F17" s="786">
        <f>SUMIF(79:79,E18,80:80)-SUMIF(79:79,C18,80:80)+100</f>
        <v>100</v>
      </c>
      <c r="G17" s="100"/>
      <c r="H17" s="791">
        <f>SUMIF(79:79,G18,80:80)-SUMIF(79:79,C18,80:80)+100</f>
        <v>100</v>
      </c>
      <c r="I17" s="100"/>
      <c r="J17" s="791">
        <f>SUMIF(79:79,I18,80:80)-SUMIF(79:79,C18,80:80)+100</f>
        <v>100</v>
      </c>
      <c r="K17" s="949"/>
      <c r="L17" s="2282"/>
      <c r="M17" s="2277"/>
      <c r="N17" s="2277"/>
      <c r="O17" s="2277"/>
      <c r="P17" s="3670"/>
      <c r="Q17" s="2200" t="str">
        <f>B17</f>
        <v>交通便捷度</v>
      </c>
      <c r="R17" s="1341" t="s">
        <v>65</v>
      </c>
      <c r="S17" s="1342">
        <f>F17</f>
        <v>100</v>
      </c>
      <c r="T17" s="1341" t="s">
        <v>65</v>
      </c>
      <c r="U17" s="1342">
        <f>H17</f>
        <v>100</v>
      </c>
      <c r="V17" s="1341" t="s">
        <v>65</v>
      </c>
      <c r="W17" s="1342">
        <f>J17</f>
        <v>100</v>
      </c>
      <c r="X17" s="2202"/>
      <c r="Y17" s="3663"/>
      <c r="Z17" s="2201" t="str">
        <f>Q17</f>
        <v>交通便捷度</v>
      </c>
      <c r="AA17" s="1344">
        <f t="shared" si="3"/>
        <v>1</v>
      </c>
      <c r="AB17" s="1344">
        <f t="shared" si="4"/>
        <v>1</v>
      </c>
      <c r="AC17" s="2318">
        <f t="shared" si="5"/>
        <v>1</v>
      </c>
    </row>
    <row r="18" spans="1:29" ht="14.25">
      <c r="A18" s="149"/>
      <c r="B18" s="1025"/>
      <c r="C18" s="191"/>
      <c r="D18" s="786"/>
      <c r="E18" s="104"/>
      <c r="F18" s="786"/>
      <c r="G18" s="103"/>
      <c r="H18" s="784"/>
      <c r="I18" s="103"/>
      <c r="J18" s="784"/>
      <c r="K18" s="187"/>
      <c r="L18" s="2282"/>
      <c r="M18" s="2277"/>
      <c r="N18" s="2277"/>
      <c r="O18" s="2277"/>
      <c r="P18" s="3670"/>
      <c r="Q18" s="2200"/>
      <c r="R18" s="1341"/>
      <c r="S18" s="1342"/>
      <c r="T18" s="1341"/>
      <c r="U18" s="1342"/>
      <c r="V18" s="1341"/>
      <c r="W18" s="1342"/>
      <c r="X18" s="2202"/>
      <c r="Y18" s="3663"/>
      <c r="Z18" s="2201"/>
      <c r="AA18" s="1344">
        <v>1</v>
      </c>
      <c r="AB18" s="1344">
        <v>1</v>
      </c>
      <c r="AC18" s="2318">
        <v>1</v>
      </c>
    </row>
    <row r="19" spans="1:29" ht="40.5">
      <c r="A19" s="149"/>
      <c r="B19" s="1024" t="s">
        <v>2653</v>
      </c>
      <c r="C19" s="208" t="str">
        <f>估价对象房地状况!C7</f>
        <v>估价对象所在区域公共配套设施齐备较齐备</v>
      </c>
      <c r="D19" s="791">
        <v>100</v>
      </c>
      <c r="E19" s="106"/>
      <c r="F19" s="791">
        <f>SUMIF(81:81,E20,82:82)-SUMIF(81:81,C20,82:82)+100</f>
        <v>100</v>
      </c>
      <c r="G19" s="105"/>
      <c r="H19" s="786">
        <f>SUMIF(81:81,G20,82:82)-SUMIF(81:81,C20,82:82)+100</f>
        <v>100</v>
      </c>
      <c r="I19" s="105"/>
      <c r="J19" s="786">
        <f>SUMIF(81:81,I20,82:82)-SUMIF(81:81,C20,82:82)+100</f>
        <v>100</v>
      </c>
      <c r="K19" s="949"/>
      <c r="L19" s="2282"/>
      <c r="M19" s="2277"/>
      <c r="N19" s="2277"/>
      <c r="O19" s="2277"/>
      <c r="P19" s="3670"/>
      <c r="Q19" s="2200" t="str">
        <f>B19</f>
        <v>公共配套设施</v>
      </c>
      <c r="R19" s="1341" t="s">
        <v>65</v>
      </c>
      <c r="S19" s="1342">
        <f>F19</f>
        <v>100</v>
      </c>
      <c r="T19" s="1341" t="s">
        <v>65</v>
      </c>
      <c r="U19" s="1342">
        <f>H19</f>
        <v>100</v>
      </c>
      <c r="V19" s="1341" t="s">
        <v>65</v>
      </c>
      <c r="W19" s="1342">
        <f>J19</f>
        <v>100</v>
      </c>
      <c r="X19" s="2202"/>
      <c r="Y19" s="3663"/>
      <c r="Z19" s="2201" t="str">
        <f>Q19</f>
        <v>公共配套设施</v>
      </c>
      <c r="AA19" s="1344">
        <f t="shared" si="3"/>
        <v>1</v>
      </c>
      <c r="AB19" s="1344">
        <f t="shared" si="4"/>
        <v>1</v>
      </c>
      <c r="AC19" s="2318">
        <f t="shared" si="5"/>
        <v>1</v>
      </c>
    </row>
    <row r="20" spans="1:29" ht="14.25">
      <c r="A20" s="149"/>
      <c r="B20" s="1025"/>
      <c r="C20" s="190"/>
      <c r="D20" s="784"/>
      <c r="E20" s="99"/>
      <c r="F20" s="784"/>
      <c r="G20" s="98"/>
      <c r="H20" s="784"/>
      <c r="I20" s="98"/>
      <c r="J20" s="784"/>
      <c r="K20" s="187"/>
      <c r="L20" s="2282"/>
      <c r="M20" s="2277"/>
      <c r="N20" s="2277"/>
      <c r="O20" s="2277"/>
      <c r="P20" s="3670"/>
      <c r="Q20" s="2200"/>
      <c r="R20" s="1341"/>
      <c r="S20" s="1342"/>
      <c r="T20" s="1341"/>
      <c r="U20" s="1342"/>
      <c r="V20" s="1341"/>
      <c r="W20" s="1342"/>
      <c r="X20" s="2202"/>
      <c r="Y20" s="3663"/>
      <c r="Z20" s="2201"/>
      <c r="AA20" s="1344">
        <v>1</v>
      </c>
      <c r="AB20" s="1344">
        <v>1</v>
      </c>
      <c r="AC20" s="2318">
        <v>1</v>
      </c>
    </row>
    <row r="21" spans="1:29" ht="27">
      <c r="A21" s="149"/>
      <c r="B21" s="1026" t="s">
        <v>2654</v>
      </c>
      <c r="C21" s="208" t="str">
        <f>估价对象房地状况!C8</f>
        <v>区域基础设施水平达七通</v>
      </c>
      <c r="D21" s="786">
        <v>100</v>
      </c>
      <c r="E21" s="106"/>
      <c r="F21" s="791">
        <f>SUMIF(83:83,E22,84:84)-SUMIF(83:83,C22,84:84)+100</f>
        <v>100</v>
      </c>
      <c r="G21" s="105"/>
      <c r="H21" s="786">
        <f>SUMIF(83:83,G22,84:84)-SUMIF(83:83,C22,84:84)+100</f>
        <v>100</v>
      </c>
      <c r="I21" s="105"/>
      <c r="J21" s="786">
        <f>SUMIF(83:83,I22,84:84)-SUMIF(83:83,C22,84:84)+100</f>
        <v>100</v>
      </c>
      <c r="K21" s="949"/>
      <c r="L21" s="2282"/>
      <c r="M21" s="2277"/>
      <c r="N21" s="2277"/>
      <c r="O21" s="2277"/>
      <c r="P21" s="3670"/>
      <c r="Q21" s="2727" t="str">
        <f>B21</f>
        <v>基础设施水平</v>
      </c>
      <c r="R21" s="1341" t="s">
        <v>65</v>
      </c>
      <c r="S21" s="1342">
        <f>F21</f>
        <v>100</v>
      </c>
      <c r="T21" s="1341" t="s">
        <v>65</v>
      </c>
      <c r="U21" s="1342">
        <f>H21</f>
        <v>100</v>
      </c>
      <c r="V21" s="1341" t="s">
        <v>65</v>
      </c>
      <c r="W21" s="1342">
        <f>J21</f>
        <v>100</v>
      </c>
      <c r="X21" s="2729"/>
      <c r="Y21" s="3663"/>
      <c r="Z21" s="2728" t="str">
        <f>Q21</f>
        <v>基础设施水平</v>
      </c>
      <c r="AA21" s="1344">
        <f t="shared" ref="AA21" si="8">D21/F21</f>
        <v>1</v>
      </c>
      <c r="AB21" s="1344">
        <f t="shared" ref="AB21" si="9">D21/H21</f>
        <v>1</v>
      </c>
      <c r="AC21" s="2318">
        <f t="shared" ref="AC21" si="10">D21/J21</f>
        <v>1</v>
      </c>
    </row>
    <row r="22" spans="1:29" ht="14.25">
      <c r="A22" s="149"/>
      <c r="B22" s="1026"/>
      <c r="C22" s="191"/>
      <c r="D22" s="784"/>
      <c r="E22" s="97"/>
      <c r="F22" s="784"/>
      <c r="G22" s="190"/>
      <c r="H22" s="784"/>
      <c r="I22" s="190"/>
      <c r="J22" s="784"/>
      <c r="K22" s="2747"/>
      <c r="L22" s="2282"/>
      <c r="M22" s="2277"/>
      <c r="N22" s="2277"/>
      <c r="O22" s="2277"/>
      <c r="P22" s="3670"/>
      <c r="Q22" s="2727"/>
      <c r="R22" s="1341"/>
      <c r="S22" s="1342"/>
      <c r="T22" s="1341"/>
      <c r="U22" s="1342"/>
      <c r="V22" s="1341"/>
      <c r="W22" s="1342"/>
      <c r="X22" s="2729"/>
      <c r="Y22" s="3663"/>
      <c r="Z22" s="2728"/>
      <c r="AA22" s="1344">
        <v>1</v>
      </c>
      <c r="AB22" s="1344">
        <v>1</v>
      </c>
      <c r="AC22" s="2318">
        <v>1</v>
      </c>
    </row>
    <row r="23" spans="1:29" ht="54">
      <c r="A23" s="149"/>
      <c r="B23" s="1024" t="s">
        <v>143</v>
      </c>
      <c r="C23" s="208" t="str">
        <f>估价对象房地状况!C9</f>
        <v>周边有北京广播电视大学、康庄公园；综合评价环境状况较好</v>
      </c>
      <c r="D23" s="786">
        <v>100</v>
      </c>
      <c r="E23" s="101"/>
      <c r="F23" s="786">
        <f>SUMIF(85:85,E24,86:86)-SUMIF(85:85,C24,86:86)+100</f>
        <v>100</v>
      </c>
      <c r="G23" s="100"/>
      <c r="H23" s="786">
        <f>SUMIF(85:85,G24,86:86)-SUMIF(85:85,C24,86:86)+100</f>
        <v>100</v>
      </c>
      <c r="I23" s="100"/>
      <c r="J23" s="786">
        <f>SUMIF(85:85,I24,86:86)-SUMIF(85:85,C24,86:86)+100</f>
        <v>100</v>
      </c>
      <c r="K23" s="949"/>
      <c r="L23" s="2282"/>
      <c r="M23" s="2277"/>
      <c r="N23" s="2277"/>
      <c r="O23" s="2277"/>
      <c r="P23" s="3670"/>
      <c r="Q23" s="2200" t="str">
        <f>B23</f>
        <v>环境质量</v>
      </c>
      <c r="R23" s="1341" t="s">
        <v>65</v>
      </c>
      <c r="S23" s="1342">
        <f>F23</f>
        <v>100</v>
      </c>
      <c r="T23" s="1341" t="s">
        <v>65</v>
      </c>
      <c r="U23" s="1342">
        <f>H23</f>
        <v>100</v>
      </c>
      <c r="V23" s="1341" t="s">
        <v>65</v>
      </c>
      <c r="W23" s="1342">
        <f>J23</f>
        <v>100</v>
      </c>
      <c r="X23" s="2202"/>
      <c r="Y23" s="3663"/>
      <c r="Z23" s="2201" t="str">
        <f>Q23</f>
        <v>环境质量</v>
      </c>
      <c r="AA23" s="1344">
        <f t="shared" si="3"/>
        <v>1</v>
      </c>
      <c r="AB23" s="1344">
        <f t="shared" si="4"/>
        <v>1</v>
      </c>
      <c r="AC23" s="2318">
        <f t="shared" si="5"/>
        <v>1</v>
      </c>
    </row>
    <row r="24" spans="1:29" ht="14.25">
      <c r="A24" s="149"/>
      <c r="B24" s="1026"/>
      <c r="C24" s="190"/>
      <c r="D24" s="784"/>
      <c r="E24" s="99"/>
      <c r="F24" s="784"/>
      <c r="G24" s="98"/>
      <c r="H24" s="784"/>
      <c r="I24" s="98"/>
      <c r="J24" s="784"/>
      <c r="K24" s="187"/>
      <c r="L24" s="2282"/>
      <c r="M24" s="2277"/>
      <c r="N24" s="2277"/>
      <c r="O24" s="2277"/>
      <c r="P24" s="3670"/>
      <c r="Q24" s="2200"/>
      <c r="R24" s="1341"/>
      <c r="S24" s="1342"/>
      <c r="T24" s="1341"/>
      <c r="U24" s="1342"/>
      <c r="V24" s="1341"/>
      <c r="W24" s="1342"/>
      <c r="X24" s="2202"/>
      <c r="Y24" s="3663"/>
      <c r="Z24" s="2201"/>
      <c r="AA24" s="1344">
        <v>1</v>
      </c>
      <c r="AB24" s="1344">
        <v>1</v>
      </c>
      <c r="AC24" s="2318">
        <v>1</v>
      </c>
    </row>
    <row r="25" spans="1:29" ht="27">
      <c r="A25" s="144"/>
      <c r="B25" s="1024" t="s">
        <v>144</v>
      </c>
      <c r="C25" s="192"/>
      <c r="D25" s="771">
        <v>100</v>
      </c>
      <c r="E25" s="93"/>
      <c r="F25" s="771">
        <f>SUMIF(87:87,E26,88:88)-SUMIF(87:87,C26,88:88)+100</f>
        <v>100</v>
      </c>
      <c r="G25" s="192"/>
      <c r="H25" s="771">
        <f>SUMIF(87:87,G26,88:88)-SUMIF(87:87,C26,88:88)+100</f>
        <v>100</v>
      </c>
      <c r="I25" s="93"/>
      <c r="J25" s="771">
        <f>SUMIF(87:87,I26,88:88)-SUMIF(87:87,C26,88:88)+100</f>
        <v>100</v>
      </c>
      <c r="K25" s="949"/>
      <c r="L25" s="2282"/>
      <c r="M25" s="2277"/>
      <c r="N25" s="2277"/>
      <c r="O25" s="2277"/>
      <c r="P25" s="3670"/>
      <c r="Q25" s="2200" t="str">
        <f>B25</f>
        <v>毗邻道路的类型与等级</v>
      </c>
      <c r="R25" s="1341" t="s">
        <v>65</v>
      </c>
      <c r="S25" s="1342">
        <f>F25</f>
        <v>100</v>
      </c>
      <c r="T25" s="1341" t="s">
        <v>65</v>
      </c>
      <c r="U25" s="1342">
        <f>H25</f>
        <v>100</v>
      </c>
      <c r="V25" s="1341" t="s">
        <v>65</v>
      </c>
      <c r="W25" s="1342">
        <f>J25</f>
        <v>100</v>
      </c>
      <c r="X25" s="2202"/>
      <c r="Y25" s="3663"/>
      <c r="Z25" s="2201" t="str">
        <f>Q25</f>
        <v>毗邻道路的类型与等级</v>
      </c>
      <c r="AA25" s="1344">
        <f t="shared" si="3"/>
        <v>1</v>
      </c>
      <c r="AB25" s="1344">
        <f t="shared" si="4"/>
        <v>1</v>
      </c>
      <c r="AC25" s="2318">
        <f t="shared" si="5"/>
        <v>1</v>
      </c>
    </row>
    <row r="26" spans="1:29" ht="14.25">
      <c r="A26" s="144"/>
      <c r="B26" s="1025"/>
      <c r="C26" s="193"/>
      <c r="D26" s="771"/>
      <c r="E26" s="180"/>
      <c r="F26" s="771"/>
      <c r="G26" s="193"/>
      <c r="H26" s="771"/>
      <c r="I26" s="180"/>
      <c r="J26" s="771"/>
      <c r="K26" s="187"/>
      <c r="L26" s="2282"/>
      <c r="M26" s="2277"/>
      <c r="N26" s="2277"/>
      <c r="O26" s="2277"/>
      <c r="P26" s="3670"/>
      <c r="Q26" s="2200"/>
      <c r="R26" s="1341"/>
      <c r="S26" s="1342"/>
      <c r="T26" s="1341"/>
      <c r="U26" s="1342"/>
      <c r="V26" s="1341"/>
      <c r="W26" s="1342"/>
      <c r="X26" s="2202"/>
      <c r="Y26" s="3663"/>
      <c r="Z26" s="2201"/>
      <c r="AA26" s="1344">
        <v>1</v>
      </c>
      <c r="AB26" s="1344">
        <v>1</v>
      </c>
      <c r="AC26" s="2318">
        <v>1</v>
      </c>
    </row>
    <row r="27" spans="1:29" ht="15">
      <c r="A27" s="149"/>
      <c r="B27" s="1025" t="s">
        <v>1080</v>
      </c>
      <c r="C27" s="193"/>
      <c r="D27" s="771">
        <v>100</v>
      </c>
      <c r="E27" s="180"/>
      <c r="F27" s="771">
        <f>SUMIF(89:89,E27,90:90)-SUMIF(89:89,C27,90:90)+100</f>
        <v>100</v>
      </c>
      <c r="G27" s="193"/>
      <c r="H27" s="771">
        <f>SUMIF(89:89,G27,90:90)-SUMIF(89:89,C27,90:90)+100</f>
        <v>100</v>
      </c>
      <c r="I27" s="180"/>
      <c r="J27" s="771">
        <f>SUMIF(89:89,I27,90:90)-SUMIF(89:89,C27,90:90)+100</f>
        <v>100</v>
      </c>
      <c r="K27" s="947"/>
      <c r="L27" s="2282"/>
      <c r="M27" s="2277"/>
      <c r="N27" s="2277"/>
      <c r="O27" s="2277"/>
      <c r="P27" s="3670"/>
      <c r="Q27" s="2200" t="str">
        <f t="shared" ref="Q27:Q47" si="11">B27</f>
        <v>楼层</v>
      </c>
      <c r="R27" s="1341" t="s">
        <v>65</v>
      </c>
      <c r="S27" s="1342">
        <f>F27</f>
        <v>100</v>
      </c>
      <c r="T27" s="1341" t="s">
        <v>65</v>
      </c>
      <c r="U27" s="1342">
        <f>H27</f>
        <v>100</v>
      </c>
      <c r="V27" s="1341" t="s">
        <v>65</v>
      </c>
      <c r="W27" s="1342">
        <f>J27</f>
        <v>100</v>
      </c>
      <c r="X27" s="2202"/>
      <c r="Y27" s="3663"/>
      <c r="Z27" s="2201" t="str">
        <f>Q27</f>
        <v>楼层</v>
      </c>
      <c r="AA27" s="1344">
        <f t="shared" si="3"/>
        <v>1</v>
      </c>
      <c r="AB27" s="1344">
        <f t="shared" si="4"/>
        <v>1</v>
      </c>
      <c r="AC27" s="2318">
        <f t="shared" si="5"/>
        <v>1</v>
      </c>
    </row>
    <row r="28" spans="1:29" s="40" customFormat="1" ht="15">
      <c r="A28" s="1020"/>
      <c r="B28" s="1024" t="s">
        <v>145</v>
      </c>
      <c r="C28" s="1394"/>
      <c r="D28" s="798">
        <v>100</v>
      </c>
      <c r="E28" s="1376"/>
      <c r="F28" s="798">
        <f>SUMIF(91:91,E28,92:92)-SUMIF(91:91,C28,92:92)+100</f>
        <v>100</v>
      </c>
      <c r="G28" s="1394"/>
      <c r="H28" s="798">
        <f>SUMIF(91:91,G28,92:92)-SUMIF(91:91,C28,92:92)+100</f>
        <v>100</v>
      </c>
      <c r="I28" s="1376"/>
      <c r="J28" s="798">
        <f>SUMIF(91:91,I28,92:92)-SUMIF(91:91,C28,92:92)+100</f>
        <v>100</v>
      </c>
      <c r="K28" s="947"/>
      <c r="L28" s="2278"/>
      <c r="M28" s="2240"/>
      <c r="N28" s="2240"/>
      <c r="O28" s="2240"/>
      <c r="P28" s="3670"/>
      <c r="Q28" s="2193" t="str">
        <f t="shared" si="11"/>
        <v>朝向</v>
      </c>
      <c r="R28" s="1332" t="s">
        <v>65</v>
      </c>
      <c r="S28" s="1333">
        <f>F28</f>
        <v>100</v>
      </c>
      <c r="T28" s="1332" t="s">
        <v>65</v>
      </c>
      <c r="U28" s="1333">
        <f>H28</f>
        <v>100</v>
      </c>
      <c r="V28" s="1332" t="s">
        <v>65</v>
      </c>
      <c r="W28" s="1333">
        <f>J28</f>
        <v>100</v>
      </c>
      <c r="X28" s="285"/>
      <c r="Y28" s="3663"/>
      <c r="Z28" s="2192" t="str">
        <f>Q28</f>
        <v>朝向</v>
      </c>
      <c r="AA28" s="1344">
        <f>D28/F28</f>
        <v>1</v>
      </c>
      <c r="AB28" s="1344">
        <f>D28/H28</f>
        <v>1</v>
      </c>
      <c r="AC28" s="2318">
        <f>D28/J28</f>
        <v>1</v>
      </c>
    </row>
    <row r="29" spans="1:29" ht="14.25">
      <c r="A29" s="149"/>
      <c r="B29" s="1028">
        <v>111</v>
      </c>
      <c r="C29" s="192"/>
      <c r="D29" s="771">
        <v>100</v>
      </c>
      <c r="E29" s="1016"/>
      <c r="F29" s="771">
        <f>SUMIF(93:93,E29,94:94)-SUMIF(93:93,C29,94:94)+100</f>
        <v>100</v>
      </c>
      <c r="G29" s="1392"/>
      <c r="H29" s="771">
        <f>SUMIF(93:93,G29,94:94)-SUMIF(93:93,C29,94:94)+100</f>
        <v>100</v>
      </c>
      <c r="I29" s="1016"/>
      <c r="J29" s="771">
        <f>SUMIF(93:93,I29,94:94)-SUMIF(93:93,C29,94:94)+100</f>
        <v>100</v>
      </c>
      <c r="K29" s="186"/>
      <c r="L29" s="2282"/>
      <c r="M29" s="2277"/>
      <c r="N29" s="2277"/>
      <c r="O29" s="2277"/>
      <c r="P29" s="3670"/>
      <c r="Q29" s="2200">
        <f t="shared" si="11"/>
        <v>111</v>
      </c>
      <c r="R29" s="1341" t="s">
        <v>65</v>
      </c>
      <c r="S29" s="1342">
        <f t="shared" ref="S29:S47" si="12">F29</f>
        <v>100</v>
      </c>
      <c r="T29" s="1341" t="s">
        <v>65</v>
      </c>
      <c r="U29" s="1342">
        <f t="shared" ref="U29:U47" si="13">H29</f>
        <v>100</v>
      </c>
      <c r="V29" s="1341" t="s">
        <v>65</v>
      </c>
      <c r="W29" s="1342">
        <f t="shared" ref="W29:W47" si="14">J29</f>
        <v>100</v>
      </c>
      <c r="X29" s="2202"/>
      <c r="Y29" s="3663"/>
      <c r="Z29" s="2201">
        <f t="shared" ref="Z29:Z47" si="15">Q29</f>
        <v>111</v>
      </c>
      <c r="AA29" s="1344">
        <f t="shared" si="3"/>
        <v>1</v>
      </c>
      <c r="AB29" s="1344">
        <f t="shared" si="4"/>
        <v>1</v>
      </c>
      <c r="AC29" s="2318">
        <f t="shared" si="5"/>
        <v>1</v>
      </c>
    </row>
    <row r="30" spans="1:29" ht="14.25">
      <c r="A30" s="149"/>
      <c r="B30" s="1028">
        <v>111</v>
      </c>
      <c r="C30" s="192"/>
      <c r="D30" s="771">
        <v>100</v>
      </c>
      <c r="E30" s="1016"/>
      <c r="F30" s="771">
        <f>SUMIF(95:95,E30,96:96)-SUMIF(95:95,C30,96:96)+100</f>
        <v>100</v>
      </c>
      <c r="G30" s="1392"/>
      <c r="H30" s="771">
        <f>SUMIF(95:95,G30,96:96)-SUMIF(95:95,C30,96:96)+100</f>
        <v>100</v>
      </c>
      <c r="I30" s="1016"/>
      <c r="J30" s="771">
        <f>SUMIF(95:95,I30,96:96)-SUMIF(95:95,C30,96:96)+100</f>
        <v>100</v>
      </c>
      <c r="K30" s="186"/>
      <c r="L30" s="2282"/>
      <c r="M30" s="2277"/>
      <c r="N30" s="2277"/>
      <c r="O30" s="2277"/>
      <c r="P30" s="3670"/>
      <c r="Q30" s="2200">
        <f t="shared" si="11"/>
        <v>111</v>
      </c>
      <c r="R30" s="1341" t="s">
        <v>65</v>
      </c>
      <c r="S30" s="1342">
        <f t="shared" si="12"/>
        <v>100</v>
      </c>
      <c r="T30" s="1341" t="s">
        <v>65</v>
      </c>
      <c r="U30" s="1342">
        <f t="shared" si="13"/>
        <v>100</v>
      </c>
      <c r="V30" s="1341" t="s">
        <v>65</v>
      </c>
      <c r="W30" s="1342">
        <f t="shared" si="14"/>
        <v>100</v>
      </c>
      <c r="X30" s="2202"/>
      <c r="Y30" s="3663"/>
      <c r="Z30" s="2201">
        <f t="shared" si="15"/>
        <v>111</v>
      </c>
      <c r="AA30" s="1344">
        <f t="shared" si="3"/>
        <v>1</v>
      </c>
      <c r="AB30" s="1344">
        <f t="shared" si="4"/>
        <v>1</v>
      </c>
      <c r="AC30" s="2318">
        <f t="shared" si="5"/>
        <v>1</v>
      </c>
    </row>
    <row r="31" spans="1:29" ht="14.25">
      <c r="A31" s="149"/>
      <c r="B31" s="1028">
        <v>111</v>
      </c>
      <c r="C31" s="192"/>
      <c r="D31" s="771">
        <v>100</v>
      </c>
      <c r="E31" s="1016"/>
      <c r="F31" s="771">
        <f>SUMIF(97:97,E31,98:98)-SUMIF(97:97,C31,98:98)+100</f>
        <v>100</v>
      </c>
      <c r="G31" s="1392"/>
      <c r="H31" s="771">
        <f>SUMIF(97:97,G31,98:98)-SUMIF(97:97,C31,98:98)+100</f>
        <v>100</v>
      </c>
      <c r="I31" s="1016"/>
      <c r="J31" s="771">
        <f>SUMIF(97:97,I31,98:98)-SUMIF(97:97,C31,98:98)+100</f>
        <v>100</v>
      </c>
      <c r="K31" s="186"/>
      <c r="L31" s="2282"/>
      <c r="M31" s="2277"/>
      <c r="N31" s="2277"/>
      <c r="O31" s="2277"/>
      <c r="P31" s="3670"/>
      <c r="Q31" s="2200">
        <f t="shared" si="11"/>
        <v>111</v>
      </c>
      <c r="R31" s="1341" t="s">
        <v>65</v>
      </c>
      <c r="S31" s="1342">
        <f t="shared" si="12"/>
        <v>100</v>
      </c>
      <c r="T31" s="1341" t="s">
        <v>65</v>
      </c>
      <c r="U31" s="1342">
        <f t="shared" si="13"/>
        <v>100</v>
      </c>
      <c r="V31" s="1341" t="s">
        <v>65</v>
      </c>
      <c r="W31" s="1342">
        <f t="shared" si="14"/>
        <v>100</v>
      </c>
      <c r="X31" s="2202"/>
      <c r="Y31" s="3663"/>
      <c r="Z31" s="2201">
        <f t="shared" si="15"/>
        <v>111</v>
      </c>
      <c r="AA31" s="1344">
        <f t="shared" si="3"/>
        <v>1</v>
      </c>
      <c r="AB31" s="1344">
        <f t="shared" si="4"/>
        <v>1</v>
      </c>
      <c r="AC31" s="2318">
        <f t="shared" si="5"/>
        <v>1</v>
      </c>
    </row>
    <row r="32" spans="1:29" ht="15" thickBot="1">
      <c r="A32" s="152"/>
      <c r="B32" s="1395">
        <v>111</v>
      </c>
      <c r="C32" s="194"/>
      <c r="D32" s="774">
        <v>100</v>
      </c>
      <c r="E32" s="1393"/>
      <c r="F32" s="774">
        <f>SUMIF(99:99,E32,100:100)-SUMIF(99:99,C32,100:100)+100</f>
        <v>100</v>
      </c>
      <c r="G32" s="1392"/>
      <c r="H32" s="774">
        <f>SUMIF(99:99,G32,100:100)-SUMIF(99:99,C32,100:100)+100</f>
        <v>100</v>
      </c>
      <c r="I32" s="1016"/>
      <c r="J32" s="774">
        <f>SUMIF(99:99,I32,100:100)-SUMIF(99:99,C32,100:100)+100</f>
        <v>100</v>
      </c>
      <c r="K32" s="186"/>
      <c r="L32" s="2282"/>
      <c r="M32" s="2277"/>
      <c r="N32" s="2277"/>
      <c r="O32" s="2277"/>
      <c r="P32" s="3670"/>
      <c r="Q32" s="2200">
        <f t="shared" si="11"/>
        <v>111</v>
      </c>
      <c r="R32" s="1341" t="s">
        <v>65</v>
      </c>
      <c r="S32" s="1342">
        <f t="shared" si="12"/>
        <v>100</v>
      </c>
      <c r="T32" s="1341" t="s">
        <v>65</v>
      </c>
      <c r="U32" s="1342">
        <f t="shared" si="13"/>
        <v>100</v>
      </c>
      <c r="V32" s="1341" t="s">
        <v>65</v>
      </c>
      <c r="W32" s="1342">
        <f t="shared" si="14"/>
        <v>100</v>
      </c>
      <c r="X32" s="2202"/>
      <c r="Y32" s="3663"/>
      <c r="Z32" s="2201">
        <f t="shared" si="15"/>
        <v>111</v>
      </c>
      <c r="AA32" s="1344">
        <f t="shared" si="3"/>
        <v>1</v>
      </c>
      <c r="AB32" s="1344">
        <f t="shared" si="4"/>
        <v>1</v>
      </c>
      <c r="AC32" s="2318">
        <f t="shared" si="5"/>
        <v>1</v>
      </c>
    </row>
    <row r="33" spans="1:29" ht="15">
      <c r="A33" s="153" t="s">
        <v>1081</v>
      </c>
      <c r="B33" s="62" t="s">
        <v>1082</v>
      </c>
      <c r="C33" s="195"/>
      <c r="D33" s="802">
        <v>100</v>
      </c>
      <c r="E33" s="195"/>
      <c r="F33" s="797">
        <f>SUMIF(101:101,E33,102:102)-SUMIF(101:101,C33,102:102)+100</f>
        <v>100</v>
      </c>
      <c r="G33" s="195"/>
      <c r="H33" s="771">
        <f>SUMIF(101:101,G33,102:102)-SUMIF(101:101,C33,102:102)+100</f>
        <v>100</v>
      </c>
      <c r="I33" s="195"/>
      <c r="J33" s="802">
        <f>SUMIF(101:101,I33,102:102)-SUMIF(101:101,C33,102:102)+100</f>
        <v>100</v>
      </c>
      <c r="K33" s="947"/>
      <c r="L33" s="2282"/>
      <c r="M33" s="2277"/>
      <c r="N33" s="2277"/>
      <c r="O33" s="2277"/>
      <c r="P33" s="3664" t="s">
        <v>1083</v>
      </c>
      <c r="Q33" s="2200" t="str">
        <f t="shared" si="11"/>
        <v>建筑类型</v>
      </c>
      <c r="R33" s="1341" t="s">
        <v>65</v>
      </c>
      <c r="S33" s="1342">
        <f t="shared" si="12"/>
        <v>100</v>
      </c>
      <c r="T33" s="1341" t="s">
        <v>65</v>
      </c>
      <c r="U33" s="1342">
        <f t="shared" si="13"/>
        <v>100</v>
      </c>
      <c r="V33" s="1341" t="s">
        <v>65</v>
      </c>
      <c r="W33" s="1342">
        <f t="shared" si="14"/>
        <v>100</v>
      </c>
      <c r="X33" s="2202"/>
      <c r="Y33" s="3667" t="s">
        <v>1083</v>
      </c>
      <c r="Z33" s="2201" t="str">
        <f t="shared" si="15"/>
        <v>建筑类型</v>
      </c>
      <c r="AA33" s="1344">
        <f t="shared" si="3"/>
        <v>1</v>
      </c>
      <c r="AB33" s="1344">
        <f t="shared" si="4"/>
        <v>1</v>
      </c>
      <c r="AC33" s="2318">
        <f t="shared" si="5"/>
        <v>1</v>
      </c>
    </row>
    <row r="34" spans="1:29" s="1029" customFormat="1" ht="14.25">
      <c r="A34" s="1033"/>
      <c r="B34" s="12" t="s">
        <v>76</v>
      </c>
      <c r="C34" s="804"/>
      <c r="D34" s="422">
        <v>100</v>
      </c>
      <c r="E34" s="766"/>
      <c r="F34" s="761" t="e">
        <f>LOOKUP(E34,104:104,105:105)-LOOKUP(C34,104:104,105:105)+100</f>
        <v>#N/A</v>
      </c>
      <c r="G34" s="765"/>
      <c r="H34" s="422" t="e">
        <f>LOOKUP(G34,104:104,105:105)-LOOKUP(C34,104:104,105:105)+100</f>
        <v>#N/A</v>
      </c>
      <c r="I34" s="765"/>
      <c r="J34" s="422" t="e">
        <f>LOOKUP(I34,104:104,105:105)-LOOKUP(C34,104:104,105:105)+100</f>
        <v>#N/A</v>
      </c>
      <c r="K34" s="186"/>
      <c r="L34" s="2281"/>
      <c r="M34" s="2283"/>
      <c r="N34" s="2283"/>
      <c r="O34" s="2283"/>
      <c r="P34" s="3665"/>
      <c r="Q34" s="1348" t="str">
        <f t="shared" si="11"/>
        <v>项目建筑规模</v>
      </c>
      <c r="R34" s="1349" t="s">
        <v>65</v>
      </c>
      <c r="S34" s="1350" t="e">
        <f t="shared" si="12"/>
        <v>#N/A</v>
      </c>
      <c r="T34" s="1349" t="s">
        <v>65</v>
      </c>
      <c r="U34" s="1350" t="e">
        <f t="shared" si="13"/>
        <v>#N/A</v>
      </c>
      <c r="V34" s="1349" t="s">
        <v>65</v>
      </c>
      <c r="W34" s="1350" t="e">
        <f t="shared" si="14"/>
        <v>#N/A</v>
      </c>
      <c r="X34" s="1351"/>
      <c r="Y34" s="3667"/>
      <c r="Z34" s="1352" t="str">
        <f t="shared" si="15"/>
        <v>项目建筑规模</v>
      </c>
      <c r="AA34" s="1344" t="e">
        <f t="shared" si="3"/>
        <v>#N/A</v>
      </c>
      <c r="AB34" s="1344" t="e">
        <f t="shared" si="4"/>
        <v>#N/A</v>
      </c>
      <c r="AC34" s="2318" t="e">
        <f t="shared" si="5"/>
        <v>#N/A</v>
      </c>
    </row>
    <row r="35" spans="1:29" ht="15">
      <c r="A35" s="159"/>
      <c r="B35" s="12" t="s">
        <v>77</v>
      </c>
      <c r="C35" s="107"/>
      <c r="D35" s="771">
        <v>100</v>
      </c>
      <c r="E35" s="107"/>
      <c r="F35" s="797">
        <f>SUMIF(106:106,E35,107:107)-SUMIF(106:106,C35,107:107)+100</f>
        <v>100</v>
      </c>
      <c r="G35" s="107"/>
      <c r="H35" s="771">
        <f>SUMIF(106:106,G35,107:107)-SUMIF(106:106,C35,107:107)+100</f>
        <v>100</v>
      </c>
      <c r="I35" s="107"/>
      <c r="J35" s="771">
        <f>SUMIF(106:106,I35,107:107)-SUMIF(106:106,C35,107:107)+100</f>
        <v>100</v>
      </c>
      <c r="K35" s="947"/>
      <c r="L35" s="2282"/>
      <c r="M35" s="2277"/>
      <c r="N35" s="2277"/>
      <c r="O35" s="2277"/>
      <c r="P35" s="3665"/>
      <c r="Q35" s="2200" t="str">
        <f t="shared" si="11"/>
        <v>建筑结构</v>
      </c>
      <c r="R35" s="1341" t="s">
        <v>65</v>
      </c>
      <c r="S35" s="1342">
        <f t="shared" si="12"/>
        <v>100</v>
      </c>
      <c r="T35" s="1341" t="s">
        <v>65</v>
      </c>
      <c r="U35" s="1342">
        <f t="shared" si="13"/>
        <v>100</v>
      </c>
      <c r="V35" s="1341" t="s">
        <v>65</v>
      </c>
      <c r="W35" s="1342">
        <f t="shared" si="14"/>
        <v>100</v>
      </c>
      <c r="X35" s="2202"/>
      <c r="Y35" s="3667"/>
      <c r="Z35" s="2201" t="str">
        <f t="shared" si="15"/>
        <v>建筑结构</v>
      </c>
      <c r="AA35" s="1344">
        <f t="shared" si="3"/>
        <v>1</v>
      </c>
      <c r="AB35" s="1344">
        <f t="shared" si="4"/>
        <v>1</v>
      </c>
      <c r="AC35" s="2318">
        <f t="shared" si="5"/>
        <v>1</v>
      </c>
    </row>
    <row r="36" spans="1:29" ht="15">
      <c r="A36" s="159"/>
      <c r="B36" s="12" t="s">
        <v>133</v>
      </c>
      <c r="C36" s="107"/>
      <c r="D36" s="771">
        <v>100</v>
      </c>
      <c r="E36" s="107"/>
      <c r="F36" s="797">
        <f>SUMIF(108:108,E36,109:109)-SUMIF(108:108,C36,109:109)+100</f>
        <v>100</v>
      </c>
      <c r="G36" s="107"/>
      <c r="H36" s="771">
        <f>SUMIF(108:108,G36,109:109)-SUMIF(108:108,C36,109:109)+100</f>
        <v>100</v>
      </c>
      <c r="I36" s="107"/>
      <c r="J36" s="771">
        <f>SUMIF(108:108,I36,109:109)-SUMIF(108:108,C36,109:109)+100</f>
        <v>100</v>
      </c>
      <c r="K36" s="947"/>
      <c r="L36" s="2282"/>
      <c r="M36" s="2277"/>
      <c r="N36" s="2277"/>
      <c r="O36" s="2277"/>
      <c r="P36" s="3665"/>
      <c r="Q36" s="2200" t="str">
        <f t="shared" si="11"/>
        <v>公共部分装修</v>
      </c>
      <c r="R36" s="1341" t="s">
        <v>65</v>
      </c>
      <c r="S36" s="1342">
        <f t="shared" si="12"/>
        <v>100</v>
      </c>
      <c r="T36" s="1341" t="s">
        <v>65</v>
      </c>
      <c r="U36" s="1342">
        <f t="shared" si="13"/>
        <v>100</v>
      </c>
      <c r="V36" s="1341" t="s">
        <v>65</v>
      </c>
      <c r="W36" s="1342">
        <f t="shared" si="14"/>
        <v>100</v>
      </c>
      <c r="X36" s="2202"/>
      <c r="Y36" s="3667"/>
      <c r="Z36" s="2201" t="str">
        <f t="shared" si="15"/>
        <v>公共部分装修</v>
      </c>
      <c r="AA36" s="1344">
        <f t="shared" si="3"/>
        <v>1</v>
      </c>
      <c r="AB36" s="1344">
        <f t="shared" si="4"/>
        <v>1</v>
      </c>
      <c r="AC36" s="2318">
        <f t="shared" si="5"/>
        <v>1</v>
      </c>
    </row>
    <row r="37" spans="1:29" ht="15">
      <c r="A37" s="159"/>
      <c r="B37" s="12" t="s">
        <v>134</v>
      </c>
      <c r="C37" s="809"/>
      <c r="D37" s="771">
        <v>100</v>
      </c>
      <c r="E37" s="809"/>
      <c r="F37" s="797" t="e">
        <f>LOOKUP(E37,111:111,112:112)-LOOKUP(C37,111:111,112:112)+100</f>
        <v>#N/A</v>
      </c>
      <c r="G37" s="809"/>
      <c r="H37" s="797" t="e">
        <f>LOOKUP(G37,111:111,112:112)-LOOKUP(C37,111:111,112:112)+100</f>
        <v>#N/A</v>
      </c>
      <c r="I37" s="809"/>
      <c r="J37" s="771" t="e">
        <f>LOOKUP(I37,111:111,112:112)-LOOKUP(C37,111:111,112:112)+100</f>
        <v>#N/A</v>
      </c>
      <c r="K37" s="947"/>
      <c r="L37" s="2282"/>
      <c r="M37" s="2277"/>
      <c r="N37" s="2277"/>
      <c r="O37" s="2277"/>
      <c r="P37" s="3665"/>
      <c r="Q37" s="2200" t="str">
        <f t="shared" si="11"/>
        <v>成新度</v>
      </c>
      <c r="R37" s="1341" t="s">
        <v>65</v>
      </c>
      <c r="S37" s="1342" t="e">
        <f t="shared" si="12"/>
        <v>#N/A</v>
      </c>
      <c r="T37" s="1341" t="s">
        <v>65</v>
      </c>
      <c r="U37" s="1342" t="e">
        <f t="shared" si="13"/>
        <v>#N/A</v>
      </c>
      <c r="V37" s="1341" t="s">
        <v>65</v>
      </c>
      <c r="W37" s="1342" t="e">
        <f t="shared" si="14"/>
        <v>#N/A</v>
      </c>
      <c r="X37" s="2202"/>
      <c r="Y37" s="3667"/>
      <c r="Z37" s="2201" t="str">
        <f t="shared" si="15"/>
        <v>成新度</v>
      </c>
      <c r="AA37" s="1344" t="e">
        <f t="shared" si="3"/>
        <v>#N/A</v>
      </c>
      <c r="AB37" s="1344" t="e">
        <f t="shared" si="4"/>
        <v>#N/A</v>
      </c>
      <c r="AC37" s="2318" t="e">
        <f t="shared" si="5"/>
        <v>#N/A</v>
      </c>
    </row>
    <row r="38" spans="1:29" s="40" customFormat="1" ht="15">
      <c r="A38" s="1031"/>
      <c r="B38" s="12" t="s">
        <v>147</v>
      </c>
      <c r="C38" s="107"/>
      <c r="D38" s="422">
        <v>100</v>
      </c>
      <c r="E38" s="107"/>
      <c r="F38" s="797">
        <f>SUMIF(113:113,E38,114:114)-SUMIF(113:113,C38,114:114)+100</f>
        <v>100</v>
      </c>
      <c r="G38" s="107"/>
      <c r="H38" s="771">
        <f>SUMIF(113:113,G38,114:114)-SUMIF(113:113,C38,114:114)+100</f>
        <v>100</v>
      </c>
      <c r="I38" s="107"/>
      <c r="J38" s="771">
        <f>SUMIF(113:113,I38,114:114)-SUMIF(113:113,C38,114:114)+100</f>
        <v>100</v>
      </c>
      <c r="K38" s="947"/>
      <c r="L38" s="2278"/>
      <c r="M38" s="2240"/>
      <c r="N38" s="2240"/>
      <c r="O38" s="2240"/>
      <c r="P38" s="3665"/>
      <c r="Q38" s="2193" t="str">
        <f t="shared" si="11"/>
        <v>写字楼等级</v>
      </c>
      <c r="R38" s="1332" t="s">
        <v>65</v>
      </c>
      <c r="S38" s="1333">
        <f t="shared" si="12"/>
        <v>100</v>
      </c>
      <c r="T38" s="1332" t="s">
        <v>65</v>
      </c>
      <c r="U38" s="1333">
        <f t="shared" si="13"/>
        <v>100</v>
      </c>
      <c r="V38" s="1332" t="s">
        <v>65</v>
      </c>
      <c r="W38" s="1333">
        <f t="shared" si="14"/>
        <v>100</v>
      </c>
      <c r="X38" s="285"/>
      <c r="Y38" s="3667"/>
      <c r="Z38" s="2192" t="str">
        <f t="shared" si="15"/>
        <v>写字楼等级</v>
      </c>
      <c r="AA38" s="1334">
        <f t="shared" si="3"/>
        <v>1</v>
      </c>
      <c r="AB38" s="1334">
        <f t="shared" si="4"/>
        <v>1</v>
      </c>
      <c r="AC38" s="2317">
        <f t="shared" si="5"/>
        <v>1</v>
      </c>
    </row>
    <row r="39" spans="1:29" ht="15">
      <c r="A39" s="159"/>
      <c r="B39" s="12" t="s">
        <v>148</v>
      </c>
      <c r="C39" s="107"/>
      <c r="D39" s="771">
        <v>100</v>
      </c>
      <c r="E39" s="107"/>
      <c r="F39" s="797">
        <f>SUMIF(115:115,E39,116:116)-SUMIF(115:115,C39,116:116)+100</f>
        <v>100</v>
      </c>
      <c r="G39" s="107"/>
      <c r="H39" s="771">
        <f>SUMIF(115:115,G39,116:116)-SUMIF(115:115,C39,116:116)+100</f>
        <v>100</v>
      </c>
      <c r="I39" s="107"/>
      <c r="J39" s="771">
        <f>SUMIF(115:115,I39,116:116)-SUMIF(115:115,C39,116:116)+100</f>
        <v>100</v>
      </c>
      <c r="K39" s="947"/>
      <c r="L39" s="2282"/>
      <c r="M39" s="2277"/>
      <c r="N39" s="2277"/>
      <c r="O39" s="2277"/>
      <c r="P39" s="3665" t="s">
        <v>70</v>
      </c>
      <c r="Q39" s="2200" t="str">
        <f t="shared" si="11"/>
        <v>物业管理</v>
      </c>
      <c r="R39" s="1341" t="s">
        <v>65</v>
      </c>
      <c r="S39" s="1342">
        <f t="shared" si="12"/>
        <v>100</v>
      </c>
      <c r="T39" s="1341" t="s">
        <v>65</v>
      </c>
      <c r="U39" s="1342">
        <f t="shared" si="13"/>
        <v>100</v>
      </c>
      <c r="V39" s="1341" t="s">
        <v>65</v>
      </c>
      <c r="W39" s="1342">
        <f t="shared" si="14"/>
        <v>100</v>
      </c>
      <c r="X39" s="2202"/>
      <c r="Y39" s="3667" t="s">
        <v>70</v>
      </c>
      <c r="Z39" s="2201" t="str">
        <f t="shared" si="15"/>
        <v>物业管理</v>
      </c>
      <c r="AA39" s="1344">
        <f t="shared" si="3"/>
        <v>1</v>
      </c>
      <c r="AB39" s="1344">
        <f t="shared" si="4"/>
        <v>1</v>
      </c>
      <c r="AC39" s="2318">
        <f t="shared" si="5"/>
        <v>1</v>
      </c>
    </row>
    <row r="40" spans="1:29" ht="15">
      <c r="A40" s="159"/>
      <c r="B40" s="12" t="s">
        <v>2646</v>
      </c>
      <c r="C40" s="107"/>
      <c r="D40" s="771">
        <v>100</v>
      </c>
      <c r="E40" s="107"/>
      <c r="F40" s="797">
        <f>SUMIF(117:117,E40,118:118)-SUMIF(117:117,C40,118:118)+100</f>
        <v>100</v>
      </c>
      <c r="G40" s="107"/>
      <c r="H40" s="771">
        <f>SUMIF(117:117,G40,118:118)-SUMIF(117:117,C40,118:118)+100</f>
        <v>100</v>
      </c>
      <c r="I40" s="107"/>
      <c r="J40" s="771">
        <f>SUMIF(117:117,I40,118:118)-SUMIF(117:117,C40,118:118)+100</f>
        <v>100</v>
      </c>
      <c r="K40" s="947"/>
      <c r="L40" s="2282"/>
      <c r="M40" s="2277"/>
      <c r="N40" s="2277"/>
      <c r="O40" s="2277"/>
      <c r="P40" s="3665"/>
      <c r="Q40" s="2200" t="str">
        <f t="shared" si="11"/>
        <v>市政基础设施</v>
      </c>
      <c r="R40" s="1341" t="s">
        <v>65</v>
      </c>
      <c r="S40" s="1342">
        <f t="shared" si="12"/>
        <v>100</v>
      </c>
      <c r="T40" s="1341" t="s">
        <v>65</v>
      </c>
      <c r="U40" s="1342">
        <f t="shared" si="13"/>
        <v>100</v>
      </c>
      <c r="V40" s="1341" t="s">
        <v>65</v>
      </c>
      <c r="W40" s="1342">
        <f t="shared" si="14"/>
        <v>100</v>
      </c>
      <c r="X40" s="2202"/>
      <c r="Y40" s="3667"/>
      <c r="Z40" s="2201" t="str">
        <f t="shared" si="15"/>
        <v>市政基础设施</v>
      </c>
      <c r="AA40" s="1344">
        <f t="shared" si="3"/>
        <v>1</v>
      </c>
      <c r="AB40" s="1344">
        <f t="shared" si="4"/>
        <v>1</v>
      </c>
      <c r="AC40" s="2318">
        <f t="shared" si="5"/>
        <v>1</v>
      </c>
    </row>
    <row r="41" spans="1:29" ht="15">
      <c r="A41" s="159"/>
      <c r="B41" s="12" t="s">
        <v>136</v>
      </c>
      <c r="C41" s="180"/>
      <c r="D41" s="771">
        <v>100</v>
      </c>
      <c r="E41" s="180"/>
      <c r="F41" s="797">
        <f>SUMIF(119:119,E41,120:120)-SUMIF(119:119,C41,120:120)+100</f>
        <v>100</v>
      </c>
      <c r="G41" s="180"/>
      <c r="H41" s="771">
        <f>SUMIF(119:119,G41,120:120)-SUMIF(119:119,C41,120:120)+100</f>
        <v>100</v>
      </c>
      <c r="I41" s="180"/>
      <c r="J41" s="771">
        <f>SUMIF(119:119,I41,120:120)-SUMIF(119:119,C41,120:120)+100</f>
        <v>100</v>
      </c>
      <c r="K41" s="947"/>
      <c r="L41" s="2282"/>
      <c r="M41" s="2277"/>
      <c r="N41" s="2277"/>
      <c r="O41" s="2277"/>
      <c r="P41" s="3665"/>
      <c r="Q41" s="2200" t="str">
        <f t="shared" si="11"/>
        <v>层高</v>
      </c>
      <c r="R41" s="1341" t="s">
        <v>65</v>
      </c>
      <c r="S41" s="1342">
        <f t="shared" si="12"/>
        <v>100</v>
      </c>
      <c r="T41" s="1341" t="s">
        <v>65</v>
      </c>
      <c r="U41" s="1342">
        <f t="shared" si="13"/>
        <v>100</v>
      </c>
      <c r="V41" s="1341" t="s">
        <v>65</v>
      </c>
      <c r="W41" s="1342">
        <f t="shared" si="14"/>
        <v>100</v>
      </c>
      <c r="X41" s="2202"/>
      <c r="Y41" s="3667"/>
      <c r="Z41" s="2201" t="str">
        <f t="shared" si="15"/>
        <v>层高</v>
      </c>
      <c r="AA41" s="1344">
        <f t="shared" si="3"/>
        <v>1</v>
      </c>
      <c r="AB41" s="1344">
        <f t="shared" si="4"/>
        <v>1</v>
      </c>
      <c r="AC41" s="2318">
        <f t="shared" si="5"/>
        <v>1</v>
      </c>
    </row>
    <row r="42" spans="1:29" s="1029" customFormat="1" ht="14.25">
      <c r="A42" s="1033"/>
      <c r="B42" s="189" t="s">
        <v>1084</v>
      </c>
      <c r="C42" s="770"/>
      <c r="D42" s="771">
        <v>100</v>
      </c>
      <c r="E42" s="770"/>
      <c r="F42" s="797">
        <f>SUMIF(121:121,E42,122:122)-SUMIF(121:121,C42,122:122)+100</f>
        <v>100</v>
      </c>
      <c r="G42" s="770"/>
      <c r="H42" s="771">
        <f>SUMIF(121:121,G42,122:122)-SUMIF(121:121,C42,122:122)+100</f>
        <v>100</v>
      </c>
      <c r="I42" s="770"/>
      <c r="J42" s="771">
        <f>SUMIF(121:121,I42,122:122)-SUMIF(121:121,C42,122:122)+100</f>
        <v>100</v>
      </c>
      <c r="K42" s="186"/>
      <c r="L42" s="2281"/>
      <c r="M42" s="2283"/>
      <c r="N42" s="2283"/>
      <c r="O42" s="2283"/>
      <c r="P42" s="3665"/>
      <c r="Q42" s="1348" t="str">
        <f t="shared" si="11"/>
        <v>单套建筑面积</v>
      </c>
      <c r="R42" s="1349" t="s">
        <v>65</v>
      </c>
      <c r="S42" s="1350">
        <f t="shared" si="12"/>
        <v>100</v>
      </c>
      <c r="T42" s="1349" t="s">
        <v>65</v>
      </c>
      <c r="U42" s="1350">
        <f t="shared" si="13"/>
        <v>100</v>
      </c>
      <c r="V42" s="1349" t="s">
        <v>65</v>
      </c>
      <c r="W42" s="1350">
        <f t="shared" si="14"/>
        <v>100</v>
      </c>
      <c r="X42" s="1351"/>
      <c r="Y42" s="3667"/>
      <c r="Z42" s="1352" t="str">
        <f t="shared" si="15"/>
        <v>单套建筑面积</v>
      </c>
      <c r="AA42" s="1344">
        <f t="shared" si="3"/>
        <v>1</v>
      </c>
      <c r="AB42" s="1344">
        <f t="shared" si="4"/>
        <v>1</v>
      </c>
      <c r="AC42" s="2318">
        <f t="shared" si="5"/>
        <v>1</v>
      </c>
    </row>
    <row r="43" spans="1:29" ht="15">
      <c r="A43" s="159"/>
      <c r="B43" s="12" t="s">
        <v>1085</v>
      </c>
      <c r="C43" s="107"/>
      <c r="D43" s="771">
        <v>100</v>
      </c>
      <c r="E43" s="107"/>
      <c r="F43" s="797">
        <f>SUMIF(123:123,E43,124:124)-SUMIF(123:123,C43,124:124)+100</f>
        <v>100</v>
      </c>
      <c r="G43" s="107"/>
      <c r="H43" s="771">
        <f>SUMIF(123:123,G43,124:124)-SUMIF(123:123,C43,124:124)+100</f>
        <v>100</v>
      </c>
      <c r="I43" s="107"/>
      <c r="J43" s="771">
        <f>SUMIF(123:123,I43,124:124)-SUMIF(123:123,C43,124:124)+100</f>
        <v>100</v>
      </c>
      <c r="K43" s="947"/>
      <c r="L43" s="2282"/>
      <c r="M43" s="2277"/>
      <c r="N43" s="2277"/>
      <c r="O43" s="2277"/>
      <c r="P43" s="3665"/>
      <c r="Q43" s="2200" t="str">
        <f t="shared" si="11"/>
        <v>内部装修</v>
      </c>
      <c r="R43" s="1341" t="s">
        <v>65</v>
      </c>
      <c r="S43" s="1342">
        <f t="shared" si="12"/>
        <v>100</v>
      </c>
      <c r="T43" s="1341" t="s">
        <v>65</v>
      </c>
      <c r="U43" s="1342">
        <f t="shared" si="13"/>
        <v>100</v>
      </c>
      <c r="V43" s="1341" t="s">
        <v>65</v>
      </c>
      <c r="W43" s="1342">
        <f t="shared" si="14"/>
        <v>100</v>
      </c>
      <c r="X43" s="2202"/>
      <c r="Y43" s="3667"/>
      <c r="Z43" s="2201" t="str">
        <f t="shared" si="15"/>
        <v>内部装修</v>
      </c>
      <c r="AA43" s="1344">
        <f t="shared" si="3"/>
        <v>1</v>
      </c>
      <c r="AB43" s="1344">
        <f t="shared" si="4"/>
        <v>1</v>
      </c>
      <c r="AC43" s="2318">
        <f t="shared" si="5"/>
        <v>1</v>
      </c>
    </row>
    <row r="44" spans="1:29" ht="27">
      <c r="A44" s="159"/>
      <c r="B44" s="12" t="s">
        <v>84</v>
      </c>
      <c r="C44" s="107"/>
      <c r="D44" s="771">
        <v>100</v>
      </c>
      <c r="E44" s="109"/>
      <c r="F44" s="797">
        <f>SUMIF(125:125,E44,126:126)-SUMIF(125:125,C44,126:126)+100</f>
        <v>100</v>
      </c>
      <c r="G44" s="109"/>
      <c r="H44" s="771">
        <f>SUMIF(125:125,G44,126:126)-SUMIF(125:125,C44,126:126)+100</f>
        <v>100</v>
      </c>
      <c r="I44" s="109"/>
      <c r="J44" s="771">
        <f>SUMIF(125:125,I44,126:126)-SUMIF(125:125,C44,126:126)+100</f>
        <v>100</v>
      </c>
      <c r="K44" s="947"/>
      <c r="L44" s="2282"/>
      <c r="M44" s="2277"/>
      <c r="N44" s="2277"/>
      <c r="O44" s="2277"/>
      <c r="P44" s="3665"/>
      <c r="Q44" s="2200" t="str">
        <f t="shared" si="11"/>
        <v>内部装修维护情况</v>
      </c>
      <c r="R44" s="1341" t="s">
        <v>65</v>
      </c>
      <c r="S44" s="1342">
        <f t="shared" si="12"/>
        <v>100</v>
      </c>
      <c r="T44" s="1341" t="s">
        <v>65</v>
      </c>
      <c r="U44" s="1342">
        <f t="shared" si="13"/>
        <v>100</v>
      </c>
      <c r="V44" s="1341" t="s">
        <v>65</v>
      </c>
      <c r="W44" s="1342">
        <f t="shared" si="14"/>
        <v>100</v>
      </c>
      <c r="X44" s="2202"/>
      <c r="Y44" s="3667"/>
      <c r="Z44" s="2201" t="str">
        <f t="shared" si="15"/>
        <v>内部装修维护情况</v>
      </c>
      <c r="AA44" s="1344">
        <f t="shared" si="3"/>
        <v>1</v>
      </c>
      <c r="AB44" s="1344">
        <f t="shared" si="4"/>
        <v>1</v>
      </c>
      <c r="AC44" s="2318">
        <f t="shared" si="5"/>
        <v>1</v>
      </c>
    </row>
    <row r="45" spans="1:29" s="40" customFormat="1" ht="14.25">
      <c r="A45" s="1031"/>
      <c r="B45" s="1346">
        <v>111</v>
      </c>
      <c r="C45" s="1347"/>
      <c r="D45" s="422">
        <v>100</v>
      </c>
      <c r="E45" s="1016"/>
      <c r="F45" s="761">
        <f>SUMIF(127:127,E45,128:128)-SUMIF(127:127,C45,128:128)+100</f>
        <v>100</v>
      </c>
      <c r="G45" s="1016"/>
      <c r="H45" s="422">
        <f>SUMIF(127:127,G45,128:128)-SUMIF(127:127,C45,128:128)+100</f>
        <v>100</v>
      </c>
      <c r="I45" s="1016"/>
      <c r="J45" s="422">
        <f>SUMIF(127:127,I45,128:128)-SUMIF(127:127,C45,128:128)+100</f>
        <v>100</v>
      </c>
      <c r="K45" s="186"/>
      <c r="L45" s="2278"/>
      <c r="M45" s="2240"/>
      <c r="N45" s="2240"/>
      <c r="O45" s="2240"/>
      <c r="P45" s="3665"/>
      <c r="Q45" s="2193">
        <f t="shared" si="11"/>
        <v>111</v>
      </c>
      <c r="R45" s="1332" t="s">
        <v>65</v>
      </c>
      <c r="S45" s="1333">
        <f t="shared" si="12"/>
        <v>100</v>
      </c>
      <c r="T45" s="1332" t="s">
        <v>65</v>
      </c>
      <c r="U45" s="1333">
        <f t="shared" si="13"/>
        <v>100</v>
      </c>
      <c r="V45" s="1332" t="s">
        <v>65</v>
      </c>
      <c r="W45" s="1333">
        <f t="shared" si="14"/>
        <v>100</v>
      </c>
      <c r="X45" s="285"/>
      <c r="Y45" s="3667"/>
      <c r="Z45" s="2192">
        <f t="shared" si="15"/>
        <v>111</v>
      </c>
      <c r="AA45" s="1334">
        <f t="shared" si="3"/>
        <v>1</v>
      </c>
      <c r="AB45" s="1334">
        <f t="shared" si="4"/>
        <v>1</v>
      </c>
      <c r="AC45" s="2317">
        <f t="shared" si="5"/>
        <v>1</v>
      </c>
    </row>
    <row r="46" spans="1:29" ht="14.25">
      <c r="A46" s="159"/>
      <c r="B46" s="1346">
        <v>111</v>
      </c>
      <c r="C46" s="93"/>
      <c r="D46" s="771">
        <v>100</v>
      </c>
      <c r="E46" s="1016"/>
      <c r="F46" s="797">
        <f>SUMIF(129:129,E46,130:130)-SUMIF(129:129,C46,130:130)+100</f>
        <v>100</v>
      </c>
      <c r="G46" s="1016"/>
      <c r="H46" s="771">
        <f>SUMIF(129:129,G46,130:130)-SUMIF(129:129,C46,130:130)+100</f>
        <v>100</v>
      </c>
      <c r="I46" s="1016"/>
      <c r="J46" s="771">
        <f>SUMIF(129:129,I46,130:130)-SUMIF(129:129,C46,130:130)+100</f>
        <v>100</v>
      </c>
      <c r="K46" s="186"/>
      <c r="L46" s="2282"/>
      <c r="M46" s="2277"/>
      <c r="N46" s="2277"/>
      <c r="O46" s="2277"/>
      <c r="P46" s="3665"/>
      <c r="Q46" s="2200">
        <f t="shared" si="11"/>
        <v>111</v>
      </c>
      <c r="R46" s="1341" t="s">
        <v>65</v>
      </c>
      <c r="S46" s="1342">
        <f t="shared" si="12"/>
        <v>100</v>
      </c>
      <c r="T46" s="1341" t="s">
        <v>65</v>
      </c>
      <c r="U46" s="1342">
        <f t="shared" si="13"/>
        <v>100</v>
      </c>
      <c r="V46" s="1341" t="s">
        <v>65</v>
      </c>
      <c r="W46" s="1342">
        <f t="shared" si="14"/>
        <v>100</v>
      </c>
      <c r="X46" s="2202"/>
      <c r="Y46" s="3667"/>
      <c r="Z46" s="2201">
        <f t="shared" si="15"/>
        <v>111</v>
      </c>
      <c r="AA46" s="1344">
        <f t="shared" si="3"/>
        <v>1</v>
      </c>
      <c r="AB46" s="1344">
        <f t="shared" si="4"/>
        <v>1</v>
      </c>
      <c r="AC46" s="2318">
        <f t="shared" si="5"/>
        <v>1</v>
      </c>
    </row>
    <row r="47" spans="1:29" ht="15" thickBot="1">
      <c r="A47" s="160"/>
      <c r="B47" s="1022">
        <v>111</v>
      </c>
      <c r="C47" s="94"/>
      <c r="D47" s="774">
        <v>100</v>
      </c>
      <c r="E47" s="1016"/>
      <c r="F47" s="775">
        <f>SUMIF(131:131,E47,132:132)-SUMIF(131:131,C47,132:132)+100</f>
        <v>100</v>
      </c>
      <c r="G47" s="1016"/>
      <c r="H47" s="774">
        <f>SUMIF(131:131,G47,132:132)-SUMIF(131:131,C47,132:132)+100</f>
        <v>100</v>
      </c>
      <c r="I47" s="1016"/>
      <c r="J47" s="774">
        <f>SUMIF(131:131,I47,132:132)-SUMIF(131:131,C47,132:132)+100</f>
        <v>100</v>
      </c>
      <c r="K47" s="186"/>
      <c r="L47" s="2282"/>
      <c r="M47" s="2277"/>
      <c r="N47" s="2277"/>
      <c r="O47" s="2277"/>
      <c r="P47" s="3666"/>
      <c r="Q47" s="2200">
        <f t="shared" si="11"/>
        <v>111</v>
      </c>
      <c r="R47" s="1341" t="s">
        <v>65</v>
      </c>
      <c r="S47" s="1342">
        <f t="shared" si="12"/>
        <v>100</v>
      </c>
      <c r="T47" s="1341" t="s">
        <v>65</v>
      </c>
      <c r="U47" s="1342">
        <f t="shared" si="13"/>
        <v>100</v>
      </c>
      <c r="V47" s="1341" t="s">
        <v>65</v>
      </c>
      <c r="W47" s="1342">
        <f t="shared" si="14"/>
        <v>100</v>
      </c>
      <c r="X47" s="2202"/>
      <c r="Y47" s="3668"/>
      <c r="Z47" s="2201">
        <f t="shared" si="15"/>
        <v>111</v>
      </c>
      <c r="AA47" s="1344">
        <f t="shared" si="3"/>
        <v>1</v>
      </c>
      <c r="AB47" s="1344">
        <f t="shared" si="4"/>
        <v>1</v>
      </c>
      <c r="AC47" s="2318">
        <f t="shared" si="5"/>
        <v>1</v>
      </c>
    </row>
    <row r="48" spans="1:29" ht="15">
      <c r="A48" s="161" t="s">
        <v>1026</v>
      </c>
      <c r="B48" s="162"/>
      <c r="C48" s="2814" t="s">
        <v>23</v>
      </c>
      <c r="D48" s="2815"/>
      <c r="E48" s="2816"/>
      <c r="F48" s="2817"/>
      <c r="G48" s="2818"/>
      <c r="H48" s="2819"/>
      <c r="I48" s="2816"/>
      <c r="J48" s="820"/>
      <c r="K48" s="1382"/>
      <c r="L48" s="2284"/>
      <c r="M48" s="2277"/>
      <c r="N48" s="2277"/>
      <c r="O48" s="2277"/>
      <c r="P48" s="3671" t="str">
        <f>A48</f>
        <v>成交单价（元/平方米）</v>
      </c>
      <c r="Q48" s="3660"/>
      <c r="R48" s="3661">
        <f>E48</f>
        <v>0</v>
      </c>
      <c r="S48" s="3661"/>
      <c r="T48" s="3661">
        <f>G48</f>
        <v>0</v>
      </c>
      <c r="U48" s="3661"/>
      <c r="V48" s="3661">
        <f>I48</f>
        <v>0</v>
      </c>
      <c r="W48" s="3661"/>
      <c r="X48" s="154"/>
      <c r="Y48" s="1355"/>
      <c r="Z48" s="154"/>
      <c r="AA48" s="154"/>
      <c r="AB48" s="154"/>
      <c r="AC48" s="207"/>
    </row>
    <row r="49" spans="1:29" ht="15.75" thickBot="1">
      <c r="A49" s="163" t="s">
        <v>1027</v>
      </c>
      <c r="B49" s="164"/>
      <c r="C49" s="2820" t="e">
        <f>R50</f>
        <v>#DIV/0!</v>
      </c>
      <c r="D49" s="2821"/>
      <c r="E49" s="2822" t="e">
        <f>R49</f>
        <v>#DIV/0!</v>
      </c>
      <c r="F49" s="2822"/>
      <c r="G49" s="2820" t="e">
        <f>T49</f>
        <v>#DIV/0!</v>
      </c>
      <c r="H49" s="2821"/>
      <c r="I49" s="2822" t="e">
        <f>V49</f>
        <v>#DIV/0!</v>
      </c>
      <c r="J49" s="824"/>
      <c r="K49" s="1383"/>
      <c r="L49" s="2284"/>
      <c r="M49" s="2277"/>
      <c r="N49" s="2277"/>
      <c r="O49" s="2277"/>
      <c r="P49" s="3671"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54"/>
      <c r="Y49" s="154"/>
      <c r="Z49" s="154"/>
      <c r="AA49" s="154"/>
      <c r="AB49" s="154"/>
      <c r="AC49" s="207"/>
    </row>
    <row r="50" spans="1:29" ht="15.75" thickBot="1">
      <c r="A50" s="113" t="s">
        <v>3009</v>
      </c>
      <c r="B50" s="114"/>
      <c r="C50" s="2824" t="e">
        <f>R50</f>
        <v>#DIV/0!</v>
      </c>
      <c r="D50" s="2824"/>
      <c r="E50" s="2824"/>
      <c r="F50" s="2824"/>
      <c r="G50" s="2824"/>
      <c r="H50" s="2824"/>
      <c r="I50" s="2824"/>
      <c r="J50" s="829"/>
      <c r="K50" s="1384"/>
      <c r="L50" s="2284"/>
      <c r="M50" s="2277"/>
      <c r="N50" s="2277"/>
      <c r="O50" s="2277"/>
      <c r="P50" s="3707" t="str">
        <f>A50</f>
        <v>估价对象XX用房的比较价值（楼面单价，元/平方米）</v>
      </c>
      <c r="Q50" s="3708"/>
      <c r="R50" s="3709" t="e">
        <f>IF(F1="售价",ROUND(AVERAGE(R49:V49),0),ROUND(AVERAGE(R49:V49),1))</f>
        <v>#DIV/0!</v>
      </c>
      <c r="S50" s="3709"/>
      <c r="T50" s="3709"/>
      <c r="U50" s="3709"/>
      <c r="V50" s="3709"/>
      <c r="W50" s="3709"/>
      <c r="X50" s="2158"/>
      <c r="Y50" s="2158"/>
      <c r="Z50" s="2158"/>
      <c r="AA50" s="2158"/>
      <c r="AB50" s="2158"/>
      <c r="AC50" s="2159"/>
    </row>
    <row r="51" spans="1:29">
      <c r="A51" s="2285"/>
      <c r="B51" s="2285"/>
      <c r="C51" s="2285"/>
      <c r="D51" s="2285"/>
      <c r="E51" s="2285"/>
      <c r="F51" s="2285"/>
      <c r="G51" s="2294"/>
      <c r="H51" s="2285"/>
      <c r="I51" s="2285"/>
      <c r="J51" s="2285"/>
      <c r="K51" s="2286"/>
      <c r="L51" s="2287"/>
      <c r="M51" s="2285"/>
      <c r="N51" s="2285"/>
      <c r="O51" s="2285"/>
    </row>
    <row r="52" spans="1:29">
      <c r="A52" s="2285"/>
      <c r="B52" s="2285"/>
      <c r="C52" s="2285"/>
      <c r="D52" s="2285"/>
      <c r="E52" s="2285"/>
      <c r="F52" s="2285"/>
      <c r="G52" s="2285"/>
      <c r="H52" s="2285"/>
      <c r="I52" s="2285"/>
      <c r="J52" s="2285"/>
      <c r="K52" s="2286"/>
      <c r="L52" s="2287"/>
      <c r="M52" s="2285"/>
      <c r="N52" s="2285"/>
      <c r="O52" s="2285"/>
    </row>
    <row r="53" spans="1:29" ht="13.5" customHeight="1">
      <c r="A53" s="2285"/>
      <c r="B53" s="2285"/>
      <c r="C53" s="832" t="s">
        <v>996</v>
      </c>
      <c r="D53" s="833"/>
      <c r="E53" s="834" t="e">
        <f>IF(E48&lt;E49,E49/E48-1,E48/E49-1)</f>
        <v>#DIV/0!</v>
      </c>
      <c r="F53" s="835" t="e">
        <f>IF(OR(E53&gt;=0.3,E53&lt;=-0.3),"超过30%","")</f>
        <v>#DIV/0!</v>
      </c>
      <c r="G53" s="834" t="e">
        <f>IF(G48&lt;G49,G49/G48-1,G48/G49-1)</f>
        <v>#DIV/0!</v>
      </c>
      <c r="H53" s="835" t="e">
        <f>IF(OR(G53&gt;=0.3,G53&lt;=-0.3),"超过30%","")</f>
        <v>#DIV/0!</v>
      </c>
      <c r="I53" s="834" t="e">
        <f>IF(I48&lt;I49,I49/I48-1,I48/I49-1)</f>
        <v>#DIV/0!</v>
      </c>
      <c r="J53" s="835" t="e">
        <f>IF(OR(I53&gt;=0.3,I53&lt;=-0.3),"超过30%","")</f>
        <v>#DIV/0!</v>
      </c>
      <c r="K53" s="2286"/>
      <c r="L53" s="2287"/>
      <c r="M53" s="2285"/>
      <c r="N53" s="2285"/>
      <c r="O53" s="2285"/>
    </row>
    <row r="54" spans="1:29" ht="13.5" customHeight="1">
      <c r="A54" s="2285"/>
      <c r="B54" s="2285"/>
      <c r="C54" s="832" t="s">
        <v>997</v>
      </c>
      <c r="D54" s="836"/>
      <c r="E54" s="834" t="e">
        <f>IF(E49&lt;G49,G49/E49-1,E49/G49-1)</f>
        <v>#DIV/0!</v>
      </c>
      <c r="F54" s="835" t="e">
        <f>IF(OR(E54&gt;=0.2,E54&lt;=-0.2),"超过20%","")</f>
        <v>#DIV/0!</v>
      </c>
      <c r="G54" s="834" t="e">
        <f>IF(G49&lt;I49,I49/G49-1,G49/I49-1)</f>
        <v>#DIV/0!</v>
      </c>
      <c r="H54" s="835" t="e">
        <f>IF(OR(G54&gt;=0.2,G54&lt;=-0.2),"超过20%","")</f>
        <v>#DIV/0!</v>
      </c>
      <c r="I54" s="834" t="e">
        <f>IF(I49&lt;E49,E49/I49-1,I49/E49-1)</f>
        <v>#DIV/0!</v>
      </c>
      <c r="J54" s="835" t="e">
        <f>IF(OR(I54&gt;=0.2,I54&lt;=-0.2),"超过20%","")</f>
        <v>#DIV/0!</v>
      </c>
      <c r="K54" s="2286"/>
      <c r="L54" s="2287"/>
      <c r="M54" s="2285"/>
      <c r="N54" s="2285"/>
      <c r="O54" s="2285"/>
    </row>
    <row r="55" spans="1:29" s="117" customFormat="1" ht="13.5" customHeight="1">
      <c r="A55" s="2290"/>
      <c r="B55" s="2290"/>
      <c r="C55" s="832" t="s">
        <v>998</v>
      </c>
      <c r="D55" s="836"/>
      <c r="E55" s="834" t="e">
        <f>IF(E48&lt;G48,G48/E48-1,E48/G48-1)</f>
        <v>#DIV/0!</v>
      </c>
      <c r="F55" s="835" t="e">
        <f>IF(OR(E55&gt;=0.3,E55&lt;=-0.3),"超过30%","")</f>
        <v>#DIV/0!</v>
      </c>
      <c r="G55" s="834" t="e">
        <f>IF(G48&lt;I48,I48/G48-1,G48/I48-1)</f>
        <v>#DIV/0!</v>
      </c>
      <c r="H55" s="835" t="e">
        <f>IF(OR(G55&gt;=0.3,G55&lt;=-0.3),"超过30%","")</f>
        <v>#DIV/0!</v>
      </c>
      <c r="I55" s="834" t="e">
        <f>IF(I48&lt;E48,E48/I48-1,I48/E48-1)</f>
        <v>#DIV/0!</v>
      </c>
      <c r="J55" s="835" t="e">
        <f>IF(OR(I55&gt;=0.3,I55&lt;=-0.3),"超过30%","")</f>
        <v>#DIV/0!</v>
      </c>
      <c r="K55" s="2288"/>
      <c r="L55" s="2289"/>
      <c r="M55" s="2290"/>
      <c r="N55" s="2290"/>
      <c r="O55" s="2290"/>
      <c r="P55" s="2306"/>
    </row>
    <row r="56" spans="1:29" s="117" customFormat="1">
      <c r="A56" s="2290"/>
      <c r="B56" s="2295"/>
      <c r="C56" s="2296"/>
      <c r="D56" s="2290"/>
      <c r="E56" s="2290"/>
      <c r="F56" s="2290"/>
      <c r="G56" s="2290"/>
      <c r="H56" s="2290"/>
      <c r="I56" s="2290"/>
      <c r="J56" s="2290"/>
      <c r="K56" s="2288"/>
      <c r="L56" s="2289"/>
      <c r="M56" s="2290"/>
      <c r="N56" s="2290"/>
      <c r="O56" s="2290"/>
      <c r="P56" s="2306"/>
    </row>
    <row r="57" spans="1:29">
      <c r="A57" s="2285"/>
      <c r="B57" s="2295"/>
      <c r="C57" s="2296"/>
      <c r="D57" s="2285"/>
      <c r="E57" s="2285"/>
      <c r="F57" s="2285"/>
      <c r="G57" s="2285"/>
      <c r="H57" s="2285"/>
      <c r="I57" s="2285"/>
      <c r="J57" s="2285"/>
      <c r="K57" s="2286"/>
      <c r="L57" s="2287"/>
      <c r="M57" s="2285"/>
      <c r="N57" s="2285"/>
      <c r="O57" s="2285"/>
    </row>
    <row r="58" spans="1:29" ht="21" thickBot="1">
      <c r="A58" s="1361" t="s">
        <v>1028</v>
      </c>
      <c r="B58" s="1354"/>
      <c r="C58" s="1362"/>
      <c r="D58" s="1362"/>
      <c r="E58" s="1362"/>
      <c r="F58" s="1363"/>
      <c r="G58" s="1363"/>
      <c r="H58" s="1362"/>
      <c r="I58" s="1362"/>
      <c r="J58" s="1362"/>
      <c r="K58" s="1364"/>
      <c r="L58" s="2292"/>
      <c r="M58" s="2293"/>
      <c r="N58" s="2293"/>
      <c r="O58" s="2293"/>
      <c r="P58" s="2307"/>
      <c r="Q58" s="119"/>
    </row>
    <row r="59" spans="1:29" s="843" customFormat="1" ht="15">
      <c r="A59" s="840" t="s">
        <v>2785</v>
      </c>
      <c r="B59" s="841"/>
      <c r="C59" s="3022" t="str">
        <f>YEAR(C7)&amp;"-"&amp;MONTH(C7)</f>
        <v>2017-9</v>
      </c>
      <c r="D59" s="3023">
        <f>EDATE(C59,-1)</f>
        <v>42948</v>
      </c>
      <c r="E59" s="3023">
        <f>EDATE(D59,-1)</f>
        <v>42917</v>
      </c>
      <c r="F59" s="3023">
        <f t="shared" ref="F59:O59" si="16">EDATE(E59,-1)</f>
        <v>42887</v>
      </c>
      <c r="G59" s="3023">
        <f t="shared" si="16"/>
        <v>42856</v>
      </c>
      <c r="H59" s="3023">
        <f t="shared" si="16"/>
        <v>42826</v>
      </c>
      <c r="I59" s="3023">
        <f t="shared" si="16"/>
        <v>42795</v>
      </c>
      <c r="J59" s="3023">
        <f t="shared" si="16"/>
        <v>42767</v>
      </c>
      <c r="K59" s="3023">
        <f t="shared" si="16"/>
        <v>42736</v>
      </c>
      <c r="L59" s="3023">
        <f t="shared" si="16"/>
        <v>42705</v>
      </c>
      <c r="M59" s="3023">
        <f t="shared" si="16"/>
        <v>42675</v>
      </c>
      <c r="N59" s="3023">
        <f t="shared" si="16"/>
        <v>42644</v>
      </c>
      <c r="O59" s="3023">
        <f t="shared" si="16"/>
        <v>42614</v>
      </c>
      <c r="P59" s="3017"/>
    </row>
    <row r="60" spans="1:29" s="40" customFormat="1" ht="14.25">
      <c r="A60" s="1035"/>
      <c r="B60" s="1036"/>
      <c r="C60" s="3020">
        <v>100</v>
      </c>
      <c r="D60" s="847"/>
      <c r="E60" s="847"/>
      <c r="F60" s="847"/>
      <c r="G60" s="847"/>
      <c r="H60" s="847"/>
      <c r="I60" s="847"/>
      <c r="J60" s="847"/>
      <c r="K60" s="847"/>
      <c r="L60" s="847"/>
      <c r="M60" s="848"/>
      <c r="N60" s="847"/>
      <c r="O60" s="848"/>
      <c r="P60" s="2308"/>
    </row>
    <row r="61" spans="1:29" s="40" customFormat="1" ht="15" thickBot="1">
      <c r="A61" s="1037" t="s">
        <v>1029</v>
      </c>
      <c r="B61" s="1038"/>
      <c r="C61" s="852"/>
      <c r="D61" s="853"/>
      <c r="E61" s="853"/>
      <c r="F61" s="853"/>
      <c r="G61" s="853"/>
      <c r="H61" s="853"/>
      <c r="I61" s="853"/>
      <c r="J61" s="853"/>
      <c r="K61" s="853"/>
      <c r="L61" s="853"/>
      <c r="M61" s="854"/>
      <c r="N61" s="853"/>
      <c r="O61" s="854"/>
      <c r="P61" s="2308"/>
      <c r="Q61" s="119"/>
    </row>
    <row r="62" spans="1:29" s="40" customFormat="1">
      <c r="A62" s="1039" t="s">
        <v>1030</v>
      </c>
      <c r="B62" s="1036"/>
      <c r="C62" s="1040" t="s">
        <v>1031</v>
      </c>
      <c r="D62" s="138"/>
      <c r="E62" s="138"/>
      <c r="F62" s="138"/>
      <c r="G62" s="138"/>
      <c r="H62" s="138"/>
      <c r="I62" s="138"/>
      <c r="J62" s="138"/>
      <c r="K62" s="138"/>
      <c r="L62" s="139"/>
      <c r="M62" s="1041"/>
      <c r="N62" s="1377"/>
      <c r="O62" s="1377"/>
      <c r="P62" s="2309"/>
      <c r="Q62" s="119"/>
    </row>
    <row r="63" spans="1:29" s="40" customFormat="1" ht="15" thickBot="1">
      <c r="A63" s="1039"/>
      <c r="B63" s="1036"/>
      <c r="C63" s="846">
        <v>100</v>
      </c>
      <c r="D63" s="847"/>
      <c r="E63" s="847"/>
      <c r="F63" s="847"/>
      <c r="G63" s="847"/>
      <c r="H63" s="847"/>
      <c r="I63" s="847"/>
      <c r="J63" s="847"/>
      <c r="K63" s="847"/>
      <c r="L63" s="847"/>
      <c r="M63" s="849"/>
      <c r="N63" s="1377"/>
      <c r="O63" s="1377"/>
      <c r="P63" s="2308"/>
      <c r="Q63" s="119"/>
    </row>
    <row r="64" spans="1:29">
      <c r="A64" s="170" t="s">
        <v>1032</v>
      </c>
      <c r="B64" s="284" t="s">
        <v>1033</v>
      </c>
      <c r="C64" s="174">
        <f>C9</f>
        <v>0</v>
      </c>
      <c r="D64" s="120"/>
      <c r="E64" s="120"/>
      <c r="F64" s="120"/>
      <c r="G64" s="120"/>
      <c r="H64" s="120"/>
      <c r="I64" s="120"/>
      <c r="J64" s="120"/>
      <c r="K64" s="121"/>
      <c r="L64" s="122"/>
      <c r="M64" s="123"/>
      <c r="N64" s="1378"/>
      <c r="O64" s="1378"/>
      <c r="P64" s="2310"/>
      <c r="Q64" s="119"/>
    </row>
    <row r="65" spans="1:17" ht="15" thickBot="1">
      <c r="A65" s="171"/>
      <c r="B65" s="1043"/>
      <c r="C65" s="871">
        <v>100</v>
      </c>
      <c r="D65" s="871"/>
      <c r="E65" s="871"/>
      <c r="F65" s="871"/>
      <c r="G65" s="871"/>
      <c r="H65" s="871"/>
      <c r="I65" s="871"/>
      <c r="J65" s="871"/>
      <c r="K65" s="871"/>
      <c r="L65" s="871"/>
      <c r="M65" s="872"/>
      <c r="N65" s="1379"/>
      <c r="O65" s="1379"/>
      <c r="P65" s="2310"/>
      <c r="Q65" s="119"/>
    </row>
    <row r="66" spans="1:17" ht="27.75" thickTop="1">
      <c r="A66" s="171"/>
      <c r="B66" s="1044" t="s">
        <v>1034</v>
      </c>
      <c r="C66" s="874" t="s">
        <v>999</v>
      </c>
      <c r="D66" s="874" t="s">
        <v>1000</v>
      </c>
      <c r="E66" s="874" t="s">
        <v>1001</v>
      </c>
      <c r="F66" s="874" t="s">
        <v>1002</v>
      </c>
      <c r="G66" s="874" t="s">
        <v>1003</v>
      </c>
      <c r="H66" s="874" t="s">
        <v>1004</v>
      </c>
      <c r="I66" s="874" t="s">
        <v>1005</v>
      </c>
      <c r="J66" s="874"/>
      <c r="K66" s="875"/>
      <c r="L66" s="876"/>
      <c r="M66" s="877"/>
      <c r="N66" s="1378"/>
      <c r="O66" s="1378"/>
      <c r="P66" s="2310"/>
      <c r="Q66" s="119"/>
    </row>
    <row r="67" spans="1:17" ht="15" thickBot="1">
      <c r="A67" s="171"/>
      <c r="B67" s="1045"/>
      <c r="C67" s="879" t="s">
        <v>138</v>
      </c>
      <c r="D67" s="879" t="s">
        <v>139</v>
      </c>
      <c r="E67" s="879">
        <v>100</v>
      </c>
      <c r="F67" s="879">
        <f>E67-$K10</f>
        <v>100</v>
      </c>
      <c r="G67" s="879">
        <f>F67-$K10</f>
        <v>100</v>
      </c>
      <c r="H67" s="879">
        <f>G67-$K10</f>
        <v>100</v>
      </c>
      <c r="I67" s="879">
        <f>H67-$K10</f>
        <v>100</v>
      </c>
      <c r="J67" s="879"/>
      <c r="K67" s="879"/>
      <c r="L67" s="879"/>
      <c r="M67" s="880"/>
      <c r="N67" s="1379"/>
      <c r="O67" s="1379"/>
      <c r="P67" s="2310"/>
      <c r="Q67" s="119"/>
    </row>
    <row r="68" spans="1:17" ht="15" thickTop="1">
      <c r="A68" s="171"/>
      <c r="B68" s="1046" t="s">
        <v>1035</v>
      </c>
      <c r="C68" s="882" t="str">
        <f>C69&amp;"（含）"&amp;"-"&amp;D69</f>
        <v>（含）-</v>
      </c>
      <c r="D68" s="882" t="str">
        <f t="shared" ref="D68:L68" si="17">D69&amp;"（含）"&amp;"-"&amp;E69</f>
        <v>（含）-</v>
      </c>
      <c r="E68" s="882" t="str">
        <f t="shared" si="17"/>
        <v>（含）-</v>
      </c>
      <c r="F68" s="882" t="str">
        <f t="shared" si="17"/>
        <v>（含）-</v>
      </c>
      <c r="G68" s="882" t="str">
        <f t="shared" si="17"/>
        <v>（含）-</v>
      </c>
      <c r="H68" s="882" t="str">
        <f t="shared" si="17"/>
        <v>（含）-</v>
      </c>
      <c r="I68" s="882" t="str">
        <f t="shared" si="17"/>
        <v>（含）-</v>
      </c>
      <c r="J68" s="882" t="str">
        <f t="shared" si="17"/>
        <v>（含）-</v>
      </c>
      <c r="K68" s="882" t="str">
        <f t="shared" si="17"/>
        <v>（含）-</v>
      </c>
      <c r="L68" s="882" t="str">
        <f t="shared" si="17"/>
        <v>（含）-</v>
      </c>
      <c r="M68" s="784" t="str">
        <f>M69&amp;"（含）"&amp;"-"&amp;P69</f>
        <v>（含）-</v>
      </c>
      <c r="N68" s="1379"/>
      <c r="O68" s="1379"/>
      <c r="P68" s="2310"/>
      <c r="Q68" s="119"/>
    </row>
    <row r="69" spans="1:17" ht="14.25">
      <c r="A69" s="171"/>
      <c r="B69" s="1047"/>
      <c r="C69" s="884"/>
      <c r="D69" s="884"/>
      <c r="E69" s="884"/>
      <c r="F69" s="884"/>
      <c r="G69" s="884"/>
      <c r="H69" s="884"/>
      <c r="I69" s="884"/>
      <c r="J69" s="884"/>
      <c r="K69" s="885"/>
      <c r="L69" s="886"/>
      <c r="M69" s="887"/>
      <c r="N69" s="1378"/>
      <c r="O69" s="1378"/>
      <c r="P69" s="2310"/>
      <c r="Q69" s="119"/>
    </row>
    <row r="70" spans="1:17" ht="15" thickBot="1">
      <c r="A70" s="171"/>
      <c r="B70" s="1043"/>
      <c r="C70" s="879">
        <v>100</v>
      </c>
      <c r="D70" s="879">
        <f t="shared" ref="D70:M70" si="18">C70-$K11</f>
        <v>100</v>
      </c>
      <c r="E70" s="879">
        <f t="shared" si="18"/>
        <v>100</v>
      </c>
      <c r="F70" s="879">
        <f t="shared" si="18"/>
        <v>100</v>
      </c>
      <c r="G70" s="879">
        <f t="shared" si="18"/>
        <v>100</v>
      </c>
      <c r="H70" s="879">
        <f t="shared" si="18"/>
        <v>100</v>
      </c>
      <c r="I70" s="879">
        <f t="shared" si="18"/>
        <v>100</v>
      </c>
      <c r="J70" s="879">
        <f t="shared" si="18"/>
        <v>100</v>
      </c>
      <c r="K70" s="879">
        <f t="shared" si="18"/>
        <v>100</v>
      </c>
      <c r="L70" s="879">
        <f t="shared" si="18"/>
        <v>100</v>
      </c>
      <c r="M70" s="880">
        <f t="shared" si="18"/>
        <v>100</v>
      </c>
      <c r="N70" s="1379"/>
      <c r="O70" s="1379"/>
      <c r="P70" s="2310"/>
      <c r="Q70" s="119"/>
    </row>
    <row r="71" spans="1:17" s="1029" customFormat="1" ht="14.25" thickTop="1">
      <c r="A71" s="1048"/>
      <c r="B71" s="1044">
        <f>B12</f>
        <v>111</v>
      </c>
      <c r="C71" s="137"/>
      <c r="D71" s="137"/>
      <c r="E71" s="137"/>
      <c r="F71" s="137"/>
      <c r="G71" s="137"/>
      <c r="H71" s="1049"/>
      <c r="I71" s="1049"/>
      <c r="J71" s="1049"/>
      <c r="K71" s="1049"/>
      <c r="L71" s="1050"/>
      <c r="M71" s="1051"/>
      <c r="N71" s="1380"/>
      <c r="O71" s="1380"/>
      <c r="P71" s="2311"/>
      <c r="Q71" s="1053"/>
    </row>
    <row r="72" spans="1:17" s="1029" customFormat="1" ht="15" thickBot="1">
      <c r="A72" s="1048"/>
      <c r="B72" s="1045"/>
      <c r="C72" s="895"/>
      <c r="D72" s="871"/>
      <c r="E72" s="871"/>
      <c r="F72" s="871"/>
      <c r="G72" s="871"/>
      <c r="H72" s="871"/>
      <c r="I72" s="871"/>
      <c r="J72" s="871"/>
      <c r="K72" s="871"/>
      <c r="L72" s="871"/>
      <c r="M72" s="872"/>
      <c r="N72" s="1379"/>
      <c r="O72" s="1379"/>
      <c r="P72" s="2311"/>
      <c r="Q72" s="1053"/>
    </row>
    <row r="73" spans="1:17" s="1029" customFormat="1" ht="14.25" thickTop="1">
      <c r="A73" s="1048"/>
      <c r="B73" s="1044">
        <f>B13</f>
        <v>111</v>
      </c>
      <c r="C73" s="137"/>
      <c r="D73" s="137"/>
      <c r="E73" s="137"/>
      <c r="F73" s="137"/>
      <c r="G73" s="137"/>
      <c r="H73" s="1049"/>
      <c r="I73" s="1049"/>
      <c r="J73" s="1049"/>
      <c r="K73" s="1049"/>
      <c r="L73" s="1050"/>
      <c r="M73" s="1051"/>
      <c r="N73" s="1380"/>
      <c r="O73" s="1380"/>
      <c r="P73" s="2312"/>
      <c r="Q73" s="1055"/>
    </row>
    <row r="74" spans="1:17" s="1029" customFormat="1" ht="15" thickBot="1">
      <c r="A74" s="1048"/>
      <c r="B74" s="1045"/>
      <c r="C74" s="895"/>
      <c r="D74" s="895"/>
      <c r="E74" s="895"/>
      <c r="F74" s="895"/>
      <c r="G74" s="895"/>
      <c r="H74" s="897"/>
      <c r="I74" s="897"/>
      <c r="J74" s="897"/>
      <c r="K74" s="897"/>
      <c r="L74" s="897"/>
      <c r="M74" s="898"/>
      <c r="N74" s="1380"/>
      <c r="O74" s="1380"/>
      <c r="P74" s="2311"/>
      <c r="Q74" s="1053"/>
    </row>
    <row r="75" spans="1:17" s="1029" customFormat="1" ht="14.25" thickTop="1">
      <c r="A75" s="1048"/>
      <c r="B75" s="1046">
        <f>B14</f>
        <v>111</v>
      </c>
      <c r="C75" s="138"/>
      <c r="D75" s="138"/>
      <c r="E75" s="138"/>
      <c r="F75" s="138"/>
      <c r="G75" s="138"/>
      <c r="H75" s="1056"/>
      <c r="I75" s="1056"/>
      <c r="J75" s="1056"/>
      <c r="K75" s="1056"/>
      <c r="L75" s="1057"/>
      <c r="M75" s="1058"/>
      <c r="N75" s="1380"/>
      <c r="O75" s="1380"/>
      <c r="P75" s="2313"/>
      <c r="Q75" s="1053"/>
    </row>
    <row r="76" spans="1:17" s="1029" customFormat="1" ht="15" thickBot="1">
      <c r="A76" s="1060"/>
      <c r="B76" s="1061"/>
      <c r="C76" s="905"/>
      <c r="D76" s="905"/>
      <c r="E76" s="905"/>
      <c r="F76" s="905"/>
      <c r="G76" s="905"/>
      <c r="H76" s="906"/>
      <c r="I76" s="906"/>
      <c r="J76" s="906"/>
      <c r="K76" s="906"/>
      <c r="L76" s="906"/>
      <c r="M76" s="907"/>
      <c r="N76" s="1380"/>
      <c r="O76" s="1380"/>
      <c r="P76" s="2311"/>
      <c r="Q76" s="1053"/>
    </row>
    <row r="77" spans="1:17" ht="14.25">
      <c r="A77" s="170" t="s">
        <v>1036</v>
      </c>
      <c r="B77" s="284" t="s">
        <v>1086</v>
      </c>
      <c r="C77" s="908" t="s">
        <v>1006</v>
      </c>
      <c r="D77" s="908" t="s">
        <v>1007</v>
      </c>
      <c r="E77" s="908" t="s">
        <v>1008</v>
      </c>
      <c r="F77" s="908" t="s">
        <v>1009</v>
      </c>
      <c r="G77" s="908" t="s">
        <v>1010</v>
      </c>
      <c r="H77" s="864"/>
      <c r="I77" s="864"/>
      <c r="J77" s="864"/>
      <c r="K77" s="909"/>
      <c r="L77" s="910"/>
      <c r="M77" s="911"/>
      <c r="N77" s="1378"/>
      <c r="O77" s="1378"/>
      <c r="P77" s="2314"/>
      <c r="Q77" s="119"/>
    </row>
    <row r="78" spans="1:17" ht="15" thickBot="1">
      <c r="A78" s="171"/>
      <c r="B78" s="1045"/>
      <c r="C78" s="879">
        <v>100</v>
      </c>
      <c r="D78" s="879">
        <f>C78-$K15</f>
        <v>100</v>
      </c>
      <c r="E78" s="879">
        <f>D78-$K15</f>
        <v>100</v>
      </c>
      <c r="F78" s="879">
        <f>E78-$K15</f>
        <v>100</v>
      </c>
      <c r="G78" s="879">
        <f>F78-$K15</f>
        <v>100</v>
      </c>
      <c r="H78" s="879"/>
      <c r="I78" s="879"/>
      <c r="J78" s="879"/>
      <c r="K78" s="879"/>
      <c r="L78" s="879"/>
      <c r="M78" s="880"/>
      <c r="N78" s="1379"/>
      <c r="O78" s="1379"/>
      <c r="P78" s="2310"/>
      <c r="Q78" s="119"/>
    </row>
    <row r="79" spans="1:17" ht="15" thickTop="1">
      <c r="A79" s="171"/>
      <c r="B79" s="1044" t="s">
        <v>1043</v>
      </c>
      <c r="C79" s="913" t="s">
        <v>1006</v>
      </c>
      <c r="D79" s="913" t="s">
        <v>1007</v>
      </c>
      <c r="E79" s="913" t="s">
        <v>1008</v>
      </c>
      <c r="F79" s="913" t="s">
        <v>1095</v>
      </c>
      <c r="G79" s="913" t="s">
        <v>1010</v>
      </c>
      <c r="H79" s="874"/>
      <c r="I79" s="874"/>
      <c r="J79" s="874"/>
      <c r="K79" s="875"/>
      <c r="L79" s="876"/>
      <c r="M79" s="877"/>
      <c r="N79" s="1378"/>
      <c r="O79" s="1378"/>
      <c r="P79" s="2310"/>
      <c r="Q79" s="119"/>
    </row>
    <row r="80" spans="1:17" ht="15" thickBot="1">
      <c r="A80" s="171"/>
      <c r="B80" s="1045"/>
      <c r="C80" s="879">
        <v>100</v>
      </c>
      <c r="D80" s="879">
        <f>C80-$K17</f>
        <v>100</v>
      </c>
      <c r="E80" s="879">
        <f>D80-$K17</f>
        <v>100</v>
      </c>
      <c r="F80" s="879">
        <f>E80-$K17</f>
        <v>100</v>
      </c>
      <c r="G80" s="879">
        <f>F80-$K17</f>
        <v>100</v>
      </c>
      <c r="H80" s="879"/>
      <c r="I80" s="879"/>
      <c r="J80" s="879"/>
      <c r="K80" s="879"/>
      <c r="L80" s="879"/>
      <c r="M80" s="880"/>
      <c r="N80" s="1379"/>
      <c r="O80" s="1379"/>
      <c r="P80" s="2310"/>
      <c r="Q80" s="119"/>
    </row>
    <row r="81" spans="1:17" ht="15" thickTop="1">
      <c r="A81" s="171"/>
      <c r="B81" s="1044" t="s">
        <v>31</v>
      </c>
      <c r="C81" s="913" t="s">
        <v>1006</v>
      </c>
      <c r="D81" s="913" t="s">
        <v>1007</v>
      </c>
      <c r="E81" s="913" t="s">
        <v>1008</v>
      </c>
      <c r="F81" s="913" t="s">
        <v>1009</v>
      </c>
      <c r="G81" s="913" t="s">
        <v>1010</v>
      </c>
      <c r="H81" s="874"/>
      <c r="I81" s="874"/>
      <c r="J81" s="874"/>
      <c r="K81" s="875"/>
      <c r="L81" s="876"/>
      <c r="M81" s="877"/>
      <c r="N81" s="1378"/>
      <c r="O81" s="1378"/>
      <c r="P81" s="2310"/>
      <c r="Q81" s="119"/>
    </row>
    <row r="82" spans="1:17" ht="15" thickBot="1">
      <c r="A82" s="171"/>
      <c r="B82" s="1045"/>
      <c r="C82" s="879">
        <v>100</v>
      </c>
      <c r="D82" s="879">
        <f>C82-$K19</f>
        <v>100</v>
      </c>
      <c r="E82" s="879">
        <f>D82-$K19</f>
        <v>100</v>
      </c>
      <c r="F82" s="879">
        <f>E82-$K19</f>
        <v>100</v>
      </c>
      <c r="G82" s="879">
        <f>F82-$K19</f>
        <v>100</v>
      </c>
      <c r="H82" s="879"/>
      <c r="I82" s="879"/>
      <c r="J82" s="879"/>
      <c r="K82" s="879"/>
      <c r="L82" s="879"/>
      <c r="M82" s="880"/>
      <c r="N82" s="1379"/>
      <c r="O82" s="1379"/>
      <c r="P82" s="2310"/>
      <c r="Q82" s="119"/>
    </row>
    <row r="83" spans="1:17" ht="15" thickTop="1">
      <c r="A83" s="171"/>
      <c r="B83" s="1046" t="s">
        <v>2655</v>
      </c>
      <c r="C83" s="211" t="s">
        <v>2648</v>
      </c>
      <c r="D83" s="211" t="s">
        <v>2649</v>
      </c>
      <c r="E83" s="211" t="s">
        <v>2650</v>
      </c>
      <c r="F83" s="211" t="s">
        <v>2651</v>
      </c>
      <c r="G83" s="211" t="s">
        <v>2652</v>
      </c>
      <c r="H83" s="874"/>
      <c r="I83" s="874"/>
      <c r="J83" s="874"/>
      <c r="K83" s="874"/>
      <c r="L83" s="874"/>
      <c r="M83" s="2746"/>
      <c r="N83" s="1379"/>
      <c r="O83" s="1379"/>
      <c r="P83" s="2310"/>
      <c r="Q83" s="119"/>
    </row>
    <row r="84" spans="1:17" ht="15" thickBot="1">
      <c r="A84" s="171"/>
      <c r="B84" s="1046"/>
      <c r="C84" s="879">
        <v>100</v>
      </c>
      <c r="D84" s="879">
        <f>C84-$K21</f>
        <v>100</v>
      </c>
      <c r="E84" s="879">
        <f>D84-$K21</f>
        <v>100</v>
      </c>
      <c r="F84" s="879">
        <f>E84-$K21</f>
        <v>100</v>
      </c>
      <c r="G84" s="879">
        <f>F84-$K21</f>
        <v>100</v>
      </c>
      <c r="H84" s="995"/>
      <c r="I84" s="995"/>
      <c r="J84" s="995"/>
      <c r="K84" s="995"/>
      <c r="L84" s="995"/>
      <c r="M84" s="786"/>
      <c r="N84" s="1379"/>
      <c r="O84" s="1379"/>
      <c r="P84" s="2310"/>
      <c r="Q84" s="119"/>
    </row>
    <row r="85" spans="1:17" ht="15" thickTop="1">
      <c r="A85" s="171"/>
      <c r="B85" s="1044" t="s">
        <v>1087</v>
      </c>
      <c r="C85" s="913" t="s">
        <v>1006</v>
      </c>
      <c r="D85" s="913" t="s">
        <v>1007</v>
      </c>
      <c r="E85" s="913" t="s">
        <v>1008</v>
      </c>
      <c r="F85" s="913" t="s">
        <v>1009</v>
      </c>
      <c r="G85" s="913" t="s">
        <v>1010</v>
      </c>
      <c r="H85" s="874"/>
      <c r="I85" s="874"/>
      <c r="J85" s="874"/>
      <c r="K85" s="875"/>
      <c r="L85" s="876"/>
      <c r="M85" s="877"/>
      <c r="N85" s="1378"/>
      <c r="O85" s="1378"/>
      <c r="P85" s="2310"/>
      <c r="Q85" s="119"/>
    </row>
    <row r="86" spans="1:17" ht="15" thickBot="1">
      <c r="A86" s="171"/>
      <c r="B86" s="1045"/>
      <c r="C86" s="879">
        <v>100</v>
      </c>
      <c r="D86" s="879">
        <f>C86-$K23</f>
        <v>100</v>
      </c>
      <c r="E86" s="879">
        <f>D86-$K23</f>
        <v>100</v>
      </c>
      <c r="F86" s="879">
        <f>E86-$K23</f>
        <v>100</v>
      </c>
      <c r="G86" s="879">
        <f>F86-$K23</f>
        <v>100</v>
      </c>
      <c r="H86" s="879"/>
      <c r="I86" s="879"/>
      <c r="J86" s="879"/>
      <c r="K86" s="879"/>
      <c r="L86" s="879"/>
      <c r="M86" s="880"/>
      <c r="N86" s="1379"/>
      <c r="O86" s="1379"/>
      <c r="P86" s="2310"/>
      <c r="Q86" s="119"/>
    </row>
    <row r="87" spans="1:17" s="40" customFormat="1" ht="27.75" thickTop="1">
      <c r="A87" s="1062"/>
      <c r="B87" s="1044" t="s">
        <v>1088</v>
      </c>
      <c r="C87" s="137"/>
      <c r="D87" s="137"/>
      <c r="E87" s="137"/>
      <c r="F87" s="137"/>
      <c r="G87" s="137"/>
      <c r="H87" s="137"/>
      <c r="I87" s="137"/>
      <c r="J87" s="137"/>
      <c r="K87" s="137"/>
      <c r="L87" s="1373"/>
      <c r="M87" s="1374"/>
      <c r="N87" s="1377"/>
      <c r="O87" s="1377"/>
      <c r="P87" s="2310"/>
      <c r="Q87" s="119"/>
    </row>
    <row r="88" spans="1:17" s="40" customFormat="1" ht="15" thickBot="1">
      <c r="A88" s="1062"/>
      <c r="B88" s="1045"/>
      <c r="C88" s="917">
        <v>100</v>
      </c>
      <c r="D88" s="879">
        <f t="shared" ref="D88:M88" si="19">C88-$K25</f>
        <v>100</v>
      </c>
      <c r="E88" s="879">
        <f t="shared" si="19"/>
        <v>100</v>
      </c>
      <c r="F88" s="879">
        <f t="shared" si="19"/>
        <v>100</v>
      </c>
      <c r="G88" s="879">
        <f t="shared" si="19"/>
        <v>100</v>
      </c>
      <c r="H88" s="879">
        <f t="shared" si="19"/>
        <v>100</v>
      </c>
      <c r="I88" s="879">
        <f t="shared" si="19"/>
        <v>100</v>
      </c>
      <c r="J88" s="879">
        <f t="shared" si="19"/>
        <v>100</v>
      </c>
      <c r="K88" s="879">
        <f t="shared" si="19"/>
        <v>100</v>
      </c>
      <c r="L88" s="879">
        <f t="shared" si="19"/>
        <v>100</v>
      </c>
      <c r="M88" s="879">
        <f t="shared" si="19"/>
        <v>100</v>
      </c>
      <c r="N88" s="1379"/>
      <c r="O88" s="1379"/>
      <c r="P88" s="2310"/>
      <c r="Q88" s="119"/>
    </row>
    <row r="89" spans="1:17" s="40" customFormat="1" ht="14.25" thickTop="1">
      <c r="A89" s="1062"/>
      <c r="B89" s="1044" t="str">
        <f>B27</f>
        <v>楼层</v>
      </c>
      <c r="C89" s="137"/>
      <c r="D89" s="137"/>
      <c r="E89" s="137"/>
      <c r="F89" s="1375"/>
      <c r="G89" s="137"/>
      <c r="H89" s="137"/>
      <c r="I89" s="137"/>
      <c r="J89" s="137"/>
      <c r="K89" s="137"/>
      <c r="L89" s="137"/>
      <c r="M89" s="1374"/>
      <c r="N89" s="1377"/>
      <c r="O89" s="1377"/>
      <c r="P89" s="2310"/>
      <c r="Q89" s="119"/>
    </row>
    <row r="90" spans="1:17" s="40" customFormat="1" ht="15" thickBot="1">
      <c r="A90" s="1062"/>
      <c r="B90" s="1045"/>
      <c r="C90" s="917">
        <v>100</v>
      </c>
      <c r="D90" s="879">
        <f>C90-$K27</f>
        <v>100</v>
      </c>
      <c r="E90" s="879">
        <f t="shared" ref="E90:M90" si="20">D90-$K27</f>
        <v>100</v>
      </c>
      <c r="F90" s="879">
        <f t="shared" si="20"/>
        <v>100</v>
      </c>
      <c r="G90" s="879">
        <f t="shared" si="20"/>
        <v>100</v>
      </c>
      <c r="H90" s="879">
        <f t="shared" si="20"/>
        <v>100</v>
      </c>
      <c r="I90" s="879">
        <f t="shared" si="20"/>
        <v>100</v>
      </c>
      <c r="J90" s="879">
        <f t="shared" si="20"/>
        <v>100</v>
      </c>
      <c r="K90" s="879">
        <f t="shared" si="20"/>
        <v>100</v>
      </c>
      <c r="L90" s="879">
        <f t="shared" si="20"/>
        <v>100</v>
      </c>
      <c r="M90" s="879">
        <f t="shared" si="20"/>
        <v>100</v>
      </c>
      <c r="N90" s="1379"/>
      <c r="O90" s="1379"/>
      <c r="P90" s="2310"/>
      <c r="Q90" s="119"/>
    </row>
    <row r="91" spans="1:17" s="1029" customFormat="1" ht="14.25" thickTop="1">
      <c r="A91" s="1048"/>
      <c r="B91" s="1044" t="str">
        <f>B28</f>
        <v>朝向</v>
      </c>
      <c r="C91" s="137"/>
      <c r="D91" s="137"/>
      <c r="E91" s="137"/>
      <c r="F91" s="137"/>
      <c r="G91" s="137"/>
      <c r="H91" s="1049"/>
      <c r="I91" s="1049"/>
      <c r="J91" s="1049"/>
      <c r="K91" s="1049"/>
      <c r="L91" s="1050"/>
      <c r="M91" s="1051"/>
      <c r="N91" s="1380"/>
      <c r="O91" s="1380"/>
      <c r="P91" s="2311"/>
      <c r="Q91" s="1053"/>
    </row>
    <row r="92" spans="1:17" s="1029" customFormat="1" ht="15" thickBot="1">
      <c r="A92" s="1048"/>
      <c r="B92" s="1045"/>
      <c r="C92" s="917">
        <v>100</v>
      </c>
      <c r="D92" s="879">
        <f t="shared" ref="D92:M92" si="21">C92-$K28</f>
        <v>100</v>
      </c>
      <c r="E92" s="879">
        <f t="shared" si="21"/>
        <v>100</v>
      </c>
      <c r="F92" s="879">
        <f t="shared" si="21"/>
        <v>100</v>
      </c>
      <c r="G92" s="879">
        <f t="shared" si="21"/>
        <v>100</v>
      </c>
      <c r="H92" s="879">
        <f t="shared" si="21"/>
        <v>100</v>
      </c>
      <c r="I92" s="879">
        <f t="shared" si="21"/>
        <v>100</v>
      </c>
      <c r="J92" s="879">
        <f t="shared" si="21"/>
        <v>100</v>
      </c>
      <c r="K92" s="879">
        <f t="shared" si="21"/>
        <v>100</v>
      </c>
      <c r="L92" s="879">
        <f t="shared" si="21"/>
        <v>100</v>
      </c>
      <c r="M92" s="879">
        <f t="shared" si="21"/>
        <v>100</v>
      </c>
      <c r="N92" s="1380"/>
      <c r="O92" s="1380"/>
      <c r="P92" s="2311"/>
      <c r="Q92" s="1053"/>
    </row>
    <row r="93" spans="1:17" ht="14.25" thickTop="1">
      <c r="A93" s="171"/>
      <c r="B93" s="1044">
        <f>B29</f>
        <v>111</v>
      </c>
      <c r="C93" s="137"/>
      <c r="D93" s="137"/>
      <c r="E93" s="137"/>
      <c r="F93" s="137"/>
      <c r="G93" s="137"/>
      <c r="H93" s="137"/>
      <c r="I93" s="137"/>
      <c r="J93" s="137"/>
      <c r="K93" s="137"/>
      <c r="L93" s="1373"/>
      <c r="M93" s="1374"/>
      <c r="N93" s="1378"/>
      <c r="O93" s="1378"/>
      <c r="P93" s="2310"/>
      <c r="Q93" s="119"/>
    </row>
    <row r="94" spans="1:17" ht="15" thickBot="1">
      <c r="A94" s="171"/>
      <c r="B94" s="1045"/>
      <c r="C94" s="895"/>
      <c r="D94" s="871"/>
      <c r="E94" s="871"/>
      <c r="F94" s="871"/>
      <c r="G94" s="871"/>
      <c r="H94" s="871"/>
      <c r="I94" s="871"/>
      <c r="J94" s="871"/>
      <c r="K94" s="871"/>
      <c r="L94" s="871"/>
      <c r="M94" s="872"/>
      <c r="N94" s="1379"/>
      <c r="O94" s="1379"/>
      <c r="P94" s="2310"/>
      <c r="Q94" s="119"/>
    </row>
    <row r="95" spans="1:17" ht="14.25" thickTop="1">
      <c r="A95" s="171"/>
      <c r="B95" s="1044">
        <f>B30</f>
        <v>111</v>
      </c>
      <c r="C95" s="137"/>
      <c r="D95" s="137"/>
      <c r="E95" s="137"/>
      <c r="F95" s="137"/>
      <c r="G95" s="129"/>
      <c r="H95" s="129"/>
      <c r="I95" s="129"/>
      <c r="J95" s="129"/>
      <c r="K95" s="130"/>
      <c r="L95" s="131"/>
      <c r="M95" s="132"/>
      <c r="N95" s="1378"/>
      <c r="O95" s="1378"/>
      <c r="P95" s="2310"/>
      <c r="Q95" s="119"/>
    </row>
    <row r="96" spans="1:17" ht="15" thickBot="1">
      <c r="A96" s="171"/>
      <c r="B96" s="1045"/>
      <c r="C96" s="895"/>
      <c r="D96" s="895"/>
      <c r="E96" s="895"/>
      <c r="F96" s="895"/>
      <c r="G96" s="871"/>
      <c r="H96" s="871"/>
      <c r="I96" s="871"/>
      <c r="J96" s="871"/>
      <c r="K96" s="871"/>
      <c r="L96" s="871"/>
      <c r="M96" s="872"/>
      <c r="N96" s="1379"/>
      <c r="O96" s="1379"/>
      <c r="P96" s="2310"/>
      <c r="Q96" s="119"/>
    </row>
    <row r="97" spans="1:17" ht="14.25" thickTop="1">
      <c r="A97" s="171"/>
      <c r="B97" s="1044">
        <f>B31</f>
        <v>111</v>
      </c>
      <c r="C97" s="137"/>
      <c r="D97" s="137"/>
      <c r="E97" s="137"/>
      <c r="F97" s="137"/>
      <c r="G97" s="129"/>
      <c r="H97" s="129"/>
      <c r="I97" s="129"/>
      <c r="J97" s="129"/>
      <c r="K97" s="130"/>
      <c r="L97" s="131"/>
      <c r="M97" s="132"/>
      <c r="N97" s="1378"/>
      <c r="O97" s="1378"/>
      <c r="P97" s="2310"/>
      <c r="Q97" s="119"/>
    </row>
    <row r="98" spans="1:17" ht="15" thickBot="1">
      <c r="A98" s="171"/>
      <c r="B98" s="1045"/>
      <c r="C98" s="895"/>
      <c r="D98" s="871"/>
      <c r="E98" s="871"/>
      <c r="F98" s="871"/>
      <c r="G98" s="871"/>
      <c r="H98" s="871"/>
      <c r="I98" s="871"/>
      <c r="J98" s="871"/>
      <c r="K98" s="871"/>
      <c r="L98" s="871"/>
      <c r="M98" s="872"/>
      <c r="N98" s="1379"/>
      <c r="O98" s="1379"/>
      <c r="P98" s="2310"/>
      <c r="Q98" s="119"/>
    </row>
    <row r="99" spans="1:17" ht="14.25" thickTop="1">
      <c r="A99" s="171"/>
      <c r="B99" s="1046">
        <f>B32</f>
        <v>111</v>
      </c>
      <c r="C99" s="138"/>
      <c r="D99" s="138"/>
      <c r="E99" s="138"/>
      <c r="F99" s="138"/>
      <c r="G99" s="133"/>
      <c r="H99" s="133"/>
      <c r="I99" s="133"/>
      <c r="J99" s="133"/>
      <c r="K99" s="134"/>
      <c r="L99" s="135"/>
      <c r="M99" s="136"/>
      <c r="N99" s="1378"/>
      <c r="O99" s="1378"/>
      <c r="P99" s="2310"/>
      <c r="Q99" s="119"/>
    </row>
    <row r="100" spans="1:17" ht="15" thickBot="1">
      <c r="A100" s="172"/>
      <c r="B100" s="1061"/>
      <c r="C100" s="905"/>
      <c r="D100" s="905"/>
      <c r="E100" s="905"/>
      <c r="F100" s="905"/>
      <c r="G100" s="926"/>
      <c r="H100" s="926"/>
      <c r="I100" s="926"/>
      <c r="J100" s="926"/>
      <c r="K100" s="926"/>
      <c r="L100" s="926"/>
      <c r="M100" s="927"/>
      <c r="N100" s="1379"/>
      <c r="O100" s="1379"/>
      <c r="P100" s="2310"/>
      <c r="Q100" s="119"/>
    </row>
    <row r="101" spans="1:17">
      <c r="A101" s="170" t="s">
        <v>1046</v>
      </c>
      <c r="B101" s="284" t="s">
        <v>1089</v>
      </c>
      <c r="C101" s="120"/>
      <c r="D101" s="120"/>
      <c r="E101" s="120"/>
      <c r="F101" s="120"/>
      <c r="G101" s="120"/>
      <c r="H101" s="120"/>
      <c r="I101" s="120"/>
      <c r="J101" s="120"/>
      <c r="K101" s="121"/>
      <c r="L101" s="122"/>
      <c r="M101" s="123"/>
      <c r="N101" s="1378"/>
      <c r="O101" s="1378"/>
      <c r="P101" s="2310"/>
      <c r="Q101" s="119"/>
    </row>
    <row r="102" spans="1:17" ht="15" thickBot="1">
      <c r="A102" s="171"/>
      <c r="B102" s="1045"/>
      <c r="C102" s="879">
        <v>100</v>
      </c>
      <c r="D102" s="879">
        <f t="shared" ref="D102:M102" si="22">C102-$K33</f>
        <v>100</v>
      </c>
      <c r="E102" s="879">
        <f t="shared" si="22"/>
        <v>100</v>
      </c>
      <c r="F102" s="879">
        <f t="shared" si="22"/>
        <v>100</v>
      </c>
      <c r="G102" s="879">
        <f t="shared" si="22"/>
        <v>100</v>
      </c>
      <c r="H102" s="879">
        <f t="shared" si="22"/>
        <v>100</v>
      </c>
      <c r="I102" s="879">
        <f t="shared" si="22"/>
        <v>100</v>
      </c>
      <c r="J102" s="879">
        <f t="shared" si="22"/>
        <v>100</v>
      </c>
      <c r="K102" s="879">
        <f t="shared" si="22"/>
        <v>100</v>
      </c>
      <c r="L102" s="879">
        <f t="shared" si="22"/>
        <v>100</v>
      </c>
      <c r="M102" s="880">
        <f t="shared" si="22"/>
        <v>100</v>
      </c>
      <c r="N102" s="1379"/>
      <c r="O102" s="1379"/>
      <c r="P102" s="2310"/>
      <c r="Q102" s="119"/>
    </row>
    <row r="103" spans="1:17" ht="15" thickTop="1">
      <c r="A103" s="171"/>
      <c r="B103" s="1044" t="s">
        <v>1048</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1377"/>
      <c r="O103" s="1377"/>
      <c r="P103" s="2310"/>
      <c r="Q103" s="119"/>
    </row>
    <row r="104" spans="1:17" s="1029" customFormat="1" ht="14.25">
      <c r="A104" s="1063"/>
      <c r="B104" s="1064"/>
      <c r="C104" s="930"/>
      <c r="D104" s="930"/>
      <c r="E104" s="930"/>
      <c r="F104" s="930"/>
      <c r="G104" s="930"/>
      <c r="H104" s="930"/>
      <c r="I104" s="930"/>
      <c r="J104" s="931"/>
      <c r="K104" s="931"/>
      <c r="L104" s="932"/>
      <c r="M104" s="933"/>
      <c r="N104" s="1380"/>
      <c r="O104" s="1380"/>
      <c r="P104" s="2311"/>
      <c r="Q104" s="1053"/>
    </row>
    <row r="105" spans="1:17" s="1029" customFormat="1" ht="15" thickBot="1">
      <c r="A105" s="1048"/>
      <c r="B105" s="1045"/>
      <c r="C105" s="895"/>
      <c r="D105" s="871"/>
      <c r="E105" s="871"/>
      <c r="F105" s="871"/>
      <c r="G105" s="871"/>
      <c r="H105" s="871"/>
      <c r="I105" s="871"/>
      <c r="J105" s="871"/>
      <c r="K105" s="871"/>
      <c r="L105" s="871"/>
      <c r="M105" s="872"/>
      <c r="N105" s="1379"/>
      <c r="O105" s="1379"/>
      <c r="P105" s="2311"/>
      <c r="Q105" s="1053"/>
    </row>
    <row r="106" spans="1:17" ht="14.25" thickTop="1">
      <c r="A106" s="173"/>
      <c r="B106" s="1044" t="s">
        <v>1049</v>
      </c>
      <c r="C106" s="137"/>
      <c r="D106" s="137"/>
      <c r="E106" s="129"/>
      <c r="F106" s="129"/>
      <c r="G106" s="129"/>
      <c r="H106" s="129"/>
      <c r="I106" s="129"/>
      <c r="J106" s="129"/>
      <c r="K106" s="130"/>
      <c r="L106" s="131"/>
      <c r="M106" s="132"/>
      <c r="N106" s="1378"/>
      <c r="O106" s="1378"/>
      <c r="P106" s="2310"/>
      <c r="Q106" s="119"/>
    </row>
    <row r="107" spans="1:17" ht="15" thickBot="1">
      <c r="A107" s="171"/>
      <c r="B107" s="1045"/>
      <c r="C107" s="879">
        <v>100</v>
      </c>
      <c r="D107" s="879">
        <f t="shared" ref="D107:M107" si="24">C107-$K35</f>
        <v>100</v>
      </c>
      <c r="E107" s="879">
        <f t="shared" si="24"/>
        <v>100</v>
      </c>
      <c r="F107" s="879">
        <f t="shared" si="24"/>
        <v>100</v>
      </c>
      <c r="G107" s="879">
        <f t="shared" si="24"/>
        <v>100</v>
      </c>
      <c r="H107" s="879">
        <f t="shared" si="24"/>
        <v>100</v>
      </c>
      <c r="I107" s="879">
        <f t="shared" si="24"/>
        <v>100</v>
      </c>
      <c r="J107" s="879">
        <f t="shared" si="24"/>
        <v>100</v>
      </c>
      <c r="K107" s="879">
        <f t="shared" si="24"/>
        <v>100</v>
      </c>
      <c r="L107" s="879">
        <f t="shared" si="24"/>
        <v>100</v>
      </c>
      <c r="M107" s="880">
        <f t="shared" si="24"/>
        <v>100</v>
      </c>
      <c r="N107" s="1379"/>
      <c r="O107" s="1379"/>
      <c r="P107" s="2310"/>
      <c r="Q107" s="119"/>
    </row>
    <row r="108" spans="1:17" ht="14.25" thickTop="1">
      <c r="A108" s="173"/>
      <c r="B108" s="1044" t="s">
        <v>1050</v>
      </c>
      <c r="C108" s="137"/>
      <c r="D108" s="137"/>
      <c r="E108" s="137"/>
      <c r="F108" s="129"/>
      <c r="G108" s="129"/>
      <c r="H108" s="129"/>
      <c r="I108" s="129"/>
      <c r="J108" s="129"/>
      <c r="K108" s="130"/>
      <c r="L108" s="131"/>
      <c r="M108" s="132"/>
      <c r="N108" s="1378"/>
      <c r="O108" s="1378"/>
      <c r="P108" s="2310"/>
      <c r="Q108" s="119"/>
    </row>
    <row r="109" spans="1:17" ht="15" thickBot="1">
      <c r="A109" s="171"/>
      <c r="B109" s="1045"/>
      <c r="C109" s="879">
        <v>100</v>
      </c>
      <c r="D109" s="879">
        <f t="shared" ref="D109:M109" si="25">C109-$K36</f>
        <v>100</v>
      </c>
      <c r="E109" s="879">
        <f t="shared" si="25"/>
        <v>100</v>
      </c>
      <c r="F109" s="879">
        <f t="shared" si="25"/>
        <v>100</v>
      </c>
      <c r="G109" s="879">
        <f t="shared" si="25"/>
        <v>100</v>
      </c>
      <c r="H109" s="879">
        <f t="shared" si="25"/>
        <v>100</v>
      </c>
      <c r="I109" s="879">
        <f t="shared" si="25"/>
        <v>100</v>
      </c>
      <c r="J109" s="879">
        <f t="shared" si="25"/>
        <v>100</v>
      </c>
      <c r="K109" s="879">
        <f t="shared" si="25"/>
        <v>100</v>
      </c>
      <c r="L109" s="879">
        <f t="shared" si="25"/>
        <v>100</v>
      </c>
      <c r="M109" s="880">
        <f t="shared" si="25"/>
        <v>100</v>
      </c>
      <c r="N109" s="1379"/>
      <c r="O109" s="1379"/>
      <c r="P109" s="2310"/>
      <c r="Q109" s="119"/>
    </row>
    <row r="110" spans="1:17" ht="15" thickTop="1">
      <c r="A110" s="173"/>
      <c r="B110" s="1044" t="s">
        <v>1051</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129"/>
      <c r="J110" s="129"/>
      <c r="K110" s="130"/>
      <c r="L110" s="131"/>
      <c r="M110" s="132"/>
      <c r="N110" s="1378"/>
      <c r="O110" s="1378"/>
      <c r="P110" s="2310"/>
      <c r="Q110" s="119"/>
    </row>
    <row r="111" spans="1:17" ht="14.25">
      <c r="A111" s="173"/>
      <c r="B111" s="1046"/>
      <c r="C111" s="938">
        <v>0.5</v>
      </c>
      <c r="D111" s="938">
        <v>0.6</v>
      </c>
      <c r="E111" s="938">
        <v>0.7</v>
      </c>
      <c r="F111" s="938">
        <v>0.8</v>
      </c>
      <c r="G111" s="938">
        <v>0.9</v>
      </c>
      <c r="H111" s="938">
        <v>1.0001</v>
      </c>
      <c r="I111" s="181"/>
      <c r="J111" s="181"/>
      <c r="K111" s="182"/>
      <c r="L111" s="183"/>
      <c r="M111" s="184"/>
      <c r="N111" s="1378"/>
      <c r="O111" s="1378"/>
      <c r="P111" s="2310"/>
      <c r="Q111" s="119"/>
    </row>
    <row r="112" spans="1:17" ht="15" thickBot="1">
      <c r="A112" s="171"/>
      <c r="B112" s="1045"/>
      <c r="C112" s="917">
        <v>100</v>
      </c>
      <c r="D112" s="879">
        <f>C112+$K37</f>
        <v>100</v>
      </c>
      <c r="E112" s="879">
        <f t="shared" ref="E112:M112" si="26">D112+$K37</f>
        <v>100</v>
      </c>
      <c r="F112" s="879">
        <f t="shared" si="26"/>
        <v>100</v>
      </c>
      <c r="G112" s="879">
        <f t="shared" si="26"/>
        <v>100</v>
      </c>
      <c r="H112" s="879">
        <f t="shared" si="26"/>
        <v>100</v>
      </c>
      <c r="I112" s="879">
        <f t="shared" si="26"/>
        <v>100</v>
      </c>
      <c r="J112" s="879">
        <f t="shared" si="26"/>
        <v>100</v>
      </c>
      <c r="K112" s="879">
        <f t="shared" si="26"/>
        <v>100</v>
      </c>
      <c r="L112" s="879">
        <f t="shared" si="26"/>
        <v>100</v>
      </c>
      <c r="M112" s="879">
        <f t="shared" si="26"/>
        <v>100</v>
      </c>
      <c r="N112" s="1379"/>
      <c r="O112" s="1379"/>
      <c r="P112" s="2310"/>
      <c r="Q112" s="119"/>
    </row>
    <row r="113" spans="1:17" s="1029" customFormat="1" ht="14.25" thickTop="1">
      <c r="A113" s="1063"/>
      <c r="B113" s="1044" t="s">
        <v>1090</v>
      </c>
      <c r="C113" s="137"/>
      <c r="D113" s="137"/>
      <c r="E113" s="137"/>
      <c r="F113" s="137"/>
      <c r="G113" s="137"/>
      <c r="H113" s="129"/>
      <c r="I113" s="129"/>
      <c r="J113" s="129"/>
      <c r="K113" s="130"/>
      <c r="L113" s="131"/>
      <c r="M113" s="132"/>
      <c r="N113" s="1380"/>
      <c r="O113" s="1380"/>
      <c r="P113" s="2311"/>
      <c r="Q113" s="1053"/>
    </row>
    <row r="114" spans="1:17" s="1029" customFormat="1" ht="15" thickBot="1">
      <c r="A114" s="1048"/>
      <c r="B114" s="1045"/>
      <c r="C114" s="879">
        <v>100</v>
      </c>
      <c r="D114" s="879">
        <f>C114-$K38</f>
        <v>100</v>
      </c>
      <c r="E114" s="879">
        <f t="shared" ref="E114:M114" si="27">D114-$K38</f>
        <v>100</v>
      </c>
      <c r="F114" s="879">
        <f t="shared" si="27"/>
        <v>100</v>
      </c>
      <c r="G114" s="879">
        <f t="shared" si="27"/>
        <v>100</v>
      </c>
      <c r="H114" s="879">
        <f t="shared" si="27"/>
        <v>100</v>
      </c>
      <c r="I114" s="879">
        <f t="shared" si="27"/>
        <v>100</v>
      </c>
      <c r="J114" s="879">
        <f t="shared" si="27"/>
        <v>100</v>
      </c>
      <c r="K114" s="879">
        <f t="shared" si="27"/>
        <v>100</v>
      </c>
      <c r="L114" s="879">
        <f t="shared" si="27"/>
        <v>100</v>
      </c>
      <c r="M114" s="879">
        <f t="shared" si="27"/>
        <v>100</v>
      </c>
      <c r="N114" s="1380"/>
      <c r="O114" s="1380"/>
      <c r="P114" s="2311"/>
      <c r="Q114" s="1053"/>
    </row>
    <row r="115" spans="1:17" ht="14.25" thickTop="1">
      <c r="A115" s="173"/>
      <c r="B115" s="1044" t="s">
        <v>1091</v>
      </c>
      <c r="C115" s="137"/>
      <c r="D115" s="137"/>
      <c r="E115" s="129"/>
      <c r="F115" s="129"/>
      <c r="G115" s="129"/>
      <c r="H115" s="129"/>
      <c r="I115" s="129"/>
      <c r="J115" s="129"/>
      <c r="K115" s="130"/>
      <c r="L115" s="131"/>
      <c r="M115" s="132"/>
      <c r="N115" s="1378"/>
      <c r="O115" s="1378"/>
      <c r="P115" s="2310"/>
      <c r="Q115" s="119"/>
    </row>
    <row r="116" spans="1:17" ht="15" thickBot="1">
      <c r="A116" s="171"/>
      <c r="B116" s="1045"/>
      <c r="C116" s="879">
        <v>100</v>
      </c>
      <c r="D116" s="879">
        <f t="shared" ref="D116:M116" si="28">C116-$K39</f>
        <v>100</v>
      </c>
      <c r="E116" s="879">
        <f t="shared" si="28"/>
        <v>100</v>
      </c>
      <c r="F116" s="879">
        <f t="shared" si="28"/>
        <v>100</v>
      </c>
      <c r="G116" s="879">
        <f t="shared" si="28"/>
        <v>100</v>
      </c>
      <c r="H116" s="879">
        <f t="shared" si="28"/>
        <v>100</v>
      </c>
      <c r="I116" s="879">
        <f t="shared" si="28"/>
        <v>100</v>
      </c>
      <c r="J116" s="879">
        <f t="shared" si="28"/>
        <v>100</v>
      </c>
      <c r="K116" s="879">
        <f t="shared" si="28"/>
        <v>100</v>
      </c>
      <c r="L116" s="879">
        <f t="shared" si="28"/>
        <v>100</v>
      </c>
      <c r="M116" s="880">
        <f t="shared" si="28"/>
        <v>100</v>
      </c>
      <c r="N116" s="1379"/>
      <c r="O116" s="1379"/>
      <c r="P116" s="2310"/>
      <c r="Q116" s="119"/>
    </row>
    <row r="117" spans="1:17" ht="14.25" thickTop="1">
      <c r="A117" s="173"/>
      <c r="B117" s="1044" t="s">
        <v>2630</v>
      </c>
      <c r="C117" s="137"/>
      <c r="D117" s="137"/>
      <c r="E117" s="137"/>
      <c r="F117" s="137"/>
      <c r="G117" s="137"/>
      <c r="H117" s="129"/>
      <c r="I117" s="129"/>
      <c r="J117" s="129"/>
      <c r="K117" s="130"/>
      <c r="L117" s="131"/>
      <c r="M117" s="132"/>
      <c r="N117" s="1378"/>
      <c r="O117" s="1378"/>
      <c r="P117" s="2310"/>
      <c r="Q117" s="119"/>
    </row>
    <row r="118" spans="1:17" ht="15" thickBot="1">
      <c r="A118" s="171"/>
      <c r="B118" s="1045"/>
      <c r="C118" s="879">
        <v>100</v>
      </c>
      <c r="D118" s="879">
        <f>C118-$K40</f>
        <v>100</v>
      </c>
      <c r="E118" s="879">
        <f>D118-$K40</f>
        <v>100</v>
      </c>
      <c r="F118" s="879">
        <f>E118-$K40</f>
        <v>100</v>
      </c>
      <c r="G118" s="879">
        <f>F118-$K40</f>
        <v>100</v>
      </c>
      <c r="H118" s="879"/>
      <c r="I118" s="879"/>
      <c r="J118" s="879"/>
      <c r="K118" s="879"/>
      <c r="L118" s="879"/>
      <c r="M118" s="880"/>
      <c r="N118" s="1379"/>
      <c r="O118" s="1379"/>
      <c r="P118" s="2310"/>
      <c r="Q118" s="119"/>
    </row>
    <row r="119" spans="1:17" ht="14.25" thickTop="1">
      <c r="A119" s="173"/>
      <c r="B119" s="209" t="s">
        <v>1053</v>
      </c>
      <c r="C119" s="129"/>
      <c r="D119" s="129"/>
      <c r="E119" s="129"/>
      <c r="F119" s="129"/>
      <c r="G119" s="129"/>
      <c r="H119" s="129"/>
      <c r="I119" s="129"/>
      <c r="J119" s="129"/>
      <c r="K119" s="129"/>
      <c r="L119" s="196"/>
      <c r="M119" s="197"/>
      <c r="N119" s="1379"/>
      <c r="O119" s="1379"/>
      <c r="P119" s="2315"/>
      <c r="Q119" s="199"/>
    </row>
    <row r="120" spans="1:17" ht="15" thickBot="1">
      <c r="A120" s="171"/>
      <c r="B120" s="1045"/>
      <c r="C120" s="917">
        <v>100</v>
      </c>
      <c r="D120" s="879">
        <f>C120-$K41</f>
        <v>100</v>
      </c>
      <c r="E120" s="879">
        <f t="shared" ref="E120:M120" si="29">D120-$K41</f>
        <v>100</v>
      </c>
      <c r="F120" s="879">
        <f t="shared" si="29"/>
        <v>100</v>
      </c>
      <c r="G120" s="879">
        <f t="shared" si="29"/>
        <v>100</v>
      </c>
      <c r="H120" s="879">
        <f t="shared" si="29"/>
        <v>100</v>
      </c>
      <c r="I120" s="879">
        <f t="shared" si="29"/>
        <v>100</v>
      </c>
      <c r="J120" s="879">
        <f t="shared" si="29"/>
        <v>100</v>
      </c>
      <c r="K120" s="879">
        <f t="shared" si="29"/>
        <v>100</v>
      </c>
      <c r="L120" s="879">
        <f t="shared" si="29"/>
        <v>100</v>
      </c>
      <c r="M120" s="879">
        <f t="shared" si="29"/>
        <v>100</v>
      </c>
      <c r="N120" s="1379"/>
      <c r="O120" s="1379"/>
      <c r="P120" s="2310"/>
      <c r="Q120" s="119"/>
    </row>
    <row r="121" spans="1:17" s="1029" customFormat="1" ht="15" thickTop="1">
      <c r="A121" s="1063"/>
      <c r="B121" s="1044" t="s">
        <v>1054</v>
      </c>
      <c r="C121" s="889"/>
      <c r="D121" s="889"/>
      <c r="E121" s="889"/>
      <c r="F121" s="918"/>
      <c r="G121" s="890"/>
      <c r="H121" s="890"/>
      <c r="I121" s="890"/>
      <c r="J121" s="890"/>
      <c r="K121" s="890"/>
      <c r="L121" s="891"/>
      <c r="M121" s="892"/>
      <c r="N121" s="1380"/>
      <c r="O121" s="1380"/>
      <c r="P121" s="2311"/>
      <c r="Q121" s="1053"/>
    </row>
    <row r="122" spans="1:17" s="1029" customFormat="1" ht="15" thickBot="1">
      <c r="A122" s="1048"/>
      <c r="B122" s="1043"/>
      <c r="C122" s="895"/>
      <c r="D122" s="895"/>
      <c r="E122" s="895"/>
      <c r="F122" s="895"/>
      <c r="G122" s="895"/>
      <c r="H122" s="895"/>
      <c r="I122" s="895"/>
      <c r="J122" s="895"/>
      <c r="K122" s="895"/>
      <c r="L122" s="895"/>
      <c r="M122" s="895"/>
      <c r="N122" s="1380"/>
      <c r="O122" s="1380"/>
      <c r="P122" s="2311"/>
      <c r="Q122" s="1053"/>
    </row>
    <row r="123" spans="1:17" ht="14.25" thickTop="1">
      <c r="A123" s="173"/>
      <c r="B123" s="1044" t="s">
        <v>1056</v>
      </c>
      <c r="C123" s="137"/>
      <c r="D123" s="137"/>
      <c r="E123" s="137"/>
      <c r="F123" s="129"/>
      <c r="G123" s="129"/>
      <c r="H123" s="129"/>
      <c r="I123" s="129"/>
      <c r="J123" s="129"/>
      <c r="K123" s="130"/>
      <c r="L123" s="131"/>
      <c r="M123" s="132"/>
      <c r="N123" s="1378"/>
      <c r="O123" s="1378"/>
      <c r="P123" s="2310"/>
      <c r="Q123" s="119"/>
    </row>
    <row r="124" spans="1:17" ht="15" thickBot="1">
      <c r="A124" s="171"/>
      <c r="B124" s="1045"/>
      <c r="C124" s="879">
        <v>100</v>
      </c>
      <c r="D124" s="879">
        <f t="shared" ref="D124:M124" si="30">C124-$K43</f>
        <v>100</v>
      </c>
      <c r="E124" s="879">
        <f t="shared" si="30"/>
        <v>100</v>
      </c>
      <c r="F124" s="879">
        <f t="shared" si="30"/>
        <v>100</v>
      </c>
      <c r="G124" s="879">
        <f t="shared" si="30"/>
        <v>100</v>
      </c>
      <c r="H124" s="879">
        <f t="shared" si="30"/>
        <v>100</v>
      </c>
      <c r="I124" s="879">
        <f t="shared" si="30"/>
        <v>100</v>
      </c>
      <c r="J124" s="879">
        <f t="shared" si="30"/>
        <v>100</v>
      </c>
      <c r="K124" s="879">
        <f t="shared" si="30"/>
        <v>100</v>
      </c>
      <c r="L124" s="879">
        <f t="shared" si="30"/>
        <v>100</v>
      </c>
      <c r="M124" s="880">
        <f t="shared" si="30"/>
        <v>100</v>
      </c>
      <c r="N124" s="1379"/>
      <c r="O124" s="1379"/>
      <c r="P124" s="2310"/>
      <c r="Q124" s="119"/>
    </row>
    <row r="125" spans="1:17" ht="27.75" thickTop="1">
      <c r="A125" s="173"/>
      <c r="B125" s="1044" t="s">
        <v>1057</v>
      </c>
      <c r="C125" s="913" t="s">
        <v>1006</v>
      </c>
      <c r="D125" s="913" t="s">
        <v>1007</v>
      </c>
      <c r="E125" s="913" t="s">
        <v>1008</v>
      </c>
      <c r="F125" s="913" t="s">
        <v>1009</v>
      </c>
      <c r="G125" s="913" t="s">
        <v>1010</v>
      </c>
      <c r="H125" s="874"/>
      <c r="I125" s="874"/>
      <c r="J125" s="874"/>
      <c r="K125" s="875"/>
      <c r="L125" s="876"/>
      <c r="M125" s="877"/>
      <c r="N125" s="1378"/>
      <c r="O125" s="1378"/>
      <c r="P125" s="2311"/>
      <c r="Q125" s="119"/>
    </row>
    <row r="126" spans="1:17" ht="15" thickBot="1">
      <c r="A126" s="171"/>
      <c r="B126" s="1045"/>
      <c r="C126" s="879">
        <v>100</v>
      </c>
      <c r="D126" s="879">
        <f>C126-$K44</f>
        <v>100</v>
      </c>
      <c r="E126" s="879">
        <f>D126-$K44</f>
        <v>100</v>
      </c>
      <c r="F126" s="879">
        <f>E126-$K44</f>
        <v>100</v>
      </c>
      <c r="G126" s="879">
        <f>F126-$K44</f>
        <v>100</v>
      </c>
      <c r="H126" s="879"/>
      <c r="I126" s="879"/>
      <c r="J126" s="879"/>
      <c r="K126" s="879"/>
      <c r="L126" s="879"/>
      <c r="M126" s="880"/>
      <c r="N126" s="1379"/>
      <c r="O126" s="1379"/>
      <c r="P126" s="2310"/>
      <c r="Q126" s="119"/>
    </row>
    <row r="127" spans="1:17" s="1029" customFormat="1" ht="14.25" thickTop="1">
      <c r="A127" s="1063"/>
      <c r="B127" s="1044">
        <f>B45</f>
        <v>111</v>
      </c>
      <c r="C127" s="137"/>
      <c r="D127" s="137"/>
      <c r="E127" s="137"/>
      <c r="F127" s="137"/>
      <c r="G127" s="137"/>
      <c r="H127" s="1049"/>
      <c r="I127" s="1049"/>
      <c r="J127" s="1049"/>
      <c r="K127" s="1049"/>
      <c r="L127" s="1050"/>
      <c r="M127" s="1051"/>
      <c r="N127" s="1380"/>
      <c r="O127" s="1380"/>
      <c r="P127" s="2311"/>
      <c r="Q127" s="1053"/>
    </row>
    <row r="128" spans="1:17" s="1029" customFormat="1" ht="15" thickBot="1">
      <c r="A128" s="1048"/>
      <c r="B128" s="1045"/>
      <c r="C128" s="895"/>
      <c r="D128" s="871"/>
      <c r="E128" s="871"/>
      <c r="F128" s="871"/>
      <c r="G128" s="895"/>
      <c r="H128" s="897"/>
      <c r="I128" s="897"/>
      <c r="J128" s="897"/>
      <c r="K128" s="897"/>
      <c r="L128" s="897"/>
      <c r="M128" s="898"/>
      <c r="N128" s="1380"/>
      <c r="O128" s="1380"/>
      <c r="P128" s="2311"/>
      <c r="Q128" s="1053"/>
    </row>
    <row r="129" spans="1:17" ht="14.25" thickTop="1">
      <c r="A129" s="173"/>
      <c r="B129" s="1044">
        <f>B46</f>
        <v>111</v>
      </c>
      <c r="C129" s="137"/>
      <c r="D129" s="137"/>
      <c r="E129" s="137"/>
      <c r="F129" s="137"/>
      <c r="G129" s="129"/>
      <c r="H129" s="129"/>
      <c r="I129" s="129"/>
      <c r="J129" s="129"/>
      <c r="K129" s="130"/>
      <c r="L129" s="131"/>
      <c r="M129" s="132"/>
      <c r="N129" s="1378"/>
      <c r="O129" s="1378"/>
      <c r="P129" s="2310"/>
      <c r="Q129" s="119"/>
    </row>
    <row r="130" spans="1:17" ht="15" thickBot="1">
      <c r="A130" s="171"/>
      <c r="B130" s="1045"/>
      <c r="C130" s="895"/>
      <c r="D130" s="895"/>
      <c r="E130" s="895"/>
      <c r="F130" s="895"/>
      <c r="G130" s="871"/>
      <c r="H130" s="871"/>
      <c r="I130" s="871"/>
      <c r="J130" s="871"/>
      <c r="K130" s="871"/>
      <c r="L130" s="871"/>
      <c r="M130" s="872"/>
      <c r="N130" s="1379"/>
      <c r="O130" s="1379"/>
      <c r="P130" s="2310"/>
      <c r="Q130" s="119"/>
    </row>
    <row r="131" spans="1:17" ht="14.25" thickTop="1">
      <c r="A131" s="173"/>
      <c r="B131" s="1046">
        <f>B47</f>
        <v>111</v>
      </c>
      <c r="C131" s="138"/>
      <c r="D131" s="138"/>
      <c r="E131" s="138"/>
      <c r="F131" s="138"/>
      <c r="G131" s="133"/>
      <c r="H131" s="133"/>
      <c r="I131" s="133"/>
      <c r="J131" s="133"/>
      <c r="K131" s="138"/>
      <c r="L131" s="139"/>
      <c r="M131" s="136"/>
      <c r="N131" s="1378"/>
      <c r="O131" s="1378"/>
      <c r="P131" s="2310"/>
      <c r="Q131" s="119"/>
    </row>
    <row r="132" spans="1:17" ht="15" thickBot="1">
      <c r="A132" s="172"/>
      <c r="B132" s="1061"/>
      <c r="C132" s="905"/>
      <c r="D132" s="905"/>
      <c r="E132" s="905"/>
      <c r="F132" s="905"/>
      <c r="G132" s="926"/>
      <c r="H132" s="926"/>
      <c r="I132" s="926"/>
      <c r="J132" s="926"/>
      <c r="K132" s="926"/>
      <c r="L132" s="926"/>
      <c r="M132" s="927"/>
      <c r="N132" s="1379"/>
      <c r="O132" s="1379"/>
      <c r="P132" s="2310"/>
      <c r="Q132" s="11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4" sqref="I3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5" customWidth="1"/>
    <col min="12" max="12" width="12.25" style="116"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095" customFormat="1" ht="28.5" customHeight="1" thickBot="1">
      <c r="A1" s="3081" t="s">
        <v>1096</v>
      </c>
      <c r="B1" s="3099" t="s">
        <v>1097</v>
      </c>
      <c r="C1" s="3093" t="s">
        <v>1098</v>
      </c>
      <c r="D1" s="3084"/>
      <c r="E1" s="3089"/>
      <c r="F1" s="3086"/>
      <c r="G1" s="3088" t="s">
        <v>1099</v>
      </c>
      <c r="H1" s="3089"/>
      <c r="I1" s="3089"/>
      <c r="J1" s="3089"/>
      <c r="K1" s="3090"/>
      <c r="L1" s="3091"/>
      <c r="M1" s="3083"/>
      <c r="N1" s="3083"/>
      <c r="O1" s="3083"/>
      <c r="P1" s="3093"/>
      <c r="Q1" s="3093"/>
      <c r="R1" s="3093"/>
      <c r="S1" s="3093"/>
      <c r="T1" s="3093"/>
      <c r="U1" s="3093"/>
      <c r="V1" s="3093"/>
      <c r="W1" s="3093"/>
      <c r="X1" s="3093"/>
      <c r="Y1" s="3093"/>
      <c r="Z1" s="3093"/>
      <c r="AA1" s="3093"/>
      <c r="AB1" s="3093"/>
      <c r="AC1" s="3094"/>
    </row>
    <row r="2" spans="1:29" s="90" customFormat="1" ht="28.5" customHeight="1" thickTop="1">
      <c r="A2" s="3077" t="s">
        <v>1100</v>
      </c>
      <c r="B2" s="2825" t="e">
        <f ca="1">IF(C2="——",ROUND(C43*D3/10000,0),ROUND(C43*D3/10000,0)-D2)</f>
        <v>#DIV/0!</v>
      </c>
      <c r="C2" s="3078"/>
      <c r="D2" s="2323" t="e">
        <f ca="1">SUMIF(INDIRECT("'"&amp;F2&amp;"'"&amp;"!A:A"),"承租人权益价值",INDIRECT("'"&amp;F2&amp;"'"&amp;"!c:c"))</f>
        <v>#REF!</v>
      </c>
      <c r="E2" s="3079" t="s">
        <v>863</v>
      </c>
      <c r="F2" s="3080"/>
      <c r="G2" s="2299"/>
      <c r="H2" s="2299"/>
      <c r="I2" s="2299"/>
      <c r="J2" s="2299"/>
      <c r="K2" s="2299"/>
      <c r="L2" s="2300"/>
      <c r="M2" s="2301"/>
      <c r="N2" s="2301"/>
      <c r="O2" s="2301"/>
      <c r="P2" s="1324"/>
      <c r="Q2" s="1324"/>
      <c r="R2" s="1324"/>
      <c r="S2" s="1324"/>
      <c r="T2" s="1324"/>
      <c r="U2" s="1324"/>
      <c r="V2" s="1324"/>
      <c r="W2" s="1324"/>
      <c r="X2" s="1324"/>
      <c r="Y2" s="1324"/>
      <c r="Z2" s="1324"/>
      <c r="AA2" s="1324"/>
      <c r="AB2" s="1324"/>
      <c r="AC2" s="1381"/>
    </row>
    <row r="3" spans="1:29" s="90" customFormat="1" ht="28.5" customHeight="1" thickBot="1">
      <c r="A3" s="87" t="s">
        <v>1101</v>
      </c>
      <c r="B3" s="944" t="e">
        <f ca="1">IF(C2="——",C43,ROUND(B2*10000/D3,0))</f>
        <v>#DIV/0!</v>
      </c>
      <c r="C3" s="140" t="s">
        <v>1102</v>
      </c>
      <c r="D3" s="738">
        <f>IF(D1="",'数据-汇总表'!E3,SUMIF('数据-汇总表'!$C19:$C33,D1,'数据-汇总表'!$E19:$E33))</f>
        <v>43758.520000000004</v>
      </c>
      <c r="E3" s="2299"/>
      <c r="F3" s="2298"/>
      <c r="G3" s="2299"/>
      <c r="H3" s="2299"/>
      <c r="I3" s="2299"/>
      <c r="J3" s="2299"/>
      <c r="K3" s="2302"/>
      <c r="L3" s="2300"/>
      <c r="M3" s="2301"/>
      <c r="N3" s="2301"/>
      <c r="O3" s="2301"/>
      <c r="P3" s="1324"/>
      <c r="Q3" s="1324"/>
      <c r="R3" s="1324"/>
      <c r="S3" s="1324"/>
      <c r="T3" s="1324"/>
      <c r="U3" s="1324"/>
      <c r="V3" s="1324"/>
      <c r="W3" s="1324"/>
      <c r="X3" s="1324"/>
      <c r="Y3" s="1324"/>
      <c r="Z3" s="1324"/>
      <c r="AA3" s="1324"/>
      <c r="AB3" s="1399"/>
      <c r="AC3" s="1381"/>
    </row>
    <row r="4" spans="1:29">
      <c r="A4" s="141" t="s">
        <v>1103</v>
      </c>
      <c r="B4" s="142"/>
      <c r="C4" s="3675" t="s">
        <v>1104</v>
      </c>
      <c r="D4" s="3676"/>
      <c r="E4" s="3677" t="s">
        <v>1105</v>
      </c>
      <c r="F4" s="3678"/>
      <c r="G4" s="3675" t="s">
        <v>1106</v>
      </c>
      <c r="H4" s="3676"/>
      <c r="I4" s="3675" t="s">
        <v>1107</v>
      </c>
      <c r="J4" s="3676"/>
      <c r="K4" s="185" t="s">
        <v>1108</v>
      </c>
      <c r="L4" s="2276"/>
      <c r="M4" s="2277"/>
      <c r="N4" s="2277"/>
      <c r="O4" s="2277"/>
      <c r="P4" s="3679" t="s">
        <v>1103</v>
      </c>
      <c r="Q4" s="3680"/>
      <c r="R4" s="3685" t="s">
        <v>1105</v>
      </c>
      <c r="S4" s="3686"/>
      <c r="T4" s="3685" t="s">
        <v>1106</v>
      </c>
      <c r="U4" s="3686"/>
      <c r="V4" s="3691" t="s">
        <v>1107</v>
      </c>
      <c r="W4" s="3691"/>
      <c r="X4" s="1330"/>
      <c r="Y4" s="3685" t="s">
        <v>1103</v>
      </c>
      <c r="Z4" s="3686"/>
      <c r="AA4" s="3672" t="s">
        <v>1105</v>
      </c>
      <c r="AB4" s="3673" t="s">
        <v>1106</v>
      </c>
      <c r="AC4" s="3672" t="s">
        <v>1107</v>
      </c>
    </row>
    <row r="5" spans="1:29">
      <c r="A5" s="144"/>
      <c r="B5" s="145"/>
      <c r="C5" s="3624" t="s">
        <v>1109</v>
      </c>
      <c r="D5" s="3625"/>
      <c r="E5" s="3705" t="s">
        <v>1110</v>
      </c>
      <c r="F5" s="3706"/>
      <c r="G5" s="3624" t="s">
        <v>1111</v>
      </c>
      <c r="H5" s="3625"/>
      <c r="I5" s="3624" t="s">
        <v>1112</v>
      </c>
      <c r="J5" s="3625"/>
      <c r="K5" s="185"/>
      <c r="L5" s="2276"/>
      <c r="M5" s="2277"/>
      <c r="N5" s="2277"/>
      <c r="O5" s="2277"/>
      <c r="P5" s="3681"/>
      <c r="Q5" s="3682"/>
      <c r="R5" s="3687"/>
      <c r="S5" s="3688"/>
      <c r="T5" s="3687"/>
      <c r="U5" s="3688"/>
      <c r="V5" s="3691"/>
      <c r="W5" s="3691"/>
      <c r="X5" s="1330"/>
      <c r="Y5" s="3687"/>
      <c r="Z5" s="3688"/>
      <c r="AA5" s="3673"/>
      <c r="AB5" s="3673"/>
      <c r="AC5" s="3673"/>
    </row>
    <row r="6" spans="1:29" ht="14.25" thickBot="1">
      <c r="A6" s="146"/>
      <c r="B6" s="147"/>
      <c r="C6" s="3626" t="s">
        <v>1113</v>
      </c>
      <c r="D6" s="3627"/>
      <c r="E6" s="3703" t="s">
        <v>1113</v>
      </c>
      <c r="F6" s="3704"/>
      <c r="G6" s="3626" t="s">
        <v>1113</v>
      </c>
      <c r="H6" s="3627"/>
      <c r="I6" s="3626" t="s">
        <v>1113</v>
      </c>
      <c r="J6" s="3627"/>
      <c r="K6" s="185" t="s">
        <v>1114</v>
      </c>
      <c r="L6" s="2276"/>
      <c r="M6" s="2277"/>
      <c r="N6" s="2277"/>
      <c r="O6" s="2277"/>
      <c r="P6" s="3683"/>
      <c r="Q6" s="3684"/>
      <c r="R6" s="3687"/>
      <c r="S6" s="3688"/>
      <c r="T6" s="3689"/>
      <c r="U6" s="3690"/>
      <c r="V6" s="3691"/>
      <c r="W6" s="3691"/>
      <c r="X6" s="1330"/>
      <c r="Y6" s="3689"/>
      <c r="Z6" s="3690"/>
      <c r="AA6" s="3674"/>
      <c r="AB6" s="3674"/>
      <c r="AC6" s="3674"/>
    </row>
    <row r="7" spans="1:29" s="40" customFormat="1" ht="15" thickBot="1">
      <c r="A7" s="1006" t="s">
        <v>1115</v>
      </c>
      <c r="B7" s="1007"/>
      <c r="C7" s="749">
        <f>'数据-取费表'!B2</f>
        <v>43006</v>
      </c>
      <c r="D7" s="750">
        <v>100</v>
      </c>
      <c r="E7" s="1009"/>
      <c r="F7" s="752">
        <f>SUMIF(52:52,YEAR(E7)&amp;"-"&amp;MONTH(E7),53:53)</f>
        <v>0</v>
      </c>
      <c r="G7" s="1009"/>
      <c r="H7" s="750">
        <f>SUMIF(52:52,YEAR(G7)&amp;"-"&amp;MONTH(G7),53:53)</f>
        <v>0</v>
      </c>
      <c r="I7" s="1009"/>
      <c r="J7" s="750">
        <f>SUMIF(52:52,YEAR(I7)&amp;"-"&amp;MONTH(I7),53:53)</f>
        <v>0</v>
      </c>
      <c r="K7" s="1011"/>
      <c r="L7" s="2278"/>
      <c r="M7" s="2240"/>
      <c r="N7" s="2240"/>
      <c r="O7" s="2240"/>
      <c r="P7" s="3694" t="s">
        <v>1115</v>
      </c>
      <c r="Q7" s="3696"/>
      <c r="R7" s="1332" t="s">
        <v>65</v>
      </c>
      <c r="S7" s="1333">
        <f t="shared" ref="S7:S15" si="0">F7</f>
        <v>0</v>
      </c>
      <c r="T7" s="1332" t="s">
        <v>65</v>
      </c>
      <c r="U7" s="1333">
        <f t="shared" ref="U7:U15" si="1">H7</f>
        <v>0</v>
      </c>
      <c r="V7" s="1332" t="s">
        <v>65</v>
      </c>
      <c r="W7" s="1333">
        <f t="shared" ref="W7:W15" si="2">J7</f>
        <v>0</v>
      </c>
      <c r="X7" s="285"/>
      <c r="Y7" s="3694" t="s">
        <v>1115</v>
      </c>
      <c r="Z7" s="3695"/>
      <c r="AA7" s="1334" t="e">
        <f>D7/F7</f>
        <v>#DIV/0!</v>
      </c>
      <c r="AB7" s="1334" t="e">
        <f>D7/H7</f>
        <v>#DIV/0!</v>
      </c>
      <c r="AC7" s="1334" t="e">
        <f>D7/J7</f>
        <v>#DIV/0!</v>
      </c>
    </row>
    <row r="8" spans="1:29" s="40" customFormat="1" ht="15" thickBot="1">
      <c r="A8" s="1006" t="s">
        <v>1116</v>
      </c>
      <c r="B8" s="1007"/>
      <c r="C8" s="1012" t="s">
        <v>155</v>
      </c>
      <c r="D8" s="750">
        <v>100</v>
      </c>
      <c r="E8" s="1012"/>
      <c r="F8" s="752">
        <f>SUMIF(55:55,E8,56:56)-SUMIF(55:55,C8,56:56)+100</f>
        <v>0</v>
      </c>
      <c r="G8" s="1012"/>
      <c r="H8" s="750">
        <f>SUMIF(55:55,G8,56:56)-SUMIF(55:55,C8,56:56)+100</f>
        <v>0</v>
      </c>
      <c r="I8" s="1012"/>
      <c r="J8" s="750">
        <f>SUMIF(55:55,I8,56:56)-SUMIF(55:55,C8,56:56)+100</f>
        <v>0</v>
      </c>
      <c r="K8" s="1011"/>
      <c r="L8" s="2278"/>
      <c r="M8" s="2240"/>
      <c r="N8" s="2240"/>
      <c r="O8" s="2240"/>
      <c r="P8" s="3694" t="s">
        <v>1011</v>
      </c>
      <c r="Q8" s="3695"/>
      <c r="R8" s="1332" t="s">
        <v>65</v>
      </c>
      <c r="S8" s="1333">
        <f t="shared" si="0"/>
        <v>0</v>
      </c>
      <c r="T8" s="1332" t="s">
        <v>65</v>
      </c>
      <c r="U8" s="1333">
        <f t="shared" si="1"/>
        <v>0</v>
      </c>
      <c r="V8" s="1332" t="s">
        <v>65</v>
      </c>
      <c r="W8" s="1333">
        <f t="shared" si="2"/>
        <v>0</v>
      </c>
      <c r="X8" s="285"/>
      <c r="Y8" s="3694" t="s">
        <v>1011</v>
      </c>
      <c r="Z8" s="3695"/>
      <c r="AA8" s="1334" t="e">
        <f t="shared" ref="AA8:AA40" si="3">D8/F8</f>
        <v>#DIV/0!</v>
      </c>
      <c r="AB8" s="1334" t="e">
        <f t="shared" ref="AB8:AB40" si="4">D8/H8</f>
        <v>#DIV/0!</v>
      </c>
      <c r="AC8" s="1334" t="e">
        <f t="shared" ref="AC8:AC40" si="5">D8/J8</f>
        <v>#DIV/0!</v>
      </c>
    </row>
    <row r="9" spans="1:29" s="40" customFormat="1" ht="14.25">
      <c r="A9" s="1013" t="s">
        <v>1012</v>
      </c>
      <c r="B9" s="62" t="s">
        <v>1013</v>
      </c>
      <c r="C9" s="1335"/>
      <c r="D9" s="421">
        <v>100</v>
      </c>
      <c r="E9" s="1337"/>
      <c r="F9" s="421">
        <f>SUMIF(57:57,E9,58:58)-SUMIF(57:57,C9,58:58)+100</f>
        <v>100</v>
      </c>
      <c r="G9" s="1336"/>
      <c r="H9" s="421">
        <f>SUMIF(57:57,G9,58:58)-SUMIF(57:57,C9,58:58)+100</f>
        <v>100</v>
      </c>
      <c r="I9" s="1336"/>
      <c r="J9" s="421">
        <f>SUMIF(57:57,I9,58:58)-SUMIF(57:57,C9,58:58)+100</f>
        <v>100</v>
      </c>
      <c r="K9" s="1011"/>
      <c r="L9" s="2278"/>
      <c r="M9" s="2240"/>
      <c r="N9" s="2240"/>
      <c r="O9" s="2319"/>
      <c r="P9" s="3660" t="s">
        <v>67</v>
      </c>
      <c r="Q9" s="7" t="str">
        <f t="shared" ref="Q9:Q15" si="6">B9</f>
        <v>用途</v>
      </c>
      <c r="R9" s="1332" t="s">
        <v>65</v>
      </c>
      <c r="S9" s="1333">
        <f t="shared" si="0"/>
        <v>100</v>
      </c>
      <c r="T9" s="1332" t="s">
        <v>65</v>
      </c>
      <c r="U9" s="1333">
        <f t="shared" si="1"/>
        <v>100</v>
      </c>
      <c r="V9" s="1332" t="s">
        <v>65</v>
      </c>
      <c r="W9" s="1333">
        <f t="shared" si="2"/>
        <v>100</v>
      </c>
      <c r="X9" s="285"/>
      <c r="Y9" s="3429" t="s">
        <v>67</v>
      </c>
      <c r="Z9" s="286" t="str">
        <f t="shared" ref="Z9:Z15" si="7">Q9</f>
        <v>用途</v>
      </c>
      <c r="AA9" s="1334">
        <f t="shared" si="3"/>
        <v>1</v>
      </c>
      <c r="AB9" s="1334">
        <f t="shared" si="4"/>
        <v>1</v>
      </c>
      <c r="AC9" s="1334">
        <f t="shared" si="5"/>
        <v>1</v>
      </c>
    </row>
    <row r="10" spans="1:29" s="92" customFormat="1" ht="27">
      <c r="A10" s="148"/>
      <c r="B10" s="12" t="s">
        <v>106</v>
      </c>
      <c r="C10" s="1338"/>
      <c r="D10" s="422">
        <v>100</v>
      </c>
      <c r="E10" s="1338"/>
      <c r="F10" s="422">
        <f>SUMIF(59:59,E10,60:60)-SUMIF(59:59,C10,60:60)+100</f>
        <v>100</v>
      </c>
      <c r="G10" s="1339"/>
      <c r="H10" s="422">
        <f>SUMIF(59:59,G10,60:60)-SUMIF(59:59,C10,60:60)+100</f>
        <v>100</v>
      </c>
      <c r="I10" s="1338"/>
      <c r="J10" s="422">
        <f>SUMIF(59:59,I10,60:60)-SUMIF(59:59,C10,60:60)+100</f>
        <v>100</v>
      </c>
      <c r="K10" s="947"/>
      <c r="L10" s="2279"/>
      <c r="M10" s="2280"/>
      <c r="N10" s="2280"/>
      <c r="O10" s="2320"/>
      <c r="P10" s="3660"/>
      <c r="Q10" s="7" t="str">
        <f t="shared" si="6"/>
        <v>土地使用年限（年）</v>
      </c>
      <c r="R10" s="1332" t="s">
        <v>65</v>
      </c>
      <c r="S10" s="1333">
        <f t="shared" si="0"/>
        <v>100</v>
      </c>
      <c r="T10" s="1332" t="s">
        <v>65</v>
      </c>
      <c r="U10" s="1333">
        <f t="shared" si="1"/>
        <v>100</v>
      </c>
      <c r="V10" s="1332" t="s">
        <v>65</v>
      </c>
      <c r="W10" s="1333">
        <f t="shared" si="2"/>
        <v>100</v>
      </c>
      <c r="X10" s="285"/>
      <c r="Y10" s="3429"/>
      <c r="Z10" s="286" t="str">
        <f t="shared" si="7"/>
        <v>土地使用年限（年）</v>
      </c>
      <c r="AA10" s="1334">
        <f t="shared" si="3"/>
        <v>1</v>
      </c>
      <c r="AB10" s="1334">
        <f t="shared" si="4"/>
        <v>1</v>
      </c>
      <c r="AC10" s="1334">
        <f t="shared" si="5"/>
        <v>1</v>
      </c>
    </row>
    <row r="11" spans="1:29" ht="15">
      <c r="A11" s="149"/>
      <c r="B11" s="12" t="s">
        <v>93</v>
      </c>
      <c r="C11" s="765"/>
      <c r="D11" s="422">
        <v>100</v>
      </c>
      <c r="E11" s="765"/>
      <c r="F11" s="422" t="e">
        <f>LOOKUP(E11,62:62,63:63)-LOOKUP(C11,62:62,63:63)+100</f>
        <v>#N/A</v>
      </c>
      <c r="G11" s="766"/>
      <c r="H11" s="422" t="e">
        <f>LOOKUP(G11,62:62,63:63)-LOOKUP(C11,62:62,63:63)+100</f>
        <v>#N/A</v>
      </c>
      <c r="I11" s="765"/>
      <c r="J11" s="422" t="e">
        <f>LOOKUP(I11,62:62,63:63)-LOOKUP(C11,62:62,63:63)+100</f>
        <v>#N/A</v>
      </c>
      <c r="K11" s="947"/>
      <c r="L11" s="2281"/>
      <c r="M11" s="2277"/>
      <c r="N11" s="2277"/>
      <c r="O11" s="2321"/>
      <c r="P11" s="3660"/>
      <c r="Q11" s="7" t="str">
        <f t="shared" si="6"/>
        <v>容积率</v>
      </c>
      <c r="R11" s="1332" t="s">
        <v>65</v>
      </c>
      <c r="S11" s="1333" t="e">
        <f t="shared" si="0"/>
        <v>#N/A</v>
      </c>
      <c r="T11" s="1332" t="s">
        <v>65</v>
      </c>
      <c r="U11" s="1333" t="e">
        <f t="shared" si="1"/>
        <v>#N/A</v>
      </c>
      <c r="V11" s="1332" t="s">
        <v>65</v>
      </c>
      <c r="W11" s="1333" t="e">
        <f t="shared" si="2"/>
        <v>#N/A</v>
      </c>
      <c r="X11" s="285"/>
      <c r="Y11" s="3429"/>
      <c r="Z11" s="286" t="str">
        <f t="shared" si="7"/>
        <v>容积率</v>
      </c>
      <c r="AA11" s="1334" t="e">
        <f t="shared" si="3"/>
        <v>#N/A</v>
      </c>
      <c r="AB11" s="1334" t="e">
        <f t="shared" si="4"/>
        <v>#N/A</v>
      </c>
      <c r="AC11" s="1334" t="e">
        <f t="shared" si="5"/>
        <v>#N/A</v>
      </c>
    </row>
    <row r="12" spans="1:29" s="40" customFormat="1" ht="14.25">
      <c r="A12" s="1020"/>
      <c r="B12" s="1021">
        <v>111</v>
      </c>
      <c r="C12" s="1016"/>
      <c r="D12" s="769">
        <v>100</v>
      </c>
      <c r="E12" s="93"/>
      <c r="F12" s="422">
        <f>SUMIF(64:64,E12,65:65)-SUMIF(64:64,C12,65:65)+100</f>
        <v>100</v>
      </c>
      <c r="G12" s="1400"/>
      <c r="H12" s="422">
        <f>SUMIF(64:64,G12,65:65)-SUMIF(64:64,C12,65:65)+100</f>
        <v>100</v>
      </c>
      <c r="I12" s="1347"/>
      <c r="J12" s="422">
        <f>SUMIF(64:64,I12,65:65)-SUMIF(64:64,C12,65:65)+100</f>
        <v>100</v>
      </c>
      <c r="K12" s="186"/>
      <c r="L12" s="2278"/>
      <c r="M12" s="2240"/>
      <c r="N12" s="2240"/>
      <c r="O12" s="2319"/>
      <c r="P12" s="3660"/>
      <c r="Q12" s="7">
        <f t="shared" si="6"/>
        <v>111</v>
      </c>
      <c r="R12" s="1332" t="s">
        <v>65</v>
      </c>
      <c r="S12" s="1333">
        <f t="shared" si="0"/>
        <v>100</v>
      </c>
      <c r="T12" s="1332" t="s">
        <v>65</v>
      </c>
      <c r="U12" s="1333">
        <f t="shared" si="1"/>
        <v>100</v>
      </c>
      <c r="V12" s="1332" t="s">
        <v>65</v>
      </c>
      <c r="W12" s="1333">
        <f t="shared" si="2"/>
        <v>100</v>
      </c>
      <c r="X12" s="285"/>
      <c r="Y12" s="3429"/>
      <c r="Z12" s="286">
        <f t="shared" si="7"/>
        <v>111</v>
      </c>
      <c r="AA12" s="1334">
        <f>D12/F12</f>
        <v>1</v>
      </c>
      <c r="AB12" s="1334">
        <f>D12/H12</f>
        <v>1</v>
      </c>
      <c r="AC12" s="1334">
        <f>D12/J12</f>
        <v>1</v>
      </c>
    </row>
    <row r="13" spans="1:29" ht="14.25">
      <c r="A13" s="149"/>
      <c r="B13" s="1021">
        <v>111</v>
      </c>
      <c r="C13" s="93"/>
      <c r="D13" s="771">
        <v>100</v>
      </c>
      <c r="E13" s="93"/>
      <c r="F13" s="422">
        <f>SUMIF(66:66,E13,67:67)-SUMIF(66:66,C13,67:67)+100</f>
        <v>100</v>
      </c>
      <c r="G13" s="1400"/>
      <c r="H13" s="771">
        <f>SUMIF(66:66,G13,67:67)-SUMIF(66:66,C13,67:67)+100</f>
        <v>100</v>
      </c>
      <c r="I13" s="1347"/>
      <c r="J13" s="771">
        <f>SUMIF(66:66,I13,67:67)-SUMIF(66:66,C13,67:67)+100</f>
        <v>100</v>
      </c>
      <c r="K13" s="186"/>
      <c r="L13" s="2282"/>
      <c r="M13" s="2277"/>
      <c r="N13" s="2277"/>
      <c r="O13" s="2321"/>
      <c r="P13" s="3660"/>
      <c r="Q13" s="7">
        <f t="shared" si="6"/>
        <v>111</v>
      </c>
      <c r="R13" s="1332" t="s">
        <v>65</v>
      </c>
      <c r="S13" s="1333">
        <f t="shared" si="0"/>
        <v>100</v>
      </c>
      <c r="T13" s="1332" t="s">
        <v>65</v>
      </c>
      <c r="U13" s="1333">
        <f t="shared" si="1"/>
        <v>100</v>
      </c>
      <c r="V13" s="1332" t="s">
        <v>65</v>
      </c>
      <c r="W13" s="1333">
        <f t="shared" si="2"/>
        <v>100</v>
      </c>
      <c r="X13" s="285"/>
      <c r="Y13" s="3429"/>
      <c r="Z13" s="286">
        <f t="shared" si="7"/>
        <v>111</v>
      </c>
      <c r="AA13" s="1334">
        <f t="shared" si="3"/>
        <v>1</v>
      </c>
      <c r="AB13" s="1334">
        <f t="shared" si="4"/>
        <v>1</v>
      </c>
      <c r="AC13" s="1334">
        <f t="shared" si="5"/>
        <v>1</v>
      </c>
    </row>
    <row r="14" spans="1:29" ht="15" thickBot="1">
      <c r="A14" s="152"/>
      <c r="B14" s="1022">
        <v>111</v>
      </c>
      <c r="C14" s="94"/>
      <c r="D14" s="774">
        <v>100</v>
      </c>
      <c r="E14" s="94"/>
      <c r="F14" s="774">
        <f>SUMIF(68:68,E14,69:69)-SUMIF(68:68,C14,69:69)+100</f>
        <v>100</v>
      </c>
      <c r="G14" s="1400"/>
      <c r="H14" s="774">
        <f>SUMIF(68:68,G14,69:69)-SUMIF(68:68,C14,69:69)+100</f>
        <v>100</v>
      </c>
      <c r="I14" s="1347"/>
      <c r="J14" s="774">
        <f>SUMIF(68:68,I14,69:69)-SUMIF(68:68,C14,69:69)+100</f>
        <v>100</v>
      </c>
      <c r="K14" s="186"/>
      <c r="L14" s="2282"/>
      <c r="M14" s="2277"/>
      <c r="N14" s="2277"/>
      <c r="O14" s="2321"/>
      <c r="P14" s="3660"/>
      <c r="Q14" s="7">
        <f t="shared" si="6"/>
        <v>111</v>
      </c>
      <c r="R14" s="1332" t="s">
        <v>65</v>
      </c>
      <c r="S14" s="1333">
        <f t="shared" si="0"/>
        <v>100</v>
      </c>
      <c r="T14" s="1332" t="s">
        <v>65</v>
      </c>
      <c r="U14" s="1333">
        <f t="shared" si="1"/>
        <v>100</v>
      </c>
      <c r="V14" s="1332" t="s">
        <v>65</v>
      </c>
      <c r="W14" s="1333">
        <f t="shared" si="2"/>
        <v>100</v>
      </c>
      <c r="X14" s="285"/>
      <c r="Y14" s="3429"/>
      <c r="Z14" s="286">
        <f t="shared" si="7"/>
        <v>111</v>
      </c>
      <c r="AA14" s="1334">
        <f t="shared" si="3"/>
        <v>1</v>
      </c>
      <c r="AB14" s="1334">
        <f t="shared" si="4"/>
        <v>1</v>
      </c>
      <c r="AC14" s="1334">
        <f t="shared" si="5"/>
        <v>1</v>
      </c>
    </row>
    <row r="15" spans="1:29" ht="67.5">
      <c r="A15" s="153" t="s">
        <v>69</v>
      </c>
      <c r="B15" s="58" t="s">
        <v>151</v>
      </c>
      <c r="C15" s="210" t="str">
        <f>估价对象房地状况!G3</f>
        <v>估价对象位于XX开发区，园区建设成熟度XX，产业集聚程度XX</v>
      </c>
      <c r="D15" s="777">
        <v>100</v>
      </c>
      <c r="E15" s="95"/>
      <c r="F15" s="779">
        <f>SUMIF(70:70,E16,71:71)-SUMIF(70:70,C16,71:71)+100</f>
        <v>100</v>
      </c>
      <c r="G15" s="96"/>
      <c r="H15" s="777">
        <f>SUMIF(70:70,G16,71:71)-SUMIF(70:70,C16,71:71)+100</f>
        <v>100</v>
      </c>
      <c r="I15" s="95"/>
      <c r="J15" s="777">
        <f>SUMIF(70:70,I16,71:71)-SUMIF(70:70,C16,71:71)+100</f>
        <v>100</v>
      </c>
      <c r="K15" s="949"/>
      <c r="L15" s="2282"/>
      <c r="M15" s="2277"/>
      <c r="N15" s="2277"/>
      <c r="O15" s="2321"/>
      <c r="P15" s="3662" t="s">
        <v>69</v>
      </c>
      <c r="Q15" s="1340" t="str">
        <f t="shared" si="6"/>
        <v>产业集聚程度</v>
      </c>
      <c r="R15" s="1341" t="s">
        <v>65</v>
      </c>
      <c r="S15" s="1342">
        <f t="shared" si="0"/>
        <v>100</v>
      </c>
      <c r="T15" s="1341" t="s">
        <v>65</v>
      </c>
      <c r="U15" s="1342">
        <f t="shared" si="1"/>
        <v>100</v>
      </c>
      <c r="V15" s="1341" t="s">
        <v>65</v>
      </c>
      <c r="W15" s="1342">
        <f t="shared" si="2"/>
        <v>100</v>
      </c>
      <c r="X15" s="1330"/>
      <c r="Y15" s="3662" t="s">
        <v>69</v>
      </c>
      <c r="Z15" s="1343" t="str">
        <f t="shared" si="7"/>
        <v>产业集聚程度</v>
      </c>
      <c r="AA15" s="1344">
        <f t="shared" si="3"/>
        <v>1</v>
      </c>
      <c r="AB15" s="1344">
        <f t="shared" si="4"/>
        <v>1</v>
      </c>
      <c r="AC15" s="1344">
        <f t="shared" si="5"/>
        <v>1</v>
      </c>
    </row>
    <row r="16" spans="1:29" ht="14.25">
      <c r="A16" s="149"/>
      <c r="B16" s="154"/>
      <c r="C16" s="97"/>
      <c r="D16" s="784"/>
      <c r="E16" s="97"/>
      <c r="F16" s="785"/>
      <c r="G16" s="97"/>
      <c r="H16" s="786"/>
      <c r="I16" s="97"/>
      <c r="J16" s="784"/>
      <c r="K16" s="187"/>
      <c r="L16" s="2282"/>
      <c r="M16" s="2277"/>
      <c r="N16" s="2277"/>
      <c r="O16" s="2321"/>
      <c r="P16" s="3663"/>
      <c r="Q16" s="1340"/>
      <c r="R16" s="1341"/>
      <c r="S16" s="1342"/>
      <c r="T16" s="1341"/>
      <c r="U16" s="1342"/>
      <c r="V16" s="1341"/>
      <c r="W16" s="1342"/>
      <c r="X16" s="1330"/>
      <c r="Y16" s="3663"/>
      <c r="Z16" s="1343"/>
      <c r="AA16" s="1344">
        <v>1</v>
      </c>
      <c r="AB16" s="1344">
        <v>1</v>
      </c>
      <c r="AC16" s="1344">
        <v>1</v>
      </c>
    </row>
    <row r="17" spans="1:29" ht="94.5">
      <c r="A17" s="149"/>
      <c r="B17" s="1345" t="s">
        <v>72</v>
      </c>
      <c r="C17" s="156" t="str">
        <f>估价对象房地状况!G4</f>
        <v>估价对象周边道路状况、公共交通通达情况、停车便捷程度，综合评价交通便捷度较好</v>
      </c>
      <c r="D17" s="786">
        <v>100</v>
      </c>
      <c r="E17" s="100"/>
      <c r="F17" s="789">
        <f>SUMIF(72:72,E18,73:73)-SUMIF(72:72,C18,73:73)+100</f>
        <v>100</v>
      </c>
      <c r="G17" s="101"/>
      <c r="H17" s="791">
        <f>SUMIF(72:72,G18,73:73)-SUMIF(72:72,C18,73:73)+100</f>
        <v>100</v>
      </c>
      <c r="I17" s="100"/>
      <c r="J17" s="791">
        <f>SUMIF(72:72,I18,73:73)-SUMIF(72:72,C18,73:73)+100</f>
        <v>100</v>
      </c>
      <c r="K17" s="949"/>
      <c r="L17" s="2282"/>
      <c r="M17" s="2277"/>
      <c r="N17" s="2277"/>
      <c r="O17" s="2321"/>
      <c r="P17" s="3663"/>
      <c r="Q17" s="1340" t="str">
        <f>B17</f>
        <v>交通便捷度</v>
      </c>
      <c r="R17" s="1341" t="s">
        <v>65</v>
      </c>
      <c r="S17" s="1342">
        <f>F17</f>
        <v>100</v>
      </c>
      <c r="T17" s="1341" t="s">
        <v>65</v>
      </c>
      <c r="U17" s="1342">
        <f>H17</f>
        <v>100</v>
      </c>
      <c r="V17" s="1341" t="s">
        <v>65</v>
      </c>
      <c r="W17" s="1342">
        <f>J17</f>
        <v>100</v>
      </c>
      <c r="X17" s="1330"/>
      <c r="Y17" s="3663"/>
      <c r="Z17" s="1343" t="str">
        <f>Q17</f>
        <v>交通便捷度</v>
      </c>
      <c r="AA17" s="1344">
        <f t="shared" si="3"/>
        <v>1</v>
      </c>
      <c r="AB17" s="1344">
        <f t="shared" si="4"/>
        <v>1</v>
      </c>
      <c r="AC17" s="1344">
        <f t="shared" si="5"/>
        <v>1</v>
      </c>
    </row>
    <row r="18" spans="1:29" ht="14.25">
      <c r="A18" s="149"/>
      <c r="B18" s="1030"/>
      <c r="C18" s="102"/>
      <c r="D18" s="786"/>
      <c r="E18" s="103"/>
      <c r="F18" s="789"/>
      <c r="G18" s="104"/>
      <c r="H18" s="784"/>
      <c r="I18" s="103"/>
      <c r="J18" s="784"/>
      <c r="K18" s="187"/>
      <c r="L18" s="2282"/>
      <c r="M18" s="2277"/>
      <c r="N18" s="2277"/>
      <c r="O18" s="2321"/>
      <c r="P18" s="3663"/>
      <c r="Q18" s="1340"/>
      <c r="R18" s="1341"/>
      <c r="S18" s="1342"/>
      <c r="T18" s="1341"/>
      <c r="U18" s="1342"/>
      <c r="V18" s="1341"/>
      <c r="W18" s="1342"/>
      <c r="X18" s="1330"/>
      <c r="Y18" s="3663"/>
      <c r="Z18" s="1343"/>
      <c r="AA18" s="1344">
        <v>1</v>
      </c>
      <c r="AB18" s="1344">
        <v>1</v>
      </c>
      <c r="AC18" s="1344">
        <v>1</v>
      </c>
    </row>
    <row r="19" spans="1:29" ht="40.5">
      <c r="A19" s="149"/>
      <c r="B19" s="1345" t="s">
        <v>2653</v>
      </c>
      <c r="C19" s="156" t="str">
        <f>估价对象房地状况!G5</f>
        <v>估价对象所在区域公共配套设施齐备情况</v>
      </c>
      <c r="D19" s="791">
        <v>100</v>
      </c>
      <c r="E19" s="105"/>
      <c r="F19" s="794">
        <f>SUMIF(74:74,E20,75:75)-SUMIF(74:74,C20,75:75)+100</f>
        <v>100</v>
      </c>
      <c r="G19" s="106"/>
      <c r="H19" s="786">
        <f>SUMIF(74:74,G20,75:75)-SUMIF(74:74,C20,75:75)+100</f>
        <v>100</v>
      </c>
      <c r="I19" s="105"/>
      <c r="J19" s="786">
        <f>SUMIF(74:74,I20,75:75)-SUMIF(74:74,C20,75:75)+100</f>
        <v>100</v>
      </c>
      <c r="K19" s="949"/>
      <c r="L19" s="2282"/>
      <c r="M19" s="2277"/>
      <c r="N19" s="2277"/>
      <c r="O19" s="2321"/>
      <c r="P19" s="3663"/>
      <c r="Q19" s="1340" t="str">
        <f>B19</f>
        <v>公共配套设施</v>
      </c>
      <c r="R19" s="1341" t="s">
        <v>65</v>
      </c>
      <c r="S19" s="1342">
        <f>F19</f>
        <v>100</v>
      </c>
      <c r="T19" s="1341" t="s">
        <v>65</v>
      </c>
      <c r="U19" s="1342">
        <f>H19</f>
        <v>100</v>
      </c>
      <c r="V19" s="1341" t="s">
        <v>65</v>
      </c>
      <c r="W19" s="1342">
        <f>J19</f>
        <v>100</v>
      </c>
      <c r="X19" s="1330"/>
      <c r="Y19" s="3663"/>
      <c r="Z19" s="1343" t="str">
        <f>Q19</f>
        <v>公共配套设施</v>
      </c>
      <c r="AA19" s="1344">
        <f t="shared" si="3"/>
        <v>1</v>
      </c>
      <c r="AB19" s="1344">
        <f t="shared" si="4"/>
        <v>1</v>
      </c>
      <c r="AC19" s="1344">
        <f t="shared" si="5"/>
        <v>1</v>
      </c>
    </row>
    <row r="20" spans="1:29" ht="14.25">
      <c r="A20" s="149"/>
      <c r="B20" s="1030"/>
      <c r="C20" s="97"/>
      <c r="D20" s="784"/>
      <c r="E20" s="98"/>
      <c r="F20" s="785"/>
      <c r="G20" s="99"/>
      <c r="H20" s="784"/>
      <c r="I20" s="98"/>
      <c r="J20" s="784"/>
      <c r="K20" s="187"/>
      <c r="L20" s="2282"/>
      <c r="M20" s="2277"/>
      <c r="N20" s="2277"/>
      <c r="O20" s="2321"/>
      <c r="P20" s="3663"/>
      <c r="Q20" s="1340"/>
      <c r="R20" s="1341"/>
      <c r="S20" s="1342"/>
      <c r="T20" s="1341"/>
      <c r="U20" s="1342"/>
      <c r="V20" s="1341"/>
      <c r="W20" s="1342"/>
      <c r="X20" s="1330"/>
      <c r="Y20" s="3663"/>
      <c r="Z20" s="1343"/>
      <c r="AA20" s="1344">
        <v>1</v>
      </c>
      <c r="AB20" s="1344">
        <v>1</v>
      </c>
      <c r="AC20" s="1344">
        <v>1</v>
      </c>
    </row>
    <row r="21" spans="1:29" ht="40.5">
      <c r="A21" s="149"/>
      <c r="B21" s="1401" t="s">
        <v>2656</v>
      </c>
      <c r="C21" s="156" t="str">
        <f>估价对象房地状况!G6</f>
        <v>估价对象所在区域基础设施水平</v>
      </c>
      <c r="D21" s="786">
        <v>100</v>
      </c>
      <c r="E21" s="105"/>
      <c r="F21" s="794">
        <f>SUMIF(76:76,E22,77:77)-SUMIF(76:76,C22,77:77)+100</f>
        <v>100</v>
      </c>
      <c r="G21" s="106"/>
      <c r="H21" s="786">
        <f>SUMIF(76:76,G22,77:77)-SUMIF(76:76,C22,77:77)+100</f>
        <v>100</v>
      </c>
      <c r="I21" s="105"/>
      <c r="J21" s="786">
        <f>SUMIF(76:76,I22,77:77)-SUMIF(76:76,C22,77:77)+100</f>
        <v>100</v>
      </c>
      <c r="K21" s="949"/>
      <c r="L21" s="2282"/>
      <c r="M21" s="2277"/>
      <c r="N21" s="2277"/>
      <c r="O21" s="2321"/>
      <c r="P21" s="3663"/>
      <c r="Q21" s="2727" t="str">
        <f>B21</f>
        <v>基础设施水平</v>
      </c>
      <c r="R21" s="1341" t="s">
        <v>65</v>
      </c>
      <c r="S21" s="1342">
        <f>F21</f>
        <v>100</v>
      </c>
      <c r="T21" s="1341" t="s">
        <v>65</v>
      </c>
      <c r="U21" s="1342">
        <f>H21</f>
        <v>100</v>
      </c>
      <c r="V21" s="1341" t="s">
        <v>65</v>
      </c>
      <c r="W21" s="1342">
        <f>J21</f>
        <v>100</v>
      </c>
      <c r="X21" s="2729"/>
      <c r="Y21" s="3663"/>
      <c r="Z21" s="2728" t="str">
        <f>Q21</f>
        <v>基础设施水平</v>
      </c>
      <c r="AA21" s="1344">
        <f t="shared" ref="AA21" si="8">D21/F21</f>
        <v>1</v>
      </c>
      <c r="AB21" s="1344">
        <f t="shared" ref="AB21" si="9">D21/H21</f>
        <v>1</v>
      </c>
      <c r="AC21" s="1344">
        <f t="shared" ref="AC21" si="10">D21/J21</f>
        <v>1</v>
      </c>
    </row>
    <row r="22" spans="1:29" ht="14.25">
      <c r="A22" s="149"/>
      <c r="B22" s="1401"/>
      <c r="C22" s="102"/>
      <c r="D22" s="784"/>
      <c r="E22" s="97"/>
      <c r="F22" s="785"/>
      <c r="G22" s="97"/>
      <c r="H22" s="784"/>
      <c r="I22" s="97"/>
      <c r="J22" s="784"/>
      <c r="K22" s="2747"/>
      <c r="L22" s="2282"/>
      <c r="M22" s="2277"/>
      <c r="N22" s="2277"/>
      <c r="O22" s="2321"/>
      <c r="P22" s="3663"/>
      <c r="Q22" s="2727"/>
      <c r="R22" s="1341"/>
      <c r="S22" s="1342"/>
      <c r="T22" s="1341"/>
      <c r="U22" s="1342"/>
      <c r="V22" s="1341"/>
      <c r="W22" s="1342"/>
      <c r="X22" s="2729"/>
      <c r="Y22" s="3663"/>
      <c r="Z22" s="2728"/>
      <c r="AA22" s="1344">
        <v>1</v>
      </c>
      <c r="AB22" s="1344">
        <v>1</v>
      </c>
      <c r="AC22" s="1344">
        <v>1</v>
      </c>
    </row>
    <row r="23" spans="1:29" ht="81">
      <c r="A23" s="149"/>
      <c r="B23" s="1345" t="s">
        <v>143</v>
      </c>
      <c r="C23" s="156" t="str">
        <f>估价对象房地状况!G7</f>
        <v>该园区内是否有污染型企业，绿化情况，卫生条件，整体环境状况判断</v>
      </c>
      <c r="D23" s="786">
        <v>100</v>
      </c>
      <c r="E23" s="100"/>
      <c r="F23" s="789">
        <f>SUMIF(78:78,E24,79:79)-SUMIF(78:78,C24,79:79)+100</f>
        <v>100</v>
      </c>
      <c r="G23" s="101"/>
      <c r="H23" s="786">
        <f>SUMIF(78:78,G24,79:79)-SUMIF(78:78,C24,79:79)+100</f>
        <v>100</v>
      </c>
      <c r="I23" s="100"/>
      <c r="J23" s="786">
        <f>SUMIF(78:78,I24,79:79)-SUMIF(78:78,C24,79:79)+100</f>
        <v>100</v>
      </c>
      <c r="K23" s="949"/>
      <c r="L23" s="2282"/>
      <c r="M23" s="2277"/>
      <c r="N23" s="2277"/>
      <c r="O23" s="2321"/>
      <c r="P23" s="3663"/>
      <c r="Q23" s="1340" t="str">
        <f>B23</f>
        <v>环境质量</v>
      </c>
      <c r="R23" s="1341" t="s">
        <v>65</v>
      </c>
      <c r="S23" s="1342">
        <f>F23</f>
        <v>100</v>
      </c>
      <c r="T23" s="1341" t="s">
        <v>65</v>
      </c>
      <c r="U23" s="1342">
        <f>H23</f>
        <v>100</v>
      </c>
      <c r="V23" s="1341" t="s">
        <v>65</v>
      </c>
      <c r="W23" s="1342">
        <f>J23</f>
        <v>100</v>
      </c>
      <c r="X23" s="1330"/>
      <c r="Y23" s="3663"/>
      <c r="Z23" s="1343" t="str">
        <f>Q23</f>
        <v>环境质量</v>
      </c>
      <c r="AA23" s="1344">
        <f t="shared" si="3"/>
        <v>1</v>
      </c>
      <c r="AB23" s="1344">
        <f t="shared" si="4"/>
        <v>1</v>
      </c>
      <c r="AC23" s="1344">
        <f t="shared" si="5"/>
        <v>1</v>
      </c>
    </row>
    <row r="24" spans="1:29" ht="14.25">
      <c r="A24" s="149"/>
      <c r="B24" s="1401"/>
      <c r="C24" s="97"/>
      <c r="D24" s="784"/>
      <c r="E24" s="98"/>
      <c r="F24" s="785"/>
      <c r="G24" s="99"/>
      <c r="H24" s="784"/>
      <c r="I24" s="98"/>
      <c r="J24" s="784"/>
      <c r="K24" s="187"/>
      <c r="L24" s="2282"/>
      <c r="M24" s="2277"/>
      <c r="N24" s="2277"/>
      <c r="O24" s="2321"/>
      <c r="P24" s="3663"/>
      <c r="Q24" s="1340"/>
      <c r="R24" s="1341"/>
      <c r="S24" s="1342"/>
      <c r="T24" s="1341"/>
      <c r="U24" s="1342"/>
      <c r="V24" s="1341"/>
      <c r="W24" s="1342"/>
      <c r="X24" s="1330"/>
      <c r="Y24" s="3663"/>
      <c r="Z24" s="1343"/>
      <c r="AA24" s="1344">
        <v>1</v>
      </c>
      <c r="AB24" s="1344">
        <v>1</v>
      </c>
      <c r="AC24" s="1344">
        <v>1</v>
      </c>
    </row>
    <row r="25" spans="1:29" ht="14.25">
      <c r="A25" s="144"/>
      <c r="B25" s="1346">
        <v>111</v>
      </c>
      <c r="C25" s="93">
        <v>111</v>
      </c>
      <c r="D25" s="771">
        <v>100</v>
      </c>
      <c r="E25" s="93"/>
      <c r="F25" s="797">
        <f>SUMIF(80:80,E25,81:81)-SUMIF(80:80,C25,81:81)+100</f>
        <v>100</v>
      </c>
      <c r="G25" s="93"/>
      <c r="H25" s="771">
        <f>SUMIF(80:80,G25,81:81)-SUMIF(80:80,C25,81:81)+100</f>
        <v>100</v>
      </c>
      <c r="I25" s="93"/>
      <c r="J25" s="771">
        <f>SUMIF(80:80,I25,81:81)-SUMIF(80:80,C25,81:81)+100</f>
        <v>100</v>
      </c>
      <c r="K25" s="186"/>
      <c r="L25" s="2282"/>
      <c r="M25" s="2277"/>
      <c r="N25" s="2277"/>
      <c r="O25" s="2321"/>
      <c r="P25" s="3663"/>
      <c r="Q25" s="1340">
        <f>B25</f>
        <v>111</v>
      </c>
      <c r="R25" s="1341" t="s">
        <v>65</v>
      </c>
      <c r="S25" s="1342">
        <f>F25</f>
        <v>100</v>
      </c>
      <c r="T25" s="1341" t="s">
        <v>65</v>
      </c>
      <c r="U25" s="1342">
        <f>H25</f>
        <v>100</v>
      </c>
      <c r="V25" s="1341" t="s">
        <v>65</v>
      </c>
      <c r="W25" s="1342">
        <f>J25</f>
        <v>100</v>
      </c>
      <c r="X25" s="1330"/>
      <c r="Y25" s="3663"/>
      <c r="Z25" s="1343">
        <f>Q25</f>
        <v>111</v>
      </c>
      <c r="AA25" s="1344">
        <f t="shared" si="3"/>
        <v>1</v>
      </c>
      <c r="AB25" s="1344">
        <f t="shared" si="4"/>
        <v>1</v>
      </c>
      <c r="AC25" s="1344">
        <f t="shared" si="5"/>
        <v>1</v>
      </c>
    </row>
    <row r="26" spans="1:29" ht="14.25">
      <c r="A26" s="149"/>
      <c r="B26" s="1346">
        <v>111</v>
      </c>
      <c r="C26" s="93">
        <v>111</v>
      </c>
      <c r="D26" s="771">
        <v>100</v>
      </c>
      <c r="E26" s="93"/>
      <c r="F26" s="797">
        <f>SUMIF(82:82,E26,83:83)-SUMIF(82:82,C26,83:83)+100</f>
        <v>100</v>
      </c>
      <c r="G26" s="93"/>
      <c r="H26" s="771">
        <f>SUMIF(82:82,G26,83:83)-SUMIF(82:82,C26,83:83)+100</f>
        <v>100</v>
      </c>
      <c r="I26" s="93"/>
      <c r="J26" s="771">
        <f>SUMIF(82:82,I26,83:83)-SUMIF(82:82,C26,83:83)+100</f>
        <v>100</v>
      </c>
      <c r="K26" s="186"/>
      <c r="L26" s="2282"/>
      <c r="M26" s="2277"/>
      <c r="N26" s="2277"/>
      <c r="O26" s="2321"/>
      <c r="P26" s="3663"/>
      <c r="Q26" s="1340">
        <f t="shared" ref="Q26:Q40" si="11">B26</f>
        <v>111</v>
      </c>
      <c r="R26" s="1341" t="s">
        <v>65</v>
      </c>
      <c r="S26" s="1342">
        <f>F26</f>
        <v>100</v>
      </c>
      <c r="T26" s="1341" t="s">
        <v>65</v>
      </c>
      <c r="U26" s="1342">
        <f>H26</f>
        <v>100</v>
      </c>
      <c r="V26" s="1341" t="s">
        <v>65</v>
      </c>
      <c r="W26" s="1342">
        <f>J26</f>
        <v>100</v>
      </c>
      <c r="X26" s="1330"/>
      <c r="Y26" s="3663"/>
      <c r="Z26" s="1343">
        <f>Q26</f>
        <v>111</v>
      </c>
      <c r="AA26" s="1344">
        <f t="shared" si="3"/>
        <v>1</v>
      </c>
      <c r="AB26" s="1344">
        <f t="shared" si="4"/>
        <v>1</v>
      </c>
      <c r="AC26" s="1344">
        <f t="shared" si="5"/>
        <v>1</v>
      </c>
    </row>
    <row r="27" spans="1:29" s="40" customFormat="1" ht="14.25">
      <c r="A27" s="1020"/>
      <c r="B27" s="1346">
        <v>111</v>
      </c>
      <c r="C27" s="93">
        <v>111</v>
      </c>
      <c r="D27" s="798">
        <v>100</v>
      </c>
      <c r="E27" s="93"/>
      <c r="F27" s="799">
        <f>SUMIF(84:84,E27,85:85)-SUMIF(84:84,C27,85:85)+100</f>
        <v>100</v>
      </c>
      <c r="G27" s="93"/>
      <c r="H27" s="798">
        <f>SUMIF(84:84,G27,85:85)-SUMIF(84:84,C27,85:85)+100</f>
        <v>100</v>
      </c>
      <c r="I27" s="93"/>
      <c r="J27" s="798">
        <f>SUMIF(84:84,I27,85:85)-SUMIF(84:84,C27,85:85)+100</f>
        <v>100</v>
      </c>
      <c r="K27" s="186"/>
      <c r="L27" s="2278"/>
      <c r="M27" s="2240"/>
      <c r="N27" s="2240"/>
      <c r="O27" s="2319"/>
      <c r="P27" s="3663"/>
      <c r="Q27" s="7">
        <f t="shared" si="11"/>
        <v>111</v>
      </c>
      <c r="R27" s="1332" t="s">
        <v>65</v>
      </c>
      <c r="S27" s="1333">
        <f>F27</f>
        <v>100</v>
      </c>
      <c r="T27" s="1332" t="s">
        <v>65</v>
      </c>
      <c r="U27" s="1333">
        <f>H27</f>
        <v>100</v>
      </c>
      <c r="V27" s="1332" t="s">
        <v>65</v>
      </c>
      <c r="W27" s="1333">
        <f>J27</f>
        <v>100</v>
      </c>
      <c r="X27" s="285"/>
      <c r="Y27" s="3663"/>
      <c r="Z27" s="286">
        <f>Q27</f>
        <v>111</v>
      </c>
      <c r="AA27" s="1344">
        <f>D27/F27</f>
        <v>1</v>
      </c>
      <c r="AB27" s="1344">
        <f>D27/H27</f>
        <v>1</v>
      </c>
      <c r="AC27" s="1344">
        <f>D27/J27</f>
        <v>1</v>
      </c>
    </row>
    <row r="28" spans="1:29" ht="15" thickBot="1">
      <c r="A28" s="152"/>
      <c r="B28" s="1346">
        <v>111</v>
      </c>
      <c r="C28" s="94">
        <v>111</v>
      </c>
      <c r="D28" s="774">
        <v>100</v>
      </c>
      <c r="E28" s="93"/>
      <c r="F28" s="775">
        <f>SUMIF(86:86,E28,87:87)-SUMIF(86:86,C28,87:87)+100</f>
        <v>100</v>
      </c>
      <c r="G28" s="1347"/>
      <c r="H28" s="774">
        <f>SUMIF(86:86,G28,87:87)-SUMIF(86:86,C28,87:87)+100</f>
        <v>100</v>
      </c>
      <c r="I28" s="1347"/>
      <c r="J28" s="774">
        <f>SUMIF(86:86,I28,87:87)-SUMIF(86:86,C28,87:87)+100</f>
        <v>100</v>
      </c>
      <c r="K28" s="186"/>
      <c r="L28" s="2282"/>
      <c r="M28" s="2277"/>
      <c r="N28" s="2277"/>
      <c r="O28" s="2321"/>
      <c r="P28" s="3663"/>
      <c r="Q28" s="1340">
        <f t="shared" si="11"/>
        <v>111</v>
      </c>
      <c r="R28" s="1341" t="s">
        <v>65</v>
      </c>
      <c r="S28" s="1342">
        <f t="shared" ref="S28:S40" si="12">F28</f>
        <v>100</v>
      </c>
      <c r="T28" s="1341" t="s">
        <v>65</v>
      </c>
      <c r="U28" s="1342">
        <f t="shared" ref="U28:U40" si="13">H28</f>
        <v>100</v>
      </c>
      <c r="V28" s="1341" t="s">
        <v>65</v>
      </c>
      <c r="W28" s="1342">
        <f t="shared" ref="W28:W40" si="14">J28</f>
        <v>100</v>
      </c>
      <c r="X28" s="1330"/>
      <c r="Y28" s="3663"/>
      <c r="Z28" s="1343">
        <f t="shared" ref="Z28:Z40" si="15">Q28</f>
        <v>111</v>
      </c>
      <c r="AA28" s="1344">
        <f t="shared" si="3"/>
        <v>1</v>
      </c>
      <c r="AB28" s="1344">
        <f t="shared" si="4"/>
        <v>1</v>
      </c>
      <c r="AC28" s="1344">
        <f t="shared" si="5"/>
        <v>1</v>
      </c>
    </row>
    <row r="29" spans="1:29" ht="15">
      <c r="A29" s="158" t="s">
        <v>70</v>
      </c>
      <c r="B29" s="62" t="s">
        <v>146</v>
      </c>
      <c r="C29" s="195"/>
      <c r="D29" s="802">
        <v>100</v>
      </c>
      <c r="E29" s="195"/>
      <c r="F29" s="797">
        <f>SUMIF(88:88,E29,89:89)-SUMIF(88:88,C29,89:89)+100</f>
        <v>100</v>
      </c>
      <c r="G29" s="195"/>
      <c r="H29" s="771">
        <f>SUMIF(88:88,G29,89:89)-SUMIF(88:88,C29,89:89)+100</f>
        <v>100</v>
      </c>
      <c r="I29" s="195"/>
      <c r="J29" s="802">
        <f>SUMIF(88:88,I29,89:89)-SUMIF(88:88,C29,89:89)+100</f>
        <v>100</v>
      </c>
      <c r="K29" s="947"/>
      <c r="L29" s="2282"/>
      <c r="M29" s="2277"/>
      <c r="N29" s="2277"/>
      <c r="O29" s="2321"/>
      <c r="P29" s="3722" t="s">
        <v>1117</v>
      </c>
      <c r="Q29" s="1340" t="str">
        <f t="shared" si="11"/>
        <v>建筑类型</v>
      </c>
      <c r="R29" s="1341" t="s">
        <v>65</v>
      </c>
      <c r="S29" s="1342">
        <f t="shared" si="12"/>
        <v>100</v>
      </c>
      <c r="T29" s="1341" t="s">
        <v>65</v>
      </c>
      <c r="U29" s="1342">
        <f t="shared" si="13"/>
        <v>100</v>
      </c>
      <c r="V29" s="1341" t="s">
        <v>65</v>
      </c>
      <c r="W29" s="1342">
        <f t="shared" si="14"/>
        <v>100</v>
      </c>
      <c r="X29" s="1330"/>
      <c r="Y29" s="3667" t="s">
        <v>1117</v>
      </c>
      <c r="Z29" s="1343" t="str">
        <f t="shared" si="15"/>
        <v>建筑类型</v>
      </c>
      <c r="AA29" s="1344">
        <f t="shared" si="3"/>
        <v>1</v>
      </c>
      <c r="AB29" s="1344">
        <f t="shared" si="4"/>
        <v>1</v>
      </c>
      <c r="AC29" s="1344">
        <f t="shared" si="5"/>
        <v>1</v>
      </c>
    </row>
    <row r="30" spans="1:29" s="1029" customFormat="1" ht="14.25">
      <c r="A30" s="1033"/>
      <c r="B30" s="12" t="s">
        <v>76</v>
      </c>
      <c r="C30" s="804"/>
      <c r="D30" s="422">
        <v>100</v>
      </c>
      <c r="E30" s="766"/>
      <c r="F30" s="761" t="e">
        <f>LOOKUP(E30,91:91,92:92)-LOOKUP(C30,91:91,92:92)+100</f>
        <v>#N/A</v>
      </c>
      <c r="G30" s="765"/>
      <c r="H30" s="422" t="e">
        <f>LOOKUP(G30,91:91,92:92)-LOOKUP(C30,91:91,92:92)+100</f>
        <v>#N/A</v>
      </c>
      <c r="I30" s="765"/>
      <c r="J30" s="422" t="e">
        <f>LOOKUP(I30,91:91,92:92)-LOOKUP(C30,91:91,92:92)+100</f>
        <v>#N/A</v>
      </c>
      <c r="K30" s="186"/>
      <c r="L30" s="2281"/>
      <c r="M30" s="2283"/>
      <c r="N30" s="2283"/>
      <c r="O30" s="2322"/>
      <c r="P30" s="3667"/>
      <c r="Q30" s="1348" t="str">
        <f t="shared" si="11"/>
        <v>项目建筑规模</v>
      </c>
      <c r="R30" s="1349" t="s">
        <v>65</v>
      </c>
      <c r="S30" s="1350" t="e">
        <f t="shared" si="12"/>
        <v>#N/A</v>
      </c>
      <c r="T30" s="1349" t="s">
        <v>65</v>
      </c>
      <c r="U30" s="1350" t="e">
        <f t="shared" si="13"/>
        <v>#N/A</v>
      </c>
      <c r="V30" s="1349" t="s">
        <v>65</v>
      </c>
      <c r="W30" s="1350" t="e">
        <f t="shared" si="14"/>
        <v>#N/A</v>
      </c>
      <c r="X30" s="1351"/>
      <c r="Y30" s="3667"/>
      <c r="Z30" s="1352" t="str">
        <f t="shared" si="15"/>
        <v>项目建筑规模</v>
      </c>
      <c r="AA30" s="1344" t="e">
        <f t="shared" si="3"/>
        <v>#N/A</v>
      </c>
      <c r="AB30" s="1344" t="e">
        <f t="shared" si="4"/>
        <v>#N/A</v>
      </c>
      <c r="AC30" s="1344" t="e">
        <f t="shared" si="5"/>
        <v>#N/A</v>
      </c>
    </row>
    <row r="31" spans="1:29" ht="15">
      <c r="A31" s="159"/>
      <c r="B31" s="12" t="s">
        <v>77</v>
      </c>
      <c r="C31" s="107"/>
      <c r="D31" s="771">
        <v>100</v>
      </c>
      <c r="E31" s="107"/>
      <c r="F31" s="797">
        <f>SUMIF(93:93,E31,94:94)-SUMIF(93:93,C31,94:94)+100</f>
        <v>100</v>
      </c>
      <c r="G31" s="107"/>
      <c r="H31" s="771">
        <f>SUMIF(93:93,G31,94:94)-SUMIF(93:93,C31,94:94)+100</f>
        <v>100</v>
      </c>
      <c r="I31" s="107"/>
      <c r="J31" s="771">
        <f>SUMIF(93:93,I31,94:94)-SUMIF(93:93,C31,94:94)+100</f>
        <v>100</v>
      </c>
      <c r="K31" s="947"/>
      <c r="L31" s="2282"/>
      <c r="M31" s="2277"/>
      <c r="N31" s="2277"/>
      <c r="O31" s="2321"/>
      <c r="P31" s="3667"/>
      <c r="Q31" s="1340" t="str">
        <f t="shared" si="11"/>
        <v>建筑结构</v>
      </c>
      <c r="R31" s="1341" t="s">
        <v>65</v>
      </c>
      <c r="S31" s="1342">
        <f t="shared" si="12"/>
        <v>100</v>
      </c>
      <c r="T31" s="1341" t="s">
        <v>65</v>
      </c>
      <c r="U31" s="1342">
        <f t="shared" si="13"/>
        <v>100</v>
      </c>
      <c r="V31" s="1341" t="s">
        <v>65</v>
      </c>
      <c r="W31" s="1342">
        <f t="shared" si="14"/>
        <v>100</v>
      </c>
      <c r="X31" s="1330"/>
      <c r="Y31" s="3667"/>
      <c r="Z31" s="1343" t="str">
        <f t="shared" si="15"/>
        <v>建筑结构</v>
      </c>
      <c r="AA31" s="1344">
        <f t="shared" si="3"/>
        <v>1</v>
      </c>
      <c r="AB31" s="1344">
        <f t="shared" si="4"/>
        <v>1</v>
      </c>
      <c r="AC31" s="1344">
        <f t="shared" si="5"/>
        <v>1</v>
      </c>
    </row>
    <row r="32" spans="1:29" ht="15">
      <c r="A32" s="159"/>
      <c r="B32" s="12" t="s">
        <v>1019</v>
      </c>
      <c r="C32" s="107"/>
      <c r="D32" s="771">
        <v>100</v>
      </c>
      <c r="E32" s="107"/>
      <c r="F32" s="797">
        <f>SUMIF(95:95,E32,96:96)-SUMIF(95:95,C32,96:96)+100</f>
        <v>100</v>
      </c>
      <c r="G32" s="107"/>
      <c r="H32" s="771">
        <f>SUMIF(95:95,G32,96:96)-SUMIF(95:95,C32,96:96)+100</f>
        <v>100</v>
      </c>
      <c r="I32" s="107"/>
      <c r="J32" s="771">
        <f>SUMIF(95:95,I32,96:96)-SUMIF(95:95,C32,96:96)+100</f>
        <v>100</v>
      </c>
      <c r="K32" s="947"/>
      <c r="L32" s="2282"/>
      <c r="M32" s="2277"/>
      <c r="N32" s="2277"/>
      <c r="O32" s="2321"/>
      <c r="P32" s="3667"/>
      <c r="Q32" s="1340" t="str">
        <f t="shared" si="11"/>
        <v>公共部分装修</v>
      </c>
      <c r="R32" s="1341" t="s">
        <v>65</v>
      </c>
      <c r="S32" s="1342">
        <f t="shared" si="12"/>
        <v>100</v>
      </c>
      <c r="T32" s="1341" t="s">
        <v>65</v>
      </c>
      <c r="U32" s="1342">
        <f t="shared" si="13"/>
        <v>100</v>
      </c>
      <c r="V32" s="1341" t="s">
        <v>65</v>
      </c>
      <c r="W32" s="1342">
        <f t="shared" si="14"/>
        <v>100</v>
      </c>
      <c r="X32" s="1330"/>
      <c r="Y32" s="3667"/>
      <c r="Z32" s="1343" t="str">
        <f t="shared" si="15"/>
        <v>公共部分装修</v>
      </c>
      <c r="AA32" s="1344">
        <f t="shared" si="3"/>
        <v>1</v>
      </c>
      <c r="AB32" s="1344">
        <f t="shared" si="4"/>
        <v>1</v>
      </c>
      <c r="AC32" s="1344">
        <f t="shared" si="5"/>
        <v>1</v>
      </c>
    </row>
    <row r="33" spans="1:29" ht="15">
      <c r="A33" s="159"/>
      <c r="B33" s="12" t="s">
        <v>1020</v>
      </c>
      <c r="C33" s="804"/>
      <c r="D33" s="771">
        <v>100</v>
      </c>
      <c r="E33" s="809"/>
      <c r="F33" s="797" t="e">
        <f>LOOKUP(E33,98:98,99:99)-LOOKUP(C33,98:98,99:99)+100</f>
        <v>#N/A</v>
      </c>
      <c r="G33" s="809"/>
      <c r="H33" s="797" t="e">
        <f>LOOKUP(G33,98:98,99:99)-LOOKUP(C33,98:98,99:99)+100</f>
        <v>#N/A</v>
      </c>
      <c r="I33" s="809"/>
      <c r="J33" s="771" t="e">
        <f>LOOKUP(I33,98:98,99:99)-LOOKUP(C33,98:98,99:99)+100</f>
        <v>#N/A</v>
      </c>
      <c r="K33" s="947"/>
      <c r="L33" s="2282"/>
      <c r="M33" s="2277"/>
      <c r="N33" s="2277"/>
      <c r="O33" s="2321"/>
      <c r="P33" s="3667"/>
      <c r="Q33" s="1340" t="str">
        <f t="shared" si="11"/>
        <v>成新度</v>
      </c>
      <c r="R33" s="1341" t="s">
        <v>65</v>
      </c>
      <c r="S33" s="1342" t="e">
        <f t="shared" si="12"/>
        <v>#N/A</v>
      </c>
      <c r="T33" s="1341" t="s">
        <v>65</v>
      </c>
      <c r="U33" s="1342" t="e">
        <f t="shared" si="13"/>
        <v>#N/A</v>
      </c>
      <c r="V33" s="1341" t="s">
        <v>65</v>
      </c>
      <c r="W33" s="1342" t="e">
        <f t="shared" si="14"/>
        <v>#N/A</v>
      </c>
      <c r="X33" s="1330"/>
      <c r="Y33" s="3667"/>
      <c r="Z33" s="1343" t="str">
        <f t="shared" si="15"/>
        <v>成新度</v>
      </c>
      <c r="AA33" s="1344" t="e">
        <f t="shared" si="3"/>
        <v>#N/A</v>
      </c>
      <c r="AB33" s="1344" t="e">
        <f t="shared" si="4"/>
        <v>#N/A</v>
      </c>
      <c r="AC33" s="1344" t="e">
        <f t="shared" si="5"/>
        <v>#N/A</v>
      </c>
    </row>
    <row r="34" spans="1:29" s="40" customFormat="1" ht="15">
      <c r="A34" s="1031"/>
      <c r="B34" s="12" t="s">
        <v>1118</v>
      </c>
      <c r="C34" s="107"/>
      <c r="D34" s="422">
        <v>100</v>
      </c>
      <c r="E34" s="107"/>
      <c r="F34" s="797">
        <f>SUMIF(100:100,E34,101:101)-SUMIF(100:100,C34,101:101)+100</f>
        <v>100</v>
      </c>
      <c r="G34" s="107"/>
      <c r="H34" s="771">
        <f>SUMIF(100:100,G34,101:101)-SUMIF(100:100,C34,101:101)+100</f>
        <v>100</v>
      </c>
      <c r="I34" s="107"/>
      <c r="J34" s="771">
        <f>SUMIF(100:100,I34,101:101)-SUMIF(100:100,C34,101:101)+100</f>
        <v>100</v>
      </c>
      <c r="K34" s="947"/>
      <c r="L34" s="2278"/>
      <c r="M34" s="2240"/>
      <c r="N34" s="2240"/>
      <c r="O34" s="2319"/>
      <c r="P34" s="3667"/>
      <c r="Q34" s="7" t="str">
        <f t="shared" si="11"/>
        <v>物业管理</v>
      </c>
      <c r="R34" s="1332" t="s">
        <v>65</v>
      </c>
      <c r="S34" s="1333">
        <f t="shared" si="12"/>
        <v>100</v>
      </c>
      <c r="T34" s="1332" t="s">
        <v>65</v>
      </c>
      <c r="U34" s="1333">
        <f t="shared" si="13"/>
        <v>100</v>
      </c>
      <c r="V34" s="1332" t="s">
        <v>65</v>
      </c>
      <c r="W34" s="1333">
        <f t="shared" si="14"/>
        <v>100</v>
      </c>
      <c r="X34" s="285"/>
      <c r="Y34" s="3667"/>
      <c r="Z34" s="286" t="str">
        <f t="shared" si="15"/>
        <v>物业管理</v>
      </c>
      <c r="AA34" s="1334">
        <f t="shared" si="3"/>
        <v>1</v>
      </c>
      <c r="AB34" s="1334">
        <f t="shared" si="4"/>
        <v>1</v>
      </c>
      <c r="AC34" s="1334">
        <f t="shared" si="5"/>
        <v>1</v>
      </c>
    </row>
    <row r="35" spans="1:29" ht="15">
      <c r="A35" s="159"/>
      <c r="B35" s="12" t="s">
        <v>2646</v>
      </c>
      <c r="C35" s="107"/>
      <c r="D35" s="771">
        <v>100</v>
      </c>
      <c r="E35" s="107"/>
      <c r="F35" s="797">
        <f>SUMIF(102:102,E35,103:103)-SUMIF(102:102,C35,103:103)+100</f>
        <v>100</v>
      </c>
      <c r="G35" s="107"/>
      <c r="H35" s="771">
        <f>SUMIF(102:102,G35,103:103)-SUMIF(102:102,C35,103:103)+100</f>
        <v>100</v>
      </c>
      <c r="I35" s="107"/>
      <c r="J35" s="771">
        <f>SUMIF(102:102,I35,103:103)-SUMIF(102:102,C35,103:103)+100</f>
        <v>100</v>
      </c>
      <c r="K35" s="947"/>
      <c r="L35" s="2282"/>
      <c r="M35" s="2277"/>
      <c r="N35" s="2277"/>
      <c r="O35" s="2321"/>
      <c r="P35" s="3667" t="s">
        <v>70</v>
      </c>
      <c r="Q35" s="1340" t="str">
        <f t="shared" si="11"/>
        <v>市政基础设施</v>
      </c>
      <c r="R35" s="1341" t="s">
        <v>65</v>
      </c>
      <c r="S35" s="1342">
        <f t="shared" si="12"/>
        <v>100</v>
      </c>
      <c r="T35" s="1341" t="s">
        <v>65</v>
      </c>
      <c r="U35" s="1342">
        <f t="shared" si="13"/>
        <v>100</v>
      </c>
      <c r="V35" s="1341" t="s">
        <v>65</v>
      </c>
      <c r="W35" s="1342">
        <f t="shared" si="14"/>
        <v>100</v>
      </c>
      <c r="X35" s="1330"/>
      <c r="Y35" s="3667" t="s">
        <v>70</v>
      </c>
      <c r="Z35" s="1343" t="str">
        <f t="shared" si="15"/>
        <v>市政基础设施</v>
      </c>
      <c r="AA35" s="1344">
        <f t="shared" si="3"/>
        <v>1</v>
      </c>
      <c r="AB35" s="1344">
        <f t="shared" si="4"/>
        <v>1</v>
      </c>
      <c r="AC35" s="1344">
        <f t="shared" si="5"/>
        <v>1</v>
      </c>
    </row>
    <row r="36" spans="1:29" ht="15">
      <c r="A36" s="159"/>
      <c r="B36" s="12" t="s">
        <v>137</v>
      </c>
      <c r="C36" s="107"/>
      <c r="D36" s="771">
        <v>100</v>
      </c>
      <c r="E36" s="107"/>
      <c r="F36" s="797">
        <f>SUMIF(104:104,E36,105:105)-SUMIF(104:104,C36,105:105)+100</f>
        <v>100</v>
      </c>
      <c r="G36" s="107"/>
      <c r="H36" s="771">
        <f>SUMIF(104:104,G36,105:105)-SUMIF(104:104,C36,105:105)+100</f>
        <v>100</v>
      </c>
      <c r="I36" s="107"/>
      <c r="J36" s="771">
        <f>SUMIF(104:104,I36,105:105)-SUMIF(104:104,C36,105:105)+100</f>
        <v>100</v>
      </c>
      <c r="K36" s="947"/>
      <c r="L36" s="2282"/>
      <c r="M36" s="2277"/>
      <c r="N36" s="2277"/>
      <c r="O36" s="2321"/>
      <c r="P36" s="3667"/>
      <c r="Q36" s="1340" t="str">
        <f t="shared" si="11"/>
        <v>内部装修</v>
      </c>
      <c r="R36" s="1341" t="s">
        <v>65</v>
      </c>
      <c r="S36" s="1342">
        <f t="shared" si="12"/>
        <v>100</v>
      </c>
      <c r="T36" s="1341" t="s">
        <v>65</v>
      </c>
      <c r="U36" s="1342">
        <f t="shared" si="13"/>
        <v>100</v>
      </c>
      <c r="V36" s="1341" t="s">
        <v>65</v>
      </c>
      <c r="W36" s="1342">
        <f t="shared" si="14"/>
        <v>100</v>
      </c>
      <c r="X36" s="1330"/>
      <c r="Y36" s="3667"/>
      <c r="Z36" s="1343" t="str">
        <f t="shared" si="15"/>
        <v>内部装修</v>
      </c>
      <c r="AA36" s="1344">
        <f t="shared" si="3"/>
        <v>1</v>
      </c>
      <c r="AB36" s="1344">
        <f t="shared" si="4"/>
        <v>1</v>
      </c>
      <c r="AC36" s="1344">
        <f t="shared" si="5"/>
        <v>1</v>
      </c>
    </row>
    <row r="37" spans="1:29" ht="15">
      <c r="A37" s="159"/>
      <c r="B37" s="12" t="s">
        <v>1119</v>
      </c>
      <c r="C37" s="180"/>
      <c r="D37" s="771">
        <v>100</v>
      </c>
      <c r="E37" s="180"/>
      <c r="F37" s="797">
        <f>SUMIF(106:106,E37,107:107)-SUMIF(106:106,C37,107:107)+100</f>
        <v>100</v>
      </c>
      <c r="G37" s="180"/>
      <c r="H37" s="771">
        <f>SUMIF(106:106,G37,107:107)-SUMIF(106:106,C37,107:107)+100</f>
        <v>100</v>
      </c>
      <c r="I37" s="180"/>
      <c r="J37" s="771">
        <f>SUMIF(106:106,I37,107:107)-SUMIF(106:106,C37,107:107)+100</f>
        <v>100</v>
      </c>
      <c r="K37" s="947"/>
      <c r="L37" s="2282"/>
      <c r="M37" s="2277"/>
      <c r="N37" s="2277"/>
      <c r="O37" s="2321"/>
      <c r="P37" s="3667"/>
      <c r="Q37" s="1340" t="str">
        <f t="shared" si="11"/>
        <v>内部装修状况</v>
      </c>
      <c r="R37" s="1341" t="s">
        <v>65</v>
      </c>
      <c r="S37" s="1342">
        <f t="shared" si="12"/>
        <v>100</v>
      </c>
      <c r="T37" s="1341" t="s">
        <v>65</v>
      </c>
      <c r="U37" s="1342">
        <f t="shared" si="13"/>
        <v>100</v>
      </c>
      <c r="V37" s="1341" t="s">
        <v>65</v>
      </c>
      <c r="W37" s="1342">
        <f t="shared" si="14"/>
        <v>100</v>
      </c>
      <c r="X37" s="1330"/>
      <c r="Y37" s="3667"/>
      <c r="Z37" s="1343" t="str">
        <f t="shared" si="15"/>
        <v>内部装修状况</v>
      </c>
      <c r="AA37" s="1344">
        <f t="shared" si="3"/>
        <v>1</v>
      </c>
      <c r="AB37" s="1344">
        <f t="shared" si="4"/>
        <v>1</v>
      </c>
      <c r="AC37" s="1344">
        <f t="shared" si="5"/>
        <v>1</v>
      </c>
    </row>
    <row r="38" spans="1:29" s="1029" customFormat="1" ht="14.25">
      <c r="A38" s="1033"/>
      <c r="B38" s="1346">
        <v>111</v>
      </c>
      <c r="C38" s="1347"/>
      <c r="D38" s="771">
        <v>100</v>
      </c>
      <c r="E38" s="93"/>
      <c r="F38" s="797">
        <f>SUMIF(108:108,E38,109:109)-SUMIF(108:108,C38,109:109)+100</f>
        <v>100</v>
      </c>
      <c r="G38" s="1347"/>
      <c r="H38" s="771">
        <f>SUMIF(108:108,G38,109:109)-SUMIF(108:108,C38,109:109)+100</f>
        <v>100</v>
      </c>
      <c r="I38" s="1347"/>
      <c r="J38" s="771">
        <f>SUMIF(108:108,I38,109:1038)-SUMIF(108:108,C38,109:109)+100</f>
        <v>100</v>
      </c>
      <c r="K38" s="186"/>
      <c r="L38" s="2281"/>
      <c r="M38" s="2283"/>
      <c r="N38" s="2283"/>
      <c r="O38" s="2322"/>
      <c r="P38" s="3667"/>
      <c r="Q38" s="1348">
        <f t="shared" si="11"/>
        <v>111</v>
      </c>
      <c r="R38" s="1349" t="s">
        <v>65</v>
      </c>
      <c r="S38" s="1350">
        <f t="shared" si="12"/>
        <v>100</v>
      </c>
      <c r="T38" s="1349" t="s">
        <v>65</v>
      </c>
      <c r="U38" s="1350">
        <f t="shared" si="13"/>
        <v>100</v>
      </c>
      <c r="V38" s="1349" t="s">
        <v>65</v>
      </c>
      <c r="W38" s="1350">
        <f t="shared" si="14"/>
        <v>100</v>
      </c>
      <c r="X38" s="1351"/>
      <c r="Y38" s="3667"/>
      <c r="Z38" s="1352">
        <f t="shared" si="15"/>
        <v>111</v>
      </c>
      <c r="AA38" s="1344">
        <f t="shared" si="3"/>
        <v>1</v>
      </c>
      <c r="AB38" s="1344">
        <f t="shared" si="4"/>
        <v>1</v>
      </c>
      <c r="AC38" s="1344">
        <f t="shared" si="5"/>
        <v>1</v>
      </c>
    </row>
    <row r="39" spans="1:29" ht="14.25">
      <c r="A39" s="159"/>
      <c r="B39" s="1346">
        <v>111</v>
      </c>
      <c r="C39" s="1347"/>
      <c r="D39" s="771">
        <v>100</v>
      </c>
      <c r="E39" s="93"/>
      <c r="F39" s="797">
        <f>SUMIF(110:110,E39,111:111)-SUMIF(110:110,C39,111:111)+100</f>
        <v>100</v>
      </c>
      <c r="G39" s="1347"/>
      <c r="H39" s="771">
        <f>SUMIF(110:110,G39,111:111)-SUMIF(110:110,C39,111:111)+100</f>
        <v>100</v>
      </c>
      <c r="I39" s="1347"/>
      <c r="J39" s="771">
        <f>SUMIF(110:110,I39,111:111)-SUMIF(110:110,C39,111:111)+100</f>
        <v>100</v>
      </c>
      <c r="K39" s="186"/>
      <c r="L39" s="2282"/>
      <c r="M39" s="2277"/>
      <c r="N39" s="2277"/>
      <c r="O39" s="2321"/>
      <c r="P39" s="3667"/>
      <c r="Q39" s="1340">
        <f t="shared" si="11"/>
        <v>111</v>
      </c>
      <c r="R39" s="1341" t="s">
        <v>65</v>
      </c>
      <c r="S39" s="1342">
        <f t="shared" si="12"/>
        <v>100</v>
      </c>
      <c r="T39" s="1341" t="s">
        <v>65</v>
      </c>
      <c r="U39" s="1342">
        <f t="shared" si="13"/>
        <v>100</v>
      </c>
      <c r="V39" s="1341" t="s">
        <v>65</v>
      </c>
      <c r="W39" s="1342">
        <f t="shared" si="14"/>
        <v>100</v>
      </c>
      <c r="X39" s="1330"/>
      <c r="Y39" s="3667"/>
      <c r="Z39" s="1343">
        <f t="shared" si="15"/>
        <v>111</v>
      </c>
      <c r="AA39" s="1344">
        <f t="shared" si="3"/>
        <v>1</v>
      </c>
      <c r="AB39" s="1344">
        <f t="shared" si="4"/>
        <v>1</v>
      </c>
      <c r="AC39" s="1344">
        <f t="shared" si="5"/>
        <v>1</v>
      </c>
    </row>
    <row r="40" spans="1:29" ht="15" thickBot="1">
      <c r="A40" s="160"/>
      <c r="B40" s="1022">
        <v>111</v>
      </c>
      <c r="C40" s="94"/>
      <c r="D40" s="774">
        <v>100</v>
      </c>
      <c r="E40" s="93"/>
      <c r="F40" s="775">
        <f>SUMIF(112:112,E40,113:113)-SUMIF(112:112,C40,113:113)+100</f>
        <v>100</v>
      </c>
      <c r="G40" s="1347"/>
      <c r="H40" s="774">
        <f>SUMIF(112:112,G40,113:113)-SUMIF(112:112,C40,113:113)+100</f>
        <v>100</v>
      </c>
      <c r="I40" s="1347"/>
      <c r="J40" s="774">
        <f>SUMIF(112:112,I40,113:113)-SUMIF(112:112,C40,113:113)+100</f>
        <v>100</v>
      </c>
      <c r="K40" s="186"/>
      <c r="L40" s="2282"/>
      <c r="M40" s="2277"/>
      <c r="N40" s="2277"/>
      <c r="O40" s="2321"/>
      <c r="P40" s="3668"/>
      <c r="Q40" s="1340">
        <f t="shared" si="11"/>
        <v>111</v>
      </c>
      <c r="R40" s="1341" t="s">
        <v>65</v>
      </c>
      <c r="S40" s="1342">
        <f t="shared" si="12"/>
        <v>100</v>
      </c>
      <c r="T40" s="1341" t="s">
        <v>65</v>
      </c>
      <c r="U40" s="1342">
        <f t="shared" si="13"/>
        <v>100</v>
      </c>
      <c r="V40" s="1341" t="s">
        <v>65</v>
      </c>
      <c r="W40" s="1342">
        <f t="shared" si="14"/>
        <v>100</v>
      </c>
      <c r="X40" s="1330"/>
      <c r="Y40" s="3668"/>
      <c r="Z40" s="1343">
        <f t="shared" si="15"/>
        <v>111</v>
      </c>
      <c r="AA40" s="1344">
        <f t="shared" si="3"/>
        <v>1</v>
      </c>
      <c r="AB40" s="1344">
        <f t="shared" si="4"/>
        <v>1</v>
      </c>
      <c r="AC40" s="1344">
        <f t="shared" si="5"/>
        <v>1</v>
      </c>
    </row>
    <row r="41" spans="1:29" ht="15">
      <c r="A41" s="161" t="s">
        <v>102</v>
      </c>
      <c r="B41" s="162"/>
      <c r="C41" s="2814" t="s">
        <v>23</v>
      </c>
      <c r="D41" s="2815"/>
      <c r="E41" s="2816"/>
      <c r="F41" s="2817"/>
      <c r="G41" s="2818"/>
      <c r="H41" s="2819"/>
      <c r="I41" s="2816"/>
      <c r="J41" s="2819"/>
      <c r="K41" s="1382"/>
      <c r="L41" s="2284"/>
      <c r="M41" s="2285"/>
      <c r="N41" s="2277"/>
      <c r="O41" s="2285"/>
      <c r="P41" s="3660" t="str">
        <f>A41</f>
        <v>成交单价（元/平方米）</v>
      </c>
      <c r="Q41" s="3660"/>
      <c r="R41" s="3661">
        <f>E41</f>
        <v>0</v>
      </c>
      <c r="S41" s="3661"/>
      <c r="T41" s="3661">
        <f>G41</f>
        <v>0</v>
      </c>
      <c r="U41" s="3661"/>
      <c r="V41" s="3661">
        <f>I41</f>
        <v>0</v>
      </c>
      <c r="W41" s="3661"/>
      <c r="X41" s="1354"/>
      <c r="Y41" s="1355"/>
      <c r="Z41" s="1354"/>
      <c r="AA41" s="1354"/>
      <c r="AB41" s="1354"/>
      <c r="AC41" s="1354"/>
    </row>
    <row r="42" spans="1:29" ht="15.75" thickBot="1">
      <c r="A42" s="163" t="s">
        <v>100</v>
      </c>
      <c r="B42" s="164"/>
      <c r="C42" s="2820" t="e">
        <f>R43</f>
        <v>#DIV/0!</v>
      </c>
      <c r="D42" s="2821"/>
      <c r="E42" s="2822" t="e">
        <f>R42</f>
        <v>#DIV/0!</v>
      </c>
      <c r="F42" s="2822"/>
      <c r="G42" s="2820" t="e">
        <f>T42</f>
        <v>#DIV/0!</v>
      </c>
      <c r="H42" s="2821"/>
      <c r="I42" s="2822" t="e">
        <f>V42</f>
        <v>#DIV/0!</v>
      </c>
      <c r="J42" s="2821"/>
      <c r="K42" s="1383"/>
      <c r="L42" s="2284"/>
      <c r="M42" s="2285"/>
      <c r="N42" s="2277"/>
      <c r="O42" s="2285"/>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354"/>
      <c r="Y42" s="1354"/>
      <c r="Z42" s="1354"/>
      <c r="AA42" s="1354"/>
      <c r="AB42" s="1354"/>
      <c r="AC42" s="1354"/>
    </row>
    <row r="43" spans="1:29" ht="15.75" thickBot="1">
      <c r="A43" s="113" t="s">
        <v>3009</v>
      </c>
      <c r="B43" s="114"/>
      <c r="C43" s="2824" t="e">
        <f>R43</f>
        <v>#DIV/0!</v>
      </c>
      <c r="D43" s="2824"/>
      <c r="E43" s="2824"/>
      <c r="F43" s="2824"/>
      <c r="G43" s="2824"/>
      <c r="H43" s="2824"/>
      <c r="I43" s="2824"/>
      <c r="J43" s="2824"/>
      <c r="K43" s="1384"/>
      <c r="L43" s="2284"/>
      <c r="M43" s="2285"/>
      <c r="N43" s="2285"/>
      <c r="O43" s="2285"/>
      <c r="P43" s="3657" t="str">
        <f>A43</f>
        <v>估价对象XX用房的比较价值（楼面单价，元/平方米）</v>
      </c>
      <c r="Q43" s="3658"/>
      <c r="R43" s="3659" t="e">
        <f>IF(F1="售价",ROUND(AVERAGE(R42:V42),0),ROUND(AVERAGE(R42:V42),1))</f>
        <v>#DIV/0!</v>
      </c>
      <c r="S43" s="3659"/>
      <c r="T43" s="3659"/>
      <c r="U43" s="3659"/>
      <c r="V43" s="3659"/>
      <c r="W43" s="3659"/>
      <c r="X43" s="1354"/>
      <c r="Y43" s="1354"/>
      <c r="Z43" s="1354"/>
      <c r="AA43" s="1354"/>
      <c r="AB43" s="1354"/>
      <c r="AC43" s="1354"/>
    </row>
    <row r="44" spans="1:29">
      <c r="A44" s="2285"/>
      <c r="B44" s="2285"/>
      <c r="C44" s="2285"/>
      <c r="D44" s="2285"/>
      <c r="E44" s="2285"/>
      <c r="F44" s="2285"/>
      <c r="G44" s="2294"/>
      <c r="H44" s="2285"/>
      <c r="I44" s="2285"/>
      <c r="J44" s="2285"/>
      <c r="K44" s="2286"/>
      <c r="L44" s="2287"/>
      <c r="M44" s="2285"/>
      <c r="N44" s="2285"/>
      <c r="O44" s="2285"/>
    </row>
    <row r="45" spans="1:29">
      <c r="A45" s="2285"/>
      <c r="B45" s="2285"/>
      <c r="C45" s="2285"/>
      <c r="D45" s="2285"/>
      <c r="E45" s="2285"/>
      <c r="F45" s="2285"/>
      <c r="G45" s="2285"/>
      <c r="H45" s="2285"/>
      <c r="I45" s="2285"/>
      <c r="J45" s="2285"/>
      <c r="K45" s="2286"/>
      <c r="L45" s="2287"/>
      <c r="M45" s="2285"/>
      <c r="N45" s="2285"/>
      <c r="O45" s="2285"/>
    </row>
    <row r="46" spans="1:29" ht="13.5" customHeight="1">
      <c r="A46" s="2285"/>
      <c r="B46" s="2285"/>
      <c r="C46" s="165" t="s">
        <v>993</v>
      </c>
      <c r="D46" s="166"/>
      <c r="E46" s="167" t="e">
        <f>IF(E41&lt;E42,E42/E41-1,E41/E42-1)</f>
        <v>#DIV/0!</v>
      </c>
      <c r="F46" s="168" t="e">
        <f>IF(OR(E46&gt;=0.3,E46&lt;=-0.3),"超过30%","")</f>
        <v>#DIV/0!</v>
      </c>
      <c r="G46" s="167" t="e">
        <f>IF(G41&lt;G42,G42/G41-1,G41/G42-1)</f>
        <v>#DIV/0!</v>
      </c>
      <c r="H46" s="168" t="e">
        <f>IF(OR(G46&gt;=0.3,G46&lt;=-0.3),"超过30%","")</f>
        <v>#DIV/0!</v>
      </c>
      <c r="I46" s="167" t="e">
        <f>IF(I41&lt;I42,I42/I41-1,I41/I42-1)</f>
        <v>#DIV/0!</v>
      </c>
      <c r="J46" s="168" t="e">
        <f>IF(OR(I46&gt;=0.3,I46&lt;=-0.3),"超过30%","")</f>
        <v>#DIV/0!</v>
      </c>
      <c r="K46" s="2286"/>
      <c r="L46" s="2287"/>
      <c r="M46" s="2285"/>
      <c r="N46" s="2285"/>
      <c r="O46" s="2285"/>
    </row>
    <row r="47" spans="1:29" ht="13.5" customHeight="1">
      <c r="A47" s="2285"/>
      <c r="B47" s="2285"/>
      <c r="C47" s="165" t="s">
        <v>994</v>
      </c>
      <c r="D47" s="169"/>
      <c r="E47" s="167" t="e">
        <f>IF(E42&lt;G42,G42/E42-1,E42/G42-1)</f>
        <v>#DIV/0!</v>
      </c>
      <c r="F47" s="168" t="e">
        <f>IF(OR(E47&gt;=0.2,E47&lt;=-0.2),"超过20%","")</f>
        <v>#DIV/0!</v>
      </c>
      <c r="G47" s="167" t="e">
        <f>IF(G42&lt;I42,I42/G42-1,G42/I42-1)</f>
        <v>#DIV/0!</v>
      </c>
      <c r="H47" s="168" t="e">
        <f>IF(OR(G47&gt;=0.2,G47&lt;=-0.2),"超过20%","")</f>
        <v>#DIV/0!</v>
      </c>
      <c r="I47" s="167" t="e">
        <f>IF(I42&lt;E42,E42/I42-1,I42/E42-1)</f>
        <v>#DIV/0!</v>
      </c>
      <c r="J47" s="168" t="e">
        <f>IF(OR(I47&gt;=0.2,I47&lt;=-0.2),"超过20%","")</f>
        <v>#DIV/0!</v>
      </c>
      <c r="K47" s="2286"/>
      <c r="L47" s="2287"/>
      <c r="M47" s="2285"/>
      <c r="N47" s="2285"/>
      <c r="O47" s="2285"/>
    </row>
    <row r="48" spans="1:29" s="117" customFormat="1" ht="13.5" customHeight="1">
      <c r="A48" s="2290"/>
      <c r="B48" s="2290"/>
      <c r="C48" s="165" t="s">
        <v>995</v>
      </c>
      <c r="D48" s="169"/>
      <c r="E48" s="167" t="e">
        <f>IF(E41&lt;G41,G41/E41-1,E41/G41-1)</f>
        <v>#DIV/0!</v>
      </c>
      <c r="F48" s="168" t="e">
        <f>IF(OR(E48&gt;=0.3,E48&lt;=-0.3),"超过30%","")</f>
        <v>#DIV/0!</v>
      </c>
      <c r="G48" s="167" t="e">
        <f>IF(G41&lt;I41,I41/G41-1,G41/I41-1)</f>
        <v>#DIV/0!</v>
      </c>
      <c r="H48" s="168" t="e">
        <f>IF(OR(G48&gt;=0.3,G48&lt;=-0.3),"超过30%","")</f>
        <v>#DIV/0!</v>
      </c>
      <c r="I48" s="167" t="e">
        <f>IF(I41&lt;E41,E41/I41-1,I41/E41-1)</f>
        <v>#DIV/0!</v>
      </c>
      <c r="J48" s="168" t="e">
        <f>IF(OR(I48&gt;=0.3,I48&lt;=-0.3),"超过30%","")</f>
        <v>#DIV/0!</v>
      </c>
      <c r="K48" s="2288"/>
      <c r="L48" s="2289"/>
      <c r="M48" s="2290"/>
      <c r="N48" s="2290"/>
      <c r="O48" s="2290"/>
    </row>
    <row r="49" spans="1:17" s="117" customFormat="1">
      <c r="A49" s="2290"/>
      <c r="B49" s="2295"/>
      <c r="C49" s="2296"/>
      <c r="D49" s="2290"/>
      <c r="E49" s="2290"/>
      <c r="F49" s="2290"/>
      <c r="G49" s="2290"/>
      <c r="H49" s="2290"/>
      <c r="I49" s="2290"/>
      <c r="J49" s="2290"/>
      <c r="K49" s="2288"/>
      <c r="L49" s="2289"/>
      <c r="M49" s="2290"/>
      <c r="N49" s="2290"/>
      <c r="O49" s="2290"/>
    </row>
    <row r="50" spans="1:17">
      <c r="A50" s="2285"/>
      <c r="B50" s="2295"/>
      <c r="C50" s="2296"/>
      <c r="D50" s="2285"/>
      <c r="E50" s="2285"/>
      <c r="F50" s="2285"/>
      <c r="G50" s="2285"/>
      <c r="H50" s="2285"/>
      <c r="I50" s="2285"/>
      <c r="J50" s="2285"/>
      <c r="K50" s="2286"/>
      <c r="L50" s="2287"/>
      <c r="M50" s="2285"/>
      <c r="N50" s="2285"/>
      <c r="O50" s="2285"/>
    </row>
    <row r="51" spans="1:17" ht="21" thickBot="1">
      <c r="A51" s="1361" t="s">
        <v>127</v>
      </c>
      <c r="B51" s="1354"/>
      <c r="C51" s="1362"/>
      <c r="D51" s="1362"/>
      <c r="E51" s="1362"/>
      <c r="F51" s="1363"/>
      <c r="G51" s="1363"/>
      <c r="H51" s="1362"/>
      <c r="I51" s="1362"/>
      <c r="J51" s="1362"/>
      <c r="K51" s="2291"/>
      <c r="L51" s="2292"/>
      <c r="M51" s="2293"/>
      <c r="N51" s="2293"/>
      <c r="O51" s="2293"/>
      <c r="P51" s="118"/>
      <c r="Q51" s="119"/>
    </row>
    <row r="52" spans="1:17" s="843" customFormat="1" ht="15">
      <c r="A52" s="840" t="s">
        <v>2785</v>
      </c>
      <c r="B52" s="841"/>
      <c r="C52" s="3022" t="str">
        <f>YEAR(C7)&amp;"-"&amp;MONTH(C7)</f>
        <v>2017-9</v>
      </c>
      <c r="D52" s="3023">
        <f>EDATE(C52,-1)</f>
        <v>42948</v>
      </c>
      <c r="E52" s="3023">
        <f t="shared" ref="E52:O52" si="16">EDATE(D52,-1)</f>
        <v>42917</v>
      </c>
      <c r="F52" s="3023">
        <f t="shared" si="16"/>
        <v>42887</v>
      </c>
      <c r="G52" s="3023">
        <f t="shared" si="16"/>
        <v>42856</v>
      </c>
      <c r="H52" s="3023">
        <f t="shared" si="16"/>
        <v>42826</v>
      </c>
      <c r="I52" s="3023">
        <f t="shared" si="16"/>
        <v>42795</v>
      </c>
      <c r="J52" s="3023">
        <f t="shared" si="16"/>
        <v>42767</v>
      </c>
      <c r="K52" s="3023">
        <f t="shared" si="16"/>
        <v>42736</v>
      </c>
      <c r="L52" s="3023">
        <f t="shared" si="16"/>
        <v>42705</v>
      </c>
      <c r="M52" s="3023">
        <f t="shared" si="16"/>
        <v>42675</v>
      </c>
      <c r="N52" s="3023">
        <f t="shared" si="16"/>
        <v>42644</v>
      </c>
      <c r="O52" s="3023">
        <f t="shared" si="16"/>
        <v>42614</v>
      </c>
      <c r="P52" s="842"/>
    </row>
    <row r="53" spans="1:17" s="40" customFormat="1" ht="14.25">
      <c r="A53" s="1035"/>
      <c r="B53" s="1036"/>
      <c r="C53" s="3020">
        <v>100</v>
      </c>
      <c r="D53" s="847"/>
      <c r="E53" s="847"/>
      <c r="F53" s="847"/>
      <c r="G53" s="847"/>
      <c r="H53" s="847"/>
      <c r="I53" s="847"/>
      <c r="J53" s="847"/>
      <c r="K53" s="847"/>
      <c r="L53" s="847"/>
      <c r="M53" s="848"/>
      <c r="N53" s="847"/>
      <c r="O53" s="849"/>
      <c r="P53" s="119"/>
    </row>
    <row r="54" spans="1:17" s="40" customFormat="1" ht="15" thickBot="1">
      <c r="A54" s="1037" t="s">
        <v>118</v>
      </c>
      <c r="B54" s="1038"/>
      <c r="C54" s="852"/>
      <c r="D54" s="853"/>
      <c r="E54" s="853"/>
      <c r="F54" s="853"/>
      <c r="G54" s="853"/>
      <c r="H54" s="853"/>
      <c r="I54" s="853"/>
      <c r="J54" s="853"/>
      <c r="K54" s="853"/>
      <c r="L54" s="853"/>
      <c r="M54" s="854"/>
      <c r="N54" s="853"/>
      <c r="O54" s="855"/>
      <c r="P54" s="119"/>
      <c r="Q54" s="119"/>
    </row>
    <row r="55" spans="1:17" s="40" customFormat="1">
      <c r="A55" s="1039" t="s">
        <v>66</v>
      </c>
      <c r="B55" s="1036"/>
      <c r="C55" s="1040" t="s">
        <v>116</v>
      </c>
      <c r="D55" s="138"/>
      <c r="E55" s="138"/>
      <c r="F55" s="138"/>
      <c r="G55" s="138"/>
      <c r="H55" s="138"/>
      <c r="I55" s="138"/>
      <c r="J55" s="138"/>
      <c r="K55" s="138"/>
      <c r="L55" s="139"/>
      <c r="M55" s="1041"/>
      <c r="N55" s="1377"/>
      <c r="O55" s="1377"/>
      <c r="P55" s="1042"/>
      <c r="Q55" s="119"/>
    </row>
    <row r="56" spans="1:17" s="40" customFormat="1" ht="15" thickBot="1">
      <c r="A56" s="1039"/>
      <c r="B56" s="1036"/>
      <c r="C56" s="974">
        <v>100</v>
      </c>
      <c r="D56" s="847"/>
      <c r="E56" s="847"/>
      <c r="F56" s="847"/>
      <c r="G56" s="847"/>
      <c r="H56" s="847"/>
      <c r="I56" s="847"/>
      <c r="J56" s="847"/>
      <c r="K56" s="847"/>
      <c r="L56" s="847"/>
      <c r="M56" s="849"/>
      <c r="N56" s="1377"/>
      <c r="O56" s="1377"/>
      <c r="P56" s="119"/>
      <c r="Q56" s="119"/>
    </row>
    <row r="57" spans="1:17">
      <c r="A57" s="170" t="s">
        <v>67</v>
      </c>
      <c r="B57" s="284" t="s">
        <v>68</v>
      </c>
      <c r="C57" s="174">
        <f>C9</f>
        <v>0</v>
      </c>
      <c r="D57" s="120"/>
      <c r="E57" s="120"/>
      <c r="F57" s="120"/>
      <c r="G57" s="120"/>
      <c r="H57" s="120"/>
      <c r="I57" s="120"/>
      <c r="J57" s="120"/>
      <c r="K57" s="121"/>
      <c r="L57" s="122"/>
      <c r="M57" s="123"/>
      <c r="N57" s="1378"/>
      <c r="O57" s="1378"/>
      <c r="P57" s="1"/>
      <c r="Q57" s="119"/>
    </row>
    <row r="58" spans="1:17" ht="15" thickBot="1">
      <c r="A58" s="171"/>
      <c r="B58" s="1043"/>
      <c r="C58" s="871">
        <v>100</v>
      </c>
      <c r="D58" s="871"/>
      <c r="E58" s="871"/>
      <c r="F58" s="871"/>
      <c r="G58" s="871"/>
      <c r="H58" s="871"/>
      <c r="I58" s="871"/>
      <c r="J58" s="871"/>
      <c r="K58" s="871"/>
      <c r="L58" s="871"/>
      <c r="M58" s="872"/>
      <c r="N58" s="1379"/>
      <c r="O58" s="1379"/>
      <c r="P58" s="1"/>
      <c r="Q58" s="119"/>
    </row>
    <row r="59" spans="1:17" ht="27.75" thickTop="1">
      <c r="A59" s="171"/>
      <c r="B59" s="1044" t="s">
        <v>106</v>
      </c>
      <c r="C59" s="874" t="s">
        <v>999</v>
      </c>
      <c r="D59" s="874" t="s">
        <v>1000</v>
      </c>
      <c r="E59" s="874" t="s">
        <v>1001</v>
      </c>
      <c r="F59" s="874" t="s">
        <v>1002</v>
      </c>
      <c r="G59" s="874" t="s">
        <v>1003</v>
      </c>
      <c r="H59" s="874" t="s">
        <v>1004</v>
      </c>
      <c r="I59" s="874" t="s">
        <v>1005</v>
      </c>
      <c r="J59" s="874"/>
      <c r="K59" s="875"/>
      <c r="L59" s="876"/>
      <c r="M59" s="877"/>
      <c r="N59" s="1378"/>
      <c r="O59" s="1378"/>
      <c r="P59" s="1"/>
      <c r="Q59" s="119"/>
    </row>
    <row r="60" spans="1:17" ht="15" thickBot="1">
      <c r="A60" s="171"/>
      <c r="B60" s="1045"/>
      <c r="C60" s="879" t="s">
        <v>138</v>
      </c>
      <c r="D60" s="879" t="s">
        <v>139</v>
      </c>
      <c r="E60" s="879">
        <v>100</v>
      </c>
      <c r="F60" s="879">
        <f>E60-$K10</f>
        <v>100</v>
      </c>
      <c r="G60" s="879">
        <f>F60-$K10</f>
        <v>100</v>
      </c>
      <c r="H60" s="879">
        <f>G60-$K10</f>
        <v>100</v>
      </c>
      <c r="I60" s="879">
        <f>H60-$K10</f>
        <v>100</v>
      </c>
      <c r="J60" s="879"/>
      <c r="K60" s="879"/>
      <c r="L60" s="879"/>
      <c r="M60" s="880"/>
      <c r="N60" s="1379"/>
      <c r="O60" s="1379"/>
      <c r="P60" s="1"/>
      <c r="Q60" s="119"/>
    </row>
    <row r="61" spans="1:17" ht="15" thickTop="1">
      <c r="A61" s="171"/>
      <c r="B61" s="1046" t="s">
        <v>93</v>
      </c>
      <c r="C61" s="882" t="str">
        <f>C62&amp;"（含）"&amp;"-"&amp;D62</f>
        <v>（含）-</v>
      </c>
      <c r="D61" s="882" t="str">
        <f t="shared" ref="D61:L61" si="17">D62&amp;"（含）"&amp;"-"&amp;E62</f>
        <v>（含）-</v>
      </c>
      <c r="E61" s="882" t="str">
        <f t="shared" si="17"/>
        <v>（含）-</v>
      </c>
      <c r="F61" s="882" t="str">
        <f t="shared" si="17"/>
        <v>（含）-</v>
      </c>
      <c r="G61" s="882" t="str">
        <f t="shared" si="17"/>
        <v>（含）-</v>
      </c>
      <c r="H61" s="882" t="str">
        <f t="shared" si="17"/>
        <v>（含）-</v>
      </c>
      <c r="I61" s="882" t="str">
        <f t="shared" si="17"/>
        <v>（含）-</v>
      </c>
      <c r="J61" s="882" t="str">
        <f t="shared" si="17"/>
        <v>（含）-</v>
      </c>
      <c r="K61" s="882" t="str">
        <f t="shared" si="17"/>
        <v>（含）-</v>
      </c>
      <c r="L61" s="882" t="str">
        <f t="shared" si="17"/>
        <v>（含）-</v>
      </c>
      <c r="M61" s="784" t="str">
        <f>M62&amp;"（含）"&amp;"-"&amp;P62</f>
        <v>（含）-</v>
      </c>
      <c r="N61" s="1379"/>
      <c r="O61" s="1379"/>
      <c r="P61" s="1"/>
      <c r="Q61" s="119"/>
    </row>
    <row r="62" spans="1:17" ht="14.25">
      <c r="A62" s="171"/>
      <c r="B62" s="1047"/>
      <c r="C62" s="884"/>
      <c r="D62" s="884"/>
      <c r="E62" s="884"/>
      <c r="F62" s="884"/>
      <c r="G62" s="884"/>
      <c r="H62" s="884"/>
      <c r="I62" s="884"/>
      <c r="J62" s="884"/>
      <c r="K62" s="885"/>
      <c r="L62" s="886"/>
      <c r="M62" s="887"/>
      <c r="N62" s="1378"/>
      <c r="O62" s="1378"/>
      <c r="P62" s="1"/>
      <c r="Q62" s="119"/>
    </row>
    <row r="63" spans="1:17" ht="15" thickBot="1">
      <c r="A63" s="171"/>
      <c r="B63" s="1043"/>
      <c r="C63" s="879">
        <v>100</v>
      </c>
      <c r="D63" s="879">
        <f t="shared" ref="D63:M63" si="18">C63-$K11</f>
        <v>100</v>
      </c>
      <c r="E63" s="879">
        <f t="shared" si="18"/>
        <v>100</v>
      </c>
      <c r="F63" s="879">
        <f t="shared" si="18"/>
        <v>100</v>
      </c>
      <c r="G63" s="879">
        <f t="shared" si="18"/>
        <v>100</v>
      </c>
      <c r="H63" s="879">
        <f t="shared" si="18"/>
        <v>100</v>
      </c>
      <c r="I63" s="879">
        <f t="shared" si="18"/>
        <v>100</v>
      </c>
      <c r="J63" s="879">
        <f t="shared" si="18"/>
        <v>100</v>
      </c>
      <c r="K63" s="879">
        <f t="shared" si="18"/>
        <v>100</v>
      </c>
      <c r="L63" s="879">
        <f t="shared" si="18"/>
        <v>100</v>
      </c>
      <c r="M63" s="880">
        <f t="shared" si="18"/>
        <v>100</v>
      </c>
      <c r="N63" s="1379"/>
      <c r="O63" s="1379"/>
      <c r="P63" s="1"/>
      <c r="Q63" s="119"/>
    </row>
    <row r="64" spans="1:17" s="1029" customFormat="1" ht="14.25" thickTop="1">
      <c r="A64" s="1048"/>
      <c r="B64" s="1044">
        <f>B12</f>
        <v>111</v>
      </c>
      <c r="C64" s="137"/>
      <c r="D64" s="137"/>
      <c r="E64" s="137"/>
      <c r="F64" s="137"/>
      <c r="G64" s="137"/>
      <c r="H64" s="1049"/>
      <c r="I64" s="1049"/>
      <c r="J64" s="1049"/>
      <c r="K64" s="1049"/>
      <c r="L64" s="1050"/>
      <c r="M64" s="1051"/>
      <c r="N64" s="1380"/>
      <c r="O64" s="1380"/>
      <c r="P64" s="1052"/>
      <c r="Q64" s="1053"/>
    </row>
    <row r="65" spans="1:17" s="1029" customFormat="1" ht="15" thickBot="1">
      <c r="A65" s="1048"/>
      <c r="B65" s="1045"/>
      <c r="C65" s="895"/>
      <c r="D65" s="871"/>
      <c r="E65" s="871"/>
      <c r="F65" s="871"/>
      <c r="G65" s="871"/>
      <c r="H65" s="871"/>
      <c r="I65" s="871"/>
      <c r="J65" s="871"/>
      <c r="K65" s="871"/>
      <c r="L65" s="871"/>
      <c r="M65" s="872"/>
      <c r="N65" s="1379"/>
      <c r="O65" s="1379"/>
      <c r="P65" s="1052"/>
      <c r="Q65" s="1053"/>
    </row>
    <row r="66" spans="1:17" s="1029" customFormat="1" ht="14.25" thickTop="1">
      <c r="A66" s="1048"/>
      <c r="B66" s="1044">
        <f>B13</f>
        <v>111</v>
      </c>
      <c r="C66" s="137"/>
      <c r="D66" s="137"/>
      <c r="E66" s="137"/>
      <c r="F66" s="137"/>
      <c r="G66" s="137"/>
      <c r="H66" s="1049"/>
      <c r="I66" s="1049"/>
      <c r="J66" s="1049"/>
      <c r="K66" s="1049"/>
      <c r="L66" s="1050"/>
      <c r="M66" s="1051"/>
      <c r="N66" s="1380"/>
      <c r="O66" s="1380"/>
      <c r="P66" s="1054"/>
      <c r="Q66" s="1055"/>
    </row>
    <row r="67" spans="1:17" s="1029" customFormat="1" ht="15" thickBot="1">
      <c r="A67" s="1048"/>
      <c r="B67" s="1045"/>
      <c r="C67" s="895"/>
      <c r="D67" s="871"/>
      <c r="E67" s="871"/>
      <c r="F67" s="871"/>
      <c r="G67" s="895"/>
      <c r="H67" s="897"/>
      <c r="I67" s="897"/>
      <c r="J67" s="897"/>
      <c r="K67" s="897"/>
      <c r="L67" s="897"/>
      <c r="M67" s="898"/>
      <c r="N67" s="1380"/>
      <c r="O67" s="1380"/>
      <c r="P67" s="1052"/>
      <c r="Q67" s="1053"/>
    </row>
    <row r="68" spans="1:17" s="1029" customFormat="1" ht="14.25" thickTop="1">
      <c r="A68" s="1048"/>
      <c r="B68" s="1046">
        <f>B14</f>
        <v>111</v>
      </c>
      <c r="C68" s="138"/>
      <c r="D68" s="138"/>
      <c r="E68" s="138"/>
      <c r="F68" s="138"/>
      <c r="G68" s="138"/>
      <c r="H68" s="1056"/>
      <c r="I68" s="1056"/>
      <c r="J68" s="1056"/>
      <c r="K68" s="1056"/>
      <c r="L68" s="1057"/>
      <c r="M68" s="1058"/>
      <c r="N68" s="1380"/>
      <c r="O68" s="1380"/>
      <c r="P68" s="1059"/>
      <c r="Q68" s="1053"/>
    </row>
    <row r="69" spans="1:17" s="1029" customFormat="1" ht="15" thickBot="1">
      <c r="A69" s="1060"/>
      <c r="B69" s="1061"/>
      <c r="C69" s="905"/>
      <c r="D69" s="905"/>
      <c r="E69" s="905"/>
      <c r="F69" s="905"/>
      <c r="G69" s="905"/>
      <c r="H69" s="906"/>
      <c r="I69" s="906"/>
      <c r="J69" s="906"/>
      <c r="K69" s="906"/>
      <c r="L69" s="906"/>
      <c r="M69" s="907"/>
      <c r="N69" s="1380"/>
      <c r="O69" s="1380"/>
      <c r="P69" s="1052"/>
      <c r="Q69" s="1053"/>
    </row>
    <row r="70" spans="1:17" ht="14.25">
      <c r="A70" s="170" t="s">
        <v>69</v>
      </c>
      <c r="B70" s="284" t="s">
        <v>159</v>
      </c>
      <c r="C70" s="908" t="s">
        <v>1006</v>
      </c>
      <c r="D70" s="908" t="s">
        <v>1007</v>
      </c>
      <c r="E70" s="908" t="s">
        <v>1008</v>
      </c>
      <c r="F70" s="908" t="s">
        <v>1009</v>
      </c>
      <c r="G70" s="908" t="s">
        <v>1010</v>
      </c>
      <c r="H70" s="864"/>
      <c r="I70" s="864"/>
      <c r="J70" s="864"/>
      <c r="K70" s="909"/>
      <c r="L70" s="910"/>
      <c r="M70" s="911"/>
      <c r="N70" s="1378"/>
      <c r="O70" s="1378"/>
      <c r="P70" s="128"/>
      <c r="Q70" s="119"/>
    </row>
    <row r="71" spans="1:17" ht="15" thickBot="1">
      <c r="A71" s="171"/>
      <c r="B71" s="1045"/>
      <c r="C71" s="879">
        <v>100</v>
      </c>
      <c r="D71" s="879">
        <f>C71-$K15</f>
        <v>100</v>
      </c>
      <c r="E71" s="879">
        <f>D71-$K15</f>
        <v>100</v>
      </c>
      <c r="F71" s="879">
        <f>E71-$K15</f>
        <v>100</v>
      </c>
      <c r="G71" s="879">
        <f>F71-$K15</f>
        <v>100</v>
      </c>
      <c r="H71" s="879"/>
      <c r="I71" s="879"/>
      <c r="J71" s="879"/>
      <c r="K71" s="879"/>
      <c r="L71" s="879"/>
      <c r="M71" s="880"/>
      <c r="N71" s="1379"/>
      <c r="O71" s="1379"/>
      <c r="P71" s="1"/>
      <c r="Q71" s="119"/>
    </row>
    <row r="72" spans="1:17" ht="15" thickTop="1">
      <c r="A72" s="171"/>
      <c r="B72" s="1044" t="s">
        <v>92</v>
      </c>
      <c r="C72" s="913" t="s">
        <v>1006</v>
      </c>
      <c r="D72" s="913" t="s">
        <v>1007</v>
      </c>
      <c r="E72" s="913" t="s">
        <v>1008</v>
      </c>
      <c r="F72" s="913" t="s">
        <v>1009</v>
      </c>
      <c r="G72" s="913" t="s">
        <v>1010</v>
      </c>
      <c r="H72" s="874"/>
      <c r="I72" s="874"/>
      <c r="J72" s="874"/>
      <c r="K72" s="875"/>
      <c r="L72" s="876"/>
      <c r="M72" s="877"/>
      <c r="N72" s="1378"/>
      <c r="O72" s="1378"/>
      <c r="P72" s="1"/>
      <c r="Q72" s="119"/>
    </row>
    <row r="73" spans="1:17" ht="15" thickBot="1">
      <c r="A73" s="171"/>
      <c r="B73" s="1045"/>
      <c r="C73" s="879">
        <v>100</v>
      </c>
      <c r="D73" s="879">
        <f>C73-$K17</f>
        <v>100</v>
      </c>
      <c r="E73" s="879">
        <f>D73-$K17</f>
        <v>100</v>
      </c>
      <c r="F73" s="879">
        <f>E73-$K17</f>
        <v>100</v>
      </c>
      <c r="G73" s="879">
        <f>F73-$K17</f>
        <v>100</v>
      </c>
      <c r="H73" s="879"/>
      <c r="I73" s="879"/>
      <c r="J73" s="879"/>
      <c r="K73" s="879"/>
      <c r="L73" s="879"/>
      <c r="M73" s="880"/>
      <c r="N73" s="1379"/>
      <c r="O73" s="1379"/>
      <c r="P73" s="1"/>
      <c r="Q73" s="119"/>
    </row>
    <row r="74" spans="1:17" ht="15" thickTop="1">
      <c r="A74" s="171"/>
      <c r="B74" s="1044" t="s">
        <v>2628</v>
      </c>
      <c r="C74" s="913" t="s">
        <v>1006</v>
      </c>
      <c r="D74" s="913" t="s">
        <v>1007</v>
      </c>
      <c r="E74" s="913" t="s">
        <v>1008</v>
      </c>
      <c r="F74" s="913" t="s">
        <v>1009</v>
      </c>
      <c r="G74" s="913" t="s">
        <v>1010</v>
      </c>
      <c r="H74" s="874"/>
      <c r="I74" s="874"/>
      <c r="J74" s="874"/>
      <c r="K74" s="875"/>
      <c r="L74" s="876"/>
      <c r="M74" s="877"/>
      <c r="N74" s="1378"/>
      <c r="O74" s="1378"/>
      <c r="P74" s="1"/>
      <c r="Q74" s="119"/>
    </row>
    <row r="75" spans="1:17" ht="15" thickBot="1">
      <c r="A75" s="171"/>
      <c r="B75" s="1045"/>
      <c r="C75" s="879">
        <v>100</v>
      </c>
      <c r="D75" s="879">
        <f>C75-$K19</f>
        <v>100</v>
      </c>
      <c r="E75" s="879">
        <f>D75-$K19</f>
        <v>100</v>
      </c>
      <c r="F75" s="879">
        <f>E75-$K19</f>
        <v>100</v>
      </c>
      <c r="G75" s="879">
        <f>F75-$K19</f>
        <v>100</v>
      </c>
      <c r="H75" s="879"/>
      <c r="I75" s="879"/>
      <c r="J75" s="879"/>
      <c r="K75" s="879"/>
      <c r="L75" s="879"/>
      <c r="M75" s="880"/>
      <c r="N75" s="1379"/>
      <c r="O75" s="1379"/>
      <c r="P75" s="1"/>
      <c r="Q75" s="119"/>
    </row>
    <row r="76" spans="1:17" ht="15" thickTop="1">
      <c r="A76" s="171"/>
      <c r="B76" s="1046" t="s">
        <v>2656</v>
      </c>
      <c r="C76" s="211" t="s">
        <v>2648</v>
      </c>
      <c r="D76" s="211" t="s">
        <v>2649</v>
      </c>
      <c r="E76" s="211" t="s">
        <v>2650</v>
      </c>
      <c r="F76" s="211" t="s">
        <v>2651</v>
      </c>
      <c r="G76" s="211" t="s">
        <v>2652</v>
      </c>
      <c r="H76" s="874"/>
      <c r="I76" s="874"/>
      <c r="J76" s="874"/>
      <c r="K76" s="874"/>
      <c r="L76" s="874"/>
      <c r="M76" s="2746"/>
      <c r="N76" s="1379"/>
      <c r="O76" s="1379"/>
      <c r="P76" s="1"/>
      <c r="Q76" s="119"/>
    </row>
    <row r="77" spans="1:17" ht="15" thickBot="1">
      <c r="A77" s="171"/>
      <c r="B77" s="1046"/>
      <c r="C77" s="879">
        <v>100</v>
      </c>
      <c r="D77" s="879">
        <f>C77-$K21</f>
        <v>100</v>
      </c>
      <c r="E77" s="879">
        <f>D77-$K21</f>
        <v>100</v>
      </c>
      <c r="F77" s="879">
        <f>E77-$K21</f>
        <v>100</v>
      </c>
      <c r="G77" s="879">
        <f>F77-$K21</f>
        <v>100</v>
      </c>
      <c r="H77" s="995"/>
      <c r="I77" s="995"/>
      <c r="J77" s="995"/>
      <c r="K77" s="995"/>
      <c r="L77" s="995"/>
      <c r="M77" s="786"/>
      <c r="N77" s="1379"/>
      <c r="O77" s="1379"/>
      <c r="P77" s="1"/>
      <c r="Q77" s="119"/>
    </row>
    <row r="78" spans="1:17" ht="15" thickTop="1">
      <c r="A78" s="171"/>
      <c r="B78" s="1044" t="s">
        <v>149</v>
      </c>
      <c r="C78" s="913" t="s">
        <v>1006</v>
      </c>
      <c r="D78" s="913" t="s">
        <v>1007</v>
      </c>
      <c r="E78" s="913" t="s">
        <v>1008</v>
      </c>
      <c r="F78" s="913" t="s">
        <v>1009</v>
      </c>
      <c r="G78" s="913" t="s">
        <v>1010</v>
      </c>
      <c r="H78" s="874"/>
      <c r="I78" s="874"/>
      <c r="J78" s="874"/>
      <c r="K78" s="875"/>
      <c r="L78" s="876"/>
      <c r="M78" s="877"/>
      <c r="N78" s="1378"/>
      <c r="O78" s="1378"/>
      <c r="P78" s="1"/>
      <c r="Q78" s="119"/>
    </row>
    <row r="79" spans="1:17" ht="15" thickBot="1">
      <c r="A79" s="171"/>
      <c r="B79" s="1045"/>
      <c r="C79" s="879">
        <v>100</v>
      </c>
      <c r="D79" s="879">
        <f>C79-$K23</f>
        <v>100</v>
      </c>
      <c r="E79" s="879">
        <f>D79-$K23</f>
        <v>100</v>
      </c>
      <c r="F79" s="879">
        <f>E79-$K23</f>
        <v>100</v>
      </c>
      <c r="G79" s="879">
        <f>F79-$K23</f>
        <v>100</v>
      </c>
      <c r="H79" s="879"/>
      <c r="I79" s="879"/>
      <c r="J79" s="879"/>
      <c r="K79" s="879"/>
      <c r="L79" s="879"/>
      <c r="M79" s="880"/>
      <c r="N79" s="1379"/>
      <c r="O79" s="1379"/>
      <c r="P79" s="1"/>
      <c r="Q79" s="119"/>
    </row>
    <row r="80" spans="1:17" s="40" customFormat="1" ht="14.25" thickTop="1">
      <c r="A80" s="1062"/>
      <c r="B80" s="1044">
        <f>B25</f>
        <v>111</v>
      </c>
      <c r="C80" s="137"/>
      <c r="D80" s="137"/>
      <c r="E80" s="137"/>
      <c r="F80" s="137"/>
      <c r="G80" s="137"/>
      <c r="H80" s="137"/>
      <c r="I80" s="137"/>
      <c r="J80" s="137"/>
      <c r="K80" s="137"/>
      <c r="L80" s="1373"/>
      <c r="M80" s="1374"/>
      <c r="N80" s="1377"/>
      <c r="O80" s="1377"/>
      <c r="P80" s="1"/>
      <c r="Q80" s="119"/>
    </row>
    <row r="81" spans="1:17" s="40" customFormat="1" ht="15" thickBot="1">
      <c r="A81" s="1062"/>
      <c r="B81" s="1045"/>
      <c r="C81" s="895"/>
      <c r="D81" s="871"/>
      <c r="E81" s="871"/>
      <c r="F81" s="871"/>
      <c r="G81" s="871"/>
      <c r="H81" s="871"/>
      <c r="I81" s="871"/>
      <c r="J81" s="871"/>
      <c r="K81" s="871"/>
      <c r="L81" s="871"/>
      <c r="M81" s="872"/>
      <c r="N81" s="1379"/>
      <c r="O81" s="1379"/>
      <c r="P81" s="1"/>
      <c r="Q81" s="119"/>
    </row>
    <row r="82" spans="1:17" s="40" customFormat="1" ht="14.25" thickTop="1">
      <c r="A82" s="1062"/>
      <c r="B82" s="1044">
        <f>B26</f>
        <v>111</v>
      </c>
      <c r="C82" s="137"/>
      <c r="D82" s="137"/>
      <c r="E82" s="137"/>
      <c r="F82" s="137"/>
      <c r="G82" s="137"/>
      <c r="H82" s="137"/>
      <c r="I82" s="137"/>
      <c r="J82" s="137"/>
      <c r="K82" s="137"/>
      <c r="L82" s="1373"/>
      <c r="M82" s="1374"/>
      <c r="N82" s="1377"/>
      <c r="O82" s="1377"/>
      <c r="P82" s="1"/>
      <c r="Q82" s="119"/>
    </row>
    <row r="83" spans="1:17" s="40" customFormat="1" ht="15" thickBot="1">
      <c r="A83" s="1062"/>
      <c r="B83" s="1045"/>
      <c r="C83" s="895"/>
      <c r="D83" s="871"/>
      <c r="E83" s="871"/>
      <c r="F83" s="871"/>
      <c r="G83" s="871"/>
      <c r="H83" s="871"/>
      <c r="I83" s="871"/>
      <c r="J83" s="871"/>
      <c r="K83" s="871"/>
      <c r="L83" s="871"/>
      <c r="M83" s="872"/>
      <c r="N83" s="1379"/>
      <c r="O83" s="1379"/>
      <c r="P83" s="1"/>
      <c r="Q83" s="119"/>
    </row>
    <row r="84" spans="1:17" s="1029" customFormat="1" ht="14.25" thickTop="1">
      <c r="A84" s="1048"/>
      <c r="B84" s="1044">
        <f>B27</f>
        <v>111</v>
      </c>
      <c r="C84" s="137"/>
      <c r="D84" s="137"/>
      <c r="E84" s="137"/>
      <c r="F84" s="137"/>
      <c r="G84" s="137"/>
      <c r="H84" s="137"/>
      <c r="I84" s="137"/>
      <c r="J84" s="137"/>
      <c r="K84" s="137"/>
      <c r="L84" s="1373"/>
      <c r="M84" s="1374"/>
      <c r="N84" s="1380"/>
      <c r="O84" s="1380"/>
      <c r="P84" s="1052"/>
      <c r="Q84" s="1053"/>
    </row>
    <row r="85" spans="1:17" s="1029" customFormat="1" ht="15" thickBot="1">
      <c r="A85" s="1048"/>
      <c r="B85" s="1045"/>
      <c r="C85" s="895"/>
      <c r="D85" s="871"/>
      <c r="E85" s="871"/>
      <c r="F85" s="871"/>
      <c r="G85" s="871"/>
      <c r="H85" s="871"/>
      <c r="I85" s="871"/>
      <c r="J85" s="871"/>
      <c r="K85" s="871"/>
      <c r="L85" s="871"/>
      <c r="M85" s="872"/>
      <c r="N85" s="1380"/>
      <c r="O85" s="1380"/>
      <c r="P85" s="1052"/>
      <c r="Q85" s="1053"/>
    </row>
    <row r="86" spans="1:17" ht="14.25" thickTop="1">
      <c r="A86" s="171"/>
      <c r="B86" s="1046">
        <f>B28</f>
        <v>111</v>
      </c>
      <c r="C86" s="138"/>
      <c r="D86" s="138"/>
      <c r="E86" s="138"/>
      <c r="F86" s="138"/>
      <c r="G86" s="133"/>
      <c r="H86" s="133"/>
      <c r="I86" s="133"/>
      <c r="J86" s="133"/>
      <c r="K86" s="134"/>
      <c r="L86" s="135"/>
      <c r="M86" s="136"/>
      <c r="N86" s="1378"/>
      <c r="O86" s="1378"/>
      <c r="P86" s="1"/>
      <c r="Q86" s="119"/>
    </row>
    <row r="87" spans="1:17" ht="15" thickBot="1">
      <c r="A87" s="172"/>
      <c r="B87" s="1061"/>
      <c r="C87" s="905"/>
      <c r="D87" s="905"/>
      <c r="E87" s="905"/>
      <c r="F87" s="905"/>
      <c r="G87" s="926"/>
      <c r="H87" s="926"/>
      <c r="I87" s="926"/>
      <c r="J87" s="926"/>
      <c r="K87" s="926"/>
      <c r="L87" s="926"/>
      <c r="M87" s="927"/>
      <c r="N87" s="1379"/>
      <c r="O87" s="1379"/>
      <c r="P87" s="1"/>
      <c r="Q87" s="119"/>
    </row>
    <row r="88" spans="1:17">
      <c r="A88" s="170" t="s">
        <v>70</v>
      </c>
      <c r="B88" s="284" t="s">
        <v>123</v>
      </c>
      <c r="C88" s="120"/>
      <c r="D88" s="120"/>
      <c r="E88" s="120"/>
      <c r="F88" s="120"/>
      <c r="G88" s="120"/>
      <c r="H88" s="120"/>
      <c r="I88" s="120"/>
      <c r="J88" s="120"/>
      <c r="K88" s="121"/>
      <c r="L88" s="122"/>
      <c r="M88" s="123"/>
      <c r="N88" s="1378"/>
      <c r="O88" s="1378"/>
      <c r="P88" s="1"/>
      <c r="Q88" s="119"/>
    </row>
    <row r="89" spans="1:17" ht="15" thickBot="1">
      <c r="A89" s="171"/>
      <c r="B89" s="1045"/>
      <c r="C89" s="879">
        <v>100</v>
      </c>
      <c r="D89" s="879">
        <f t="shared" ref="D89:M89" si="19">C89-$K29</f>
        <v>100</v>
      </c>
      <c r="E89" s="879">
        <f t="shared" si="19"/>
        <v>100</v>
      </c>
      <c r="F89" s="879">
        <f t="shared" si="19"/>
        <v>100</v>
      </c>
      <c r="G89" s="879">
        <f t="shared" si="19"/>
        <v>100</v>
      </c>
      <c r="H89" s="879">
        <f t="shared" si="19"/>
        <v>100</v>
      </c>
      <c r="I89" s="879">
        <f t="shared" si="19"/>
        <v>100</v>
      </c>
      <c r="J89" s="879">
        <f t="shared" si="19"/>
        <v>100</v>
      </c>
      <c r="K89" s="879">
        <f t="shared" si="19"/>
        <v>100</v>
      </c>
      <c r="L89" s="879">
        <f t="shared" si="19"/>
        <v>100</v>
      </c>
      <c r="M89" s="880">
        <f t="shared" si="19"/>
        <v>100</v>
      </c>
      <c r="N89" s="1379"/>
      <c r="O89" s="1379"/>
      <c r="P89" s="1"/>
      <c r="Q89" s="119"/>
    </row>
    <row r="90" spans="1:17" ht="15" thickTop="1">
      <c r="A90" s="171"/>
      <c r="B90" s="1044" t="s">
        <v>96</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377"/>
      <c r="O90" s="1377"/>
      <c r="P90" s="1"/>
      <c r="Q90" s="119"/>
    </row>
    <row r="91" spans="1:17" s="1029" customFormat="1">
      <c r="A91" s="1063"/>
      <c r="B91" s="1064"/>
      <c r="C91" s="1065"/>
      <c r="D91" s="1065"/>
      <c r="E91" s="1065"/>
      <c r="F91" s="1065"/>
      <c r="G91" s="1065"/>
      <c r="H91" s="1065"/>
      <c r="I91" s="1065"/>
      <c r="J91" s="1066"/>
      <c r="K91" s="1066"/>
      <c r="L91" s="1067"/>
      <c r="M91" s="1068"/>
      <c r="N91" s="1380"/>
      <c r="O91" s="1380"/>
      <c r="P91" s="1052"/>
      <c r="Q91" s="1053"/>
    </row>
    <row r="92" spans="1:17" s="1029" customFormat="1" ht="15" thickBot="1">
      <c r="A92" s="1048"/>
      <c r="B92" s="1045"/>
      <c r="C92" s="895"/>
      <c r="D92" s="871"/>
      <c r="E92" s="871"/>
      <c r="F92" s="871"/>
      <c r="G92" s="871"/>
      <c r="H92" s="871"/>
      <c r="I92" s="871"/>
      <c r="J92" s="871"/>
      <c r="K92" s="871"/>
      <c r="L92" s="871"/>
      <c r="M92" s="872"/>
      <c r="N92" s="1379"/>
      <c r="O92" s="1379"/>
      <c r="P92" s="1052"/>
      <c r="Q92" s="1053"/>
    </row>
    <row r="93" spans="1:17" ht="14.25" thickTop="1">
      <c r="A93" s="173"/>
      <c r="B93" s="1044" t="s">
        <v>95</v>
      </c>
      <c r="C93" s="137"/>
      <c r="D93" s="137"/>
      <c r="E93" s="129"/>
      <c r="F93" s="129"/>
      <c r="G93" s="129"/>
      <c r="H93" s="129"/>
      <c r="I93" s="129"/>
      <c r="J93" s="129"/>
      <c r="K93" s="130"/>
      <c r="L93" s="131"/>
      <c r="M93" s="132"/>
      <c r="N93" s="1378"/>
      <c r="O93" s="1378"/>
      <c r="P93" s="1"/>
      <c r="Q93" s="119"/>
    </row>
    <row r="94" spans="1:17" ht="15" thickBot="1">
      <c r="A94" s="171"/>
      <c r="B94" s="1045"/>
      <c r="C94" s="879">
        <v>100</v>
      </c>
      <c r="D94" s="879">
        <f t="shared" ref="D94:M94" si="21">C94-$K31</f>
        <v>100</v>
      </c>
      <c r="E94" s="879">
        <f t="shared" si="21"/>
        <v>100</v>
      </c>
      <c r="F94" s="879">
        <f t="shared" si="21"/>
        <v>100</v>
      </c>
      <c r="G94" s="879">
        <f t="shared" si="21"/>
        <v>100</v>
      </c>
      <c r="H94" s="879">
        <f t="shared" si="21"/>
        <v>100</v>
      </c>
      <c r="I94" s="879">
        <f t="shared" si="21"/>
        <v>100</v>
      </c>
      <c r="J94" s="879">
        <f t="shared" si="21"/>
        <v>100</v>
      </c>
      <c r="K94" s="879">
        <f t="shared" si="21"/>
        <v>100</v>
      </c>
      <c r="L94" s="879">
        <f t="shared" si="21"/>
        <v>100</v>
      </c>
      <c r="M94" s="880">
        <f t="shared" si="21"/>
        <v>100</v>
      </c>
      <c r="N94" s="1379"/>
      <c r="O94" s="1379"/>
      <c r="P94" s="1"/>
      <c r="Q94" s="119"/>
    </row>
    <row r="95" spans="1:17" ht="14.25" thickTop="1">
      <c r="A95" s="173"/>
      <c r="B95" s="1044" t="s">
        <v>124</v>
      </c>
      <c r="C95" s="137"/>
      <c r="D95" s="137"/>
      <c r="E95" s="137"/>
      <c r="F95" s="129"/>
      <c r="G95" s="129"/>
      <c r="H95" s="129"/>
      <c r="I95" s="129"/>
      <c r="J95" s="129"/>
      <c r="K95" s="130"/>
      <c r="L95" s="131"/>
      <c r="M95" s="132"/>
      <c r="N95" s="1378"/>
      <c r="O95" s="1378"/>
      <c r="P95" s="1"/>
      <c r="Q95" s="119"/>
    </row>
    <row r="96" spans="1:17" ht="15" thickBot="1">
      <c r="A96" s="171"/>
      <c r="B96" s="1045"/>
      <c r="C96" s="879">
        <v>100</v>
      </c>
      <c r="D96" s="879">
        <f t="shared" ref="D96:M96" si="22">C96-$K32</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880">
        <f t="shared" si="22"/>
        <v>100</v>
      </c>
      <c r="N96" s="1379"/>
      <c r="O96" s="1379"/>
      <c r="P96" s="1"/>
      <c r="Q96" s="119"/>
    </row>
    <row r="97" spans="1:17" ht="15" thickTop="1">
      <c r="A97" s="173"/>
      <c r="B97" s="1044" t="s">
        <v>112</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129"/>
      <c r="J97" s="129"/>
      <c r="K97" s="130"/>
      <c r="L97" s="131"/>
      <c r="M97" s="132"/>
      <c r="N97" s="1378"/>
      <c r="O97" s="1378"/>
      <c r="P97" s="1"/>
      <c r="Q97" s="119"/>
    </row>
    <row r="98" spans="1:17" ht="14.25">
      <c r="A98" s="173"/>
      <c r="B98" s="1046"/>
      <c r="C98" s="938">
        <v>0.5</v>
      </c>
      <c r="D98" s="938">
        <v>0.6</v>
      </c>
      <c r="E98" s="938">
        <v>0.7</v>
      </c>
      <c r="F98" s="938">
        <v>0.8</v>
      </c>
      <c r="G98" s="938">
        <v>0.9</v>
      </c>
      <c r="H98" s="938">
        <v>1.0001</v>
      </c>
      <c r="I98" s="181"/>
      <c r="J98" s="181"/>
      <c r="K98" s="182"/>
      <c r="L98" s="183"/>
      <c r="M98" s="184"/>
      <c r="N98" s="1378"/>
      <c r="O98" s="1378"/>
      <c r="P98" s="1"/>
      <c r="Q98" s="119"/>
    </row>
    <row r="99" spans="1:17" ht="15" thickBot="1">
      <c r="A99" s="171"/>
      <c r="B99" s="1045"/>
      <c r="C99" s="917">
        <v>100</v>
      </c>
      <c r="D99" s="879">
        <f>C99+$K33</f>
        <v>100</v>
      </c>
      <c r="E99" s="879">
        <f t="shared" ref="E99:M99" si="23">D99+$K33</f>
        <v>100</v>
      </c>
      <c r="F99" s="879">
        <f t="shared" si="23"/>
        <v>100</v>
      </c>
      <c r="G99" s="879">
        <f t="shared" si="23"/>
        <v>100</v>
      </c>
      <c r="H99" s="879">
        <f t="shared" si="23"/>
        <v>100</v>
      </c>
      <c r="I99" s="879">
        <f t="shared" si="23"/>
        <v>100</v>
      </c>
      <c r="J99" s="879">
        <f t="shared" si="23"/>
        <v>100</v>
      </c>
      <c r="K99" s="879">
        <f t="shared" si="23"/>
        <v>100</v>
      </c>
      <c r="L99" s="879">
        <f t="shared" si="23"/>
        <v>100</v>
      </c>
      <c r="M99" s="879">
        <f t="shared" si="23"/>
        <v>100</v>
      </c>
      <c r="N99" s="1379"/>
      <c r="O99" s="1379"/>
      <c r="P99" s="1"/>
      <c r="Q99" s="119"/>
    </row>
    <row r="100" spans="1:17" s="1029" customFormat="1" ht="14.25" thickTop="1">
      <c r="A100" s="1063"/>
      <c r="B100" s="1044" t="s">
        <v>125</v>
      </c>
      <c r="C100" s="137"/>
      <c r="D100" s="137"/>
      <c r="E100" s="137"/>
      <c r="F100" s="137"/>
      <c r="G100" s="137"/>
      <c r="H100" s="129"/>
      <c r="I100" s="129"/>
      <c r="J100" s="129"/>
      <c r="K100" s="130"/>
      <c r="L100" s="131"/>
      <c r="M100" s="132"/>
      <c r="N100" s="1380"/>
      <c r="O100" s="1380"/>
      <c r="P100" s="1052"/>
      <c r="Q100" s="1053"/>
    </row>
    <row r="101" spans="1:17" s="1029" customFormat="1" ht="15" thickBot="1">
      <c r="A101" s="1048"/>
      <c r="B101" s="1045"/>
      <c r="C101" s="879">
        <v>100</v>
      </c>
      <c r="D101" s="879">
        <f>C101-$K34</f>
        <v>100</v>
      </c>
      <c r="E101" s="879">
        <f t="shared" ref="E101:M101" si="24">D101-$K34</f>
        <v>100</v>
      </c>
      <c r="F101" s="879">
        <f t="shared" si="24"/>
        <v>100</v>
      </c>
      <c r="G101" s="879">
        <f t="shared" si="24"/>
        <v>100</v>
      </c>
      <c r="H101" s="879">
        <f t="shared" si="24"/>
        <v>100</v>
      </c>
      <c r="I101" s="879">
        <f t="shared" si="24"/>
        <v>100</v>
      </c>
      <c r="J101" s="879">
        <f t="shared" si="24"/>
        <v>100</v>
      </c>
      <c r="K101" s="879">
        <f t="shared" si="24"/>
        <v>100</v>
      </c>
      <c r="L101" s="879">
        <f t="shared" si="24"/>
        <v>100</v>
      </c>
      <c r="M101" s="879">
        <f t="shared" si="24"/>
        <v>100</v>
      </c>
      <c r="N101" s="1380"/>
      <c r="O101" s="1380"/>
      <c r="P101" s="1052"/>
      <c r="Q101" s="1053"/>
    </row>
    <row r="102" spans="1:17" ht="14.25" thickTop="1">
      <c r="A102" s="173"/>
      <c r="B102" s="1044" t="s">
        <v>2630</v>
      </c>
      <c r="C102" s="137"/>
      <c r="D102" s="137"/>
      <c r="E102" s="137"/>
      <c r="F102" s="137"/>
      <c r="G102" s="137"/>
      <c r="H102" s="129"/>
      <c r="I102" s="129"/>
      <c r="J102" s="129"/>
      <c r="K102" s="130"/>
      <c r="L102" s="131"/>
      <c r="M102" s="132"/>
      <c r="N102" s="1378"/>
      <c r="O102" s="1378"/>
      <c r="P102" s="1"/>
      <c r="Q102" s="119"/>
    </row>
    <row r="103" spans="1:17" ht="15" thickBot="1">
      <c r="A103" s="171"/>
      <c r="B103" s="1045"/>
      <c r="C103" s="879">
        <v>100</v>
      </c>
      <c r="D103" s="879">
        <f t="shared" ref="D103:M103" si="25">C103-$K35</f>
        <v>100</v>
      </c>
      <c r="E103" s="879">
        <f t="shared" si="25"/>
        <v>100</v>
      </c>
      <c r="F103" s="879">
        <f t="shared" si="25"/>
        <v>100</v>
      </c>
      <c r="G103" s="879">
        <f t="shared" si="25"/>
        <v>100</v>
      </c>
      <c r="H103" s="879">
        <f t="shared" si="25"/>
        <v>100</v>
      </c>
      <c r="I103" s="879">
        <f t="shared" si="25"/>
        <v>100</v>
      </c>
      <c r="J103" s="879">
        <f t="shared" si="25"/>
        <v>100</v>
      </c>
      <c r="K103" s="879">
        <f t="shared" si="25"/>
        <v>100</v>
      </c>
      <c r="L103" s="879">
        <f t="shared" si="25"/>
        <v>100</v>
      </c>
      <c r="M103" s="880">
        <f t="shared" si="25"/>
        <v>100</v>
      </c>
      <c r="N103" s="1379"/>
      <c r="O103" s="1379"/>
      <c r="P103" s="1"/>
      <c r="Q103" s="119"/>
    </row>
    <row r="104" spans="1:17" ht="14.25" thickTop="1">
      <c r="A104" s="173"/>
      <c r="B104" s="1044" t="s">
        <v>126</v>
      </c>
      <c r="C104" s="137"/>
      <c r="D104" s="137"/>
      <c r="E104" s="137"/>
      <c r="F104" s="137"/>
      <c r="G104" s="137"/>
      <c r="H104" s="129"/>
      <c r="I104" s="129"/>
      <c r="J104" s="129"/>
      <c r="K104" s="130"/>
      <c r="L104" s="131"/>
      <c r="M104" s="132"/>
      <c r="N104" s="1378"/>
      <c r="O104" s="1378"/>
      <c r="P104" s="1"/>
      <c r="Q104" s="119"/>
    </row>
    <row r="105" spans="1:17" ht="15" thickBot="1">
      <c r="A105" s="171"/>
      <c r="B105" s="1045"/>
      <c r="C105" s="879">
        <v>100</v>
      </c>
      <c r="D105" s="879">
        <f>C105-$K36</f>
        <v>100</v>
      </c>
      <c r="E105" s="879">
        <f>D105-$K36</f>
        <v>100</v>
      </c>
      <c r="F105" s="879">
        <f>E105-$K36</f>
        <v>100</v>
      </c>
      <c r="G105" s="879">
        <f>F105-$K36</f>
        <v>100</v>
      </c>
      <c r="H105" s="879"/>
      <c r="I105" s="879"/>
      <c r="J105" s="879"/>
      <c r="K105" s="879"/>
      <c r="L105" s="879"/>
      <c r="M105" s="880"/>
      <c r="N105" s="1379"/>
      <c r="O105" s="1379"/>
      <c r="P105" s="1"/>
      <c r="Q105" s="119"/>
    </row>
    <row r="106" spans="1:17" ht="27.75" thickTop="1">
      <c r="A106" s="173"/>
      <c r="B106" s="209" t="s">
        <v>152</v>
      </c>
      <c r="C106" s="913" t="s">
        <v>1006</v>
      </c>
      <c r="D106" s="913" t="s">
        <v>1007</v>
      </c>
      <c r="E106" s="913" t="s">
        <v>1008</v>
      </c>
      <c r="F106" s="913" t="s">
        <v>1009</v>
      </c>
      <c r="G106" s="913" t="s">
        <v>1010</v>
      </c>
      <c r="H106" s="874"/>
      <c r="I106" s="874"/>
      <c r="J106" s="874"/>
      <c r="K106" s="875"/>
      <c r="L106" s="876"/>
      <c r="M106" s="877"/>
      <c r="N106" s="1379"/>
      <c r="O106" s="1379"/>
      <c r="P106" s="198"/>
      <c r="Q106" s="199"/>
    </row>
    <row r="107" spans="1:17" ht="15" thickBot="1">
      <c r="A107" s="171"/>
      <c r="B107" s="1045"/>
      <c r="C107" s="917">
        <v>100</v>
      </c>
      <c r="D107" s="879">
        <f t="shared" ref="D107:M107" si="26">C107-$K37</f>
        <v>100</v>
      </c>
      <c r="E107" s="879">
        <f t="shared" si="26"/>
        <v>100</v>
      </c>
      <c r="F107" s="879">
        <f t="shared" si="26"/>
        <v>100</v>
      </c>
      <c r="G107" s="879">
        <f t="shared" si="26"/>
        <v>100</v>
      </c>
      <c r="H107" s="879">
        <f t="shared" si="26"/>
        <v>100</v>
      </c>
      <c r="I107" s="879">
        <f t="shared" si="26"/>
        <v>100</v>
      </c>
      <c r="J107" s="879">
        <f t="shared" si="26"/>
        <v>100</v>
      </c>
      <c r="K107" s="879">
        <f t="shared" si="26"/>
        <v>100</v>
      </c>
      <c r="L107" s="879">
        <f t="shared" si="26"/>
        <v>100</v>
      </c>
      <c r="M107" s="879">
        <f t="shared" si="26"/>
        <v>100</v>
      </c>
      <c r="N107" s="1379"/>
      <c r="O107" s="1379"/>
      <c r="P107" s="1"/>
      <c r="Q107" s="119"/>
    </row>
    <row r="108" spans="1:17" s="1029" customFormat="1" ht="14.25" thickTop="1">
      <c r="A108" s="1063"/>
      <c r="B108" s="1044">
        <f>B38</f>
        <v>111</v>
      </c>
      <c r="C108" s="137"/>
      <c r="D108" s="137"/>
      <c r="E108" s="137"/>
      <c r="F108" s="137"/>
      <c r="G108" s="137"/>
      <c r="H108" s="1049"/>
      <c r="I108" s="1049"/>
      <c r="J108" s="1049"/>
      <c r="K108" s="1049"/>
      <c r="L108" s="1050"/>
      <c r="M108" s="1051"/>
      <c r="N108" s="1380"/>
      <c r="O108" s="1380"/>
      <c r="P108" s="1052"/>
      <c r="Q108" s="1053"/>
    </row>
    <row r="109" spans="1:17" s="1029" customFormat="1" ht="15" thickBot="1">
      <c r="A109" s="1048"/>
      <c r="B109" s="1043"/>
      <c r="C109" s="895"/>
      <c r="D109" s="871"/>
      <c r="E109" s="871"/>
      <c r="F109" s="871"/>
      <c r="G109" s="895"/>
      <c r="H109" s="897"/>
      <c r="I109" s="897"/>
      <c r="J109" s="897"/>
      <c r="K109" s="897"/>
      <c r="L109" s="897"/>
      <c r="M109" s="898"/>
      <c r="N109" s="1380"/>
      <c r="O109" s="1380"/>
      <c r="P109" s="1052"/>
      <c r="Q109" s="1053"/>
    </row>
    <row r="110" spans="1:17" ht="14.25" thickTop="1">
      <c r="A110" s="173"/>
      <c r="B110" s="1044">
        <f>B39</f>
        <v>111</v>
      </c>
      <c r="C110" s="137"/>
      <c r="D110" s="137"/>
      <c r="E110" s="137"/>
      <c r="F110" s="137"/>
      <c r="G110" s="137"/>
      <c r="H110" s="1049"/>
      <c r="I110" s="1049"/>
      <c r="J110" s="1049"/>
      <c r="K110" s="1049"/>
      <c r="L110" s="1050"/>
      <c r="M110" s="1051"/>
      <c r="N110" s="1378"/>
      <c r="O110" s="1378"/>
      <c r="P110" s="1"/>
      <c r="Q110" s="119"/>
    </row>
    <row r="111" spans="1:17" ht="15" thickBot="1">
      <c r="A111" s="171"/>
      <c r="B111" s="1045"/>
      <c r="C111" s="895"/>
      <c r="D111" s="871"/>
      <c r="E111" s="871"/>
      <c r="F111" s="871"/>
      <c r="G111" s="895"/>
      <c r="H111" s="897"/>
      <c r="I111" s="897"/>
      <c r="J111" s="897"/>
      <c r="K111" s="897"/>
      <c r="L111" s="897"/>
      <c r="M111" s="898"/>
      <c r="N111" s="1379"/>
      <c r="O111" s="1379"/>
      <c r="P111" s="1"/>
      <c r="Q111" s="119"/>
    </row>
    <row r="112" spans="1:17" ht="14.25" thickTop="1">
      <c r="A112" s="173"/>
      <c r="B112" s="1046">
        <f>B40</f>
        <v>111</v>
      </c>
      <c r="C112" s="138"/>
      <c r="D112" s="138"/>
      <c r="E112" s="138"/>
      <c r="F112" s="138"/>
      <c r="G112" s="133"/>
      <c r="H112" s="133"/>
      <c r="I112" s="133"/>
      <c r="J112" s="133"/>
      <c r="K112" s="138"/>
      <c r="L112" s="139"/>
      <c r="M112" s="136"/>
      <c r="N112" s="1378"/>
      <c r="O112" s="1378"/>
      <c r="P112" s="1"/>
      <c r="Q112" s="119"/>
    </row>
    <row r="113" spans="1:17" ht="15" thickBot="1">
      <c r="A113" s="172"/>
      <c r="B113" s="1061"/>
      <c r="C113" s="905"/>
      <c r="D113" s="905"/>
      <c r="E113" s="905"/>
      <c r="F113" s="905"/>
      <c r="G113" s="926"/>
      <c r="H113" s="926"/>
      <c r="I113" s="926"/>
      <c r="J113" s="926"/>
      <c r="K113" s="926"/>
      <c r="L113" s="926"/>
      <c r="M113" s="927"/>
      <c r="N113" s="1379"/>
      <c r="O113" s="1379"/>
      <c r="P113" s="1"/>
      <c r="Q113" s="11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K32" sqref="K32"/>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5.5" style="742" customWidth="1"/>
    <col min="10" max="10" width="12.25" style="742" customWidth="1"/>
    <col min="11" max="11" width="12.25" style="830" customWidth="1"/>
    <col min="12" max="12" width="12.25" style="831" customWidth="1"/>
    <col min="13" max="15" width="12.25" style="742" customWidth="1"/>
    <col min="16" max="16" width="4.75" style="2203"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12" customFormat="1" ht="28.5" customHeight="1" thickBot="1">
      <c r="A1" s="3101" t="s">
        <v>385</v>
      </c>
      <c r="B1" s="3102" t="s">
        <v>40</v>
      </c>
      <c r="C1" s="3103" t="s">
        <v>441</v>
      </c>
      <c r="D1" s="3104" t="s">
        <v>3069</v>
      </c>
      <c r="E1" s="3105"/>
      <c r="F1" s="3086" t="s">
        <v>2688</v>
      </c>
      <c r="G1" s="3106" t="s">
        <v>442</v>
      </c>
      <c r="H1" s="3105"/>
      <c r="I1" s="3105"/>
      <c r="J1" s="3105"/>
      <c r="K1" s="3107"/>
      <c r="L1" s="3108"/>
      <c r="M1" s="3109"/>
      <c r="N1" s="3109"/>
      <c r="O1" s="3109"/>
      <c r="P1" s="3110"/>
      <c r="Q1" s="3103"/>
      <c r="R1" s="3103"/>
      <c r="S1" s="3103"/>
      <c r="T1" s="3103"/>
      <c r="U1" s="3103"/>
      <c r="V1" s="3103"/>
      <c r="W1" s="3103"/>
      <c r="X1" s="3103"/>
      <c r="Y1" s="3103"/>
      <c r="Z1" s="3103"/>
      <c r="AA1" s="3103"/>
      <c r="AB1" s="3103"/>
      <c r="AC1" s="3111"/>
    </row>
    <row r="2" spans="1:29" s="737" customFormat="1" ht="28.5" customHeight="1" thickTop="1">
      <c r="A2" s="3100" t="s">
        <v>443</v>
      </c>
      <c r="B2" s="2825">
        <f>IF(C2="——",IF(B37="元/平方米",ROUND(C39*D3/10000,0),ROUND(F3*C39/10000,0)),IF(B37="元/平方米",ROUND(C39*D3/10000,0),ROUND(F3*C39/10000,0))-D2)</f>
        <v>8331</v>
      </c>
      <c r="C2" s="3078" t="s">
        <v>528</v>
      </c>
      <c r="D2" s="2323" t="e">
        <f ca="1">SUMIF(INDIRECT("'"&amp;F2&amp;"'"&amp;"!A:A"),"承租人权益价值",INDIRECT("'"&amp;F2&amp;"'"&amp;"!c:c"))</f>
        <v>#REF!</v>
      </c>
      <c r="E2" s="3079" t="s">
        <v>863</v>
      </c>
      <c r="F2" s="3080"/>
      <c r="G2" s="2324"/>
      <c r="H2" s="2324"/>
      <c r="I2" s="2324"/>
      <c r="J2" s="2324"/>
      <c r="K2" s="2326"/>
      <c r="L2" s="2327"/>
      <c r="M2" s="2328"/>
      <c r="N2" s="2328"/>
      <c r="O2" s="2328"/>
      <c r="P2" s="2826"/>
      <c r="Q2" s="1306"/>
      <c r="R2" s="1306"/>
      <c r="S2" s="1306"/>
      <c r="T2" s="1306"/>
      <c r="U2" s="1306"/>
      <c r="V2" s="1306"/>
      <c r="W2" s="1306"/>
      <c r="X2" s="1306"/>
      <c r="Y2" s="1306"/>
      <c r="Z2" s="1306"/>
      <c r="AA2" s="1306"/>
      <c r="AB2" s="1306"/>
      <c r="AC2" s="1307"/>
    </row>
    <row r="3" spans="1:29" s="737" customFormat="1" ht="28.5" customHeight="1" thickBot="1">
      <c r="A3" s="575" t="s">
        <v>444</v>
      </c>
      <c r="B3" s="944">
        <f>IF(AND(C2="——",B37="元/平方米"),C39,ROUND(B2*10000/D3,0))</f>
        <v>8079</v>
      </c>
      <c r="C3" s="739" t="s">
        <v>445</v>
      </c>
      <c r="D3" s="738">
        <f>SUMIF('数据-汇总表'!$C19:$C33,D1,'数据-汇总表'!$E19:$E33)</f>
        <v>10312.16</v>
      </c>
      <c r="E3" s="739" t="s">
        <v>2123</v>
      </c>
      <c r="F3" s="738">
        <f>SUMIF('数据-取费表'!A5:A15,D1,'数据-取费表'!AH5:AH15)</f>
        <v>308</v>
      </c>
      <c r="G3" s="2324"/>
      <c r="H3" s="2324"/>
      <c r="I3" s="2324"/>
      <c r="J3" s="2324"/>
      <c r="K3" s="2326"/>
      <c r="L3" s="2327"/>
      <c r="M3" s="2328"/>
      <c r="N3" s="2328"/>
      <c r="O3" s="2328"/>
      <c r="P3" s="2826"/>
      <c r="Q3" s="1306"/>
      <c r="R3" s="1306"/>
      <c r="S3" s="1306"/>
      <c r="T3" s="1306"/>
      <c r="U3" s="1306"/>
      <c r="V3" s="1306"/>
      <c r="W3" s="1306"/>
      <c r="X3" s="1306"/>
      <c r="Y3" s="1306"/>
      <c r="Z3" s="1306"/>
      <c r="AA3" s="1306"/>
      <c r="AB3" s="1398"/>
      <c r="AC3" s="1388"/>
    </row>
    <row r="4" spans="1:29" ht="15">
      <c r="A4" s="740" t="s">
        <v>446</v>
      </c>
      <c r="B4" s="741"/>
      <c r="C4" s="3601" t="s">
        <v>447</v>
      </c>
      <c r="D4" s="3602"/>
      <c r="E4" s="3603" t="s">
        <v>448</v>
      </c>
      <c r="F4" s="3604"/>
      <c r="G4" s="3601" t="s">
        <v>449</v>
      </c>
      <c r="H4" s="3602"/>
      <c r="I4" s="3601" t="s">
        <v>450</v>
      </c>
      <c r="J4" s="3602"/>
      <c r="K4" s="945" t="s">
        <v>451</v>
      </c>
      <c r="L4" s="2329"/>
      <c r="M4" s="2330"/>
      <c r="N4" s="2330"/>
      <c r="O4" s="2330"/>
      <c r="P4" s="3605" t="s">
        <v>452</v>
      </c>
      <c r="Q4" s="3606"/>
      <c r="R4" s="3611" t="s">
        <v>448</v>
      </c>
      <c r="S4" s="3612"/>
      <c r="T4" s="3611" t="s">
        <v>449</v>
      </c>
      <c r="U4" s="3612"/>
      <c r="V4" s="3597" t="s">
        <v>450</v>
      </c>
      <c r="W4" s="3597"/>
      <c r="X4" s="2811"/>
      <c r="Y4" s="3611" t="s">
        <v>452</v>
      </c>
      <c r="Z4" s="3612"/>
      <c r="AA4" s="3598" t="s">
        <v>448</v>
      </c>
      <c r="AB4" s="3599" t="s">
        <v>449</v>
      </c>
      <c r="AC4" s="3598" t="s">
        <v>450</v>
      </c>
    </row>
    <row r="5" spans="1:29" ht="15">
      <c r="A5" s="743"/>
      <c r="B5" s="744"/>
      <c r="C5" s="3727"/>
      <c r="D5" s="3728"/>
      <c r="E5" s="3731" t="str">
        <f>Sheet2!A1</f>
        <v>鸿坤林语墅</v>
      </c>
      <c r="F5" s="3732"/>
      <c r="G5" s="3727" t="str">
        <f>Sheet2!A6</f>
        <v xml:space="preserve">首开保利·熙悦诚郡 </v>
      </c>
      <c r="H5" s="3728"/>
      <c r="I5" s="3727" t="str">
        <f>Sheet2!A10</f>
        <v>枫丹一号</v>
      </c>
      <c r="J5" s="3728"/>
      <c r="K5" s="945"/>
      <c r="L5" s="2329"/>
      <c r="M5" s="2330"/>
      <c r="N5" s="2330"/>
      <c r="O5" s="2330"/>
      <c r="P5" s="3607"/>
      <c r="Q5" s="3608"/>
      <c r="R5" s="3613"/>
      <c r="S5" s="3614"/>
      <c r="T5" s="3613"/>
      <c r="U5" s="3614"/>
      <c r="V5" s="3597"/>
      <c r="W5" s="3597"/>
      <c r="X5" s="2811"/>
      <c r="Y5" s="3613"/>
      <c r="Z5" s="3614"/>
      <c r="AA5" s="3599"/>
      <c r="AB5" s="3599"/>
      <c r="AC5" s="3599"/>
    </row>
    <row r="6" spans="1:29" ht="15.75" thickBot="1">
      <c r="A6" s="745"/>
      <c r="B6" s="746"/>
      <c r="C6" s="3725"/>
      <c r="D6" s="3726"/>
      <c r="E6" s="3729"/>
      <c r="F6" s="3730"/>
      <c r="G6" s="3725"/>
      <c r="H6" s="3726"/>
      <c r="I6" s="3725"/>
      <c r="J6" s="3726"/>
      <c r="K6" s="945" t="s">
        <v>394</v>
      </c>
      <c r="L6" s="2329"/>
      <c r="M6" s="2330"/>
      <c r="N6" s="2330"/>
      <c r="O6" s="2330"/>
      <c r="P6" s="3609"/>
      <c r="Q6" s="3610"/>
      <c r="R6" s="3613"/>
      <c r="S6" s="3614"/>
      <c r="T6" s="3615"/>
      <c r="U6" s="3616"/>
      <c r="V6" s="3597"/>
      <c r="W6" s="3597"/>
      <c r="X6" s="2811"/>
      <c r="Y6" s="3615"/>
      <c r="Z6" s="3616"/>
      <c r="AA6" s="3600"/>
      <c r="AB6" s="3600"/>
      <c r="AC6" s="3600"/>
    </row>
    <row r="7" spans="1:29" s="404" customFormat="1" ht="15.75" thickBot="1">
      <c r="A7" s="747" t="s">
        <v>395</v>
      </c>
      <c r="B7" s="748"/>
      <c r="C7" s="749">
        <f>'数据-取费表'!B2</f>
        <v>43006</v>
      </c>
      <c r="D7" s="750">
        <v>100</v>
      </c>
      <c r="E7" s="751">
        <v>42979</v>
      </c>
      <c r="F7" s="752">
        <f>SUMIF(48:48,YEAR(E7)&amp;"-"&amp;MONTH(E7),49:49)</f>
        <v>100</v>
      </c>
      <c r="G7" s="751">
        <v>42979</v>
      </c>
      <c r="H7" s="750">
        <f>SUMIF(48:48,YEAR(G7)&amp;"-"&amp;MONTH(G7),49:49)</f>
        <v>100</v>
      </c>
      <c r="I7" s="751">
        <v>42979</v>
      </c>
      <c r="J7" s="750">
        <f>SUMIF(48:48,YEAR(I7)&amp;"-"&amp;MONTH(I7),49:49)</f>
        <v>100</v>
      </c>
      <c r="K7" s="946"/>
      <c r="L7" s="2331"/>
      <c r="M7" s="2332"/>
      <c r="N7" s="2332"/>
      <c r="O7" s="2332"/>
      <c r="P7" s="3621" t="s">
        <v>396</v>
      </c>
      <c r="Q7" s="3623"/>
      <c r="R7" s="1309" t="s">
        <v>65</v>
      </c>
      <c r="S7" s="1310">
        <f t="shared" ref="S7:S14" si="0">F7</f>
        <v>100</v>
      </c>
      <c r="T7" s="1309" t="s">
        <v>65</v>
      </c>
      <c r="U7" s="1310">
        <f t="shared" ref="U7:U14" si="1">H7</f>
        <v>100</v>
      </c>
      <c r="V7" s="1309" t="s">
        <v>65</v>
      </c>
      <c r="W7" s="1310">
        <f t="shared" ref="W7:W14" si="2">J7</f>
        <v>100</v>
      </c>
      <c r="X7" s="1311"/>
      <c r="Y7" s="3621" t="s">
        <v>396</v>
      </c>
      <c r="Z7" s="3622"/>
      <c r="AA7" s="1312">
        <f>D7/F7</f>
        <v>1</v>
      </c>
      <c r="AB7" s="1312">
        <f>D7/H7</f>
        <v>1</v>
      </c>
      <c r="AC7" s="1312">
        <f>D7/J7</f>
        <v>1</v>
      </c>
    </row>
    <row r="8" spans="1:29" s="404" customFormat="1" ht="15.75" thickBot="1">
      <c r="A8" s="747" t="s">
        <v>397</v>
      </c>
      <c r="B8" s="748"/>
      <c r="C8" s="753" t="s">
        <v>414</v>
      </c>
      <c r="D8" s="750">
        <v>100</v>
      </c>
      <c r="E8" s="753" t="s">
        <v>414</v>
      </c>
      <c r="F8" s="752">
        <f>SUMIF(51:51,E8,52:52)-SUMIF(51:51,C8,52:52)+100</f>
        <v>100</v>
      </c>
      <c r="G8" s="753" t="s">
        <v>414</v>
      </c>
      <c r="H8" s="750">
        <f>SUMIF(51:51,G8,52:52)-SUMIF(51:51,C8,52:52)+100</f>
        <v>100</v>
      </c>
      <c r="I8" s="753" t="s">
        <v>414</v>
      </c>
      <c r="J8" s="750">
        <f>SUMIF(51:51,I8,52:52)-SUMIF(51:51,C8,52:52)+100</f>
        <v>100</v>
      </c>
      <c r="K8" s="946"/>
      <c r="L8" s="2331"/>
      <c r="M8" s="2332"/>
      <c r="N8" s="2332"/>
      <c r="O8" s="2332"/>
      <c r="P8" s="3621" t="s">
        <v>432</v>
      </c>
      <c r="Q8" s="3622"/>
      <c r="R8" s="1309" t="s">
        <v>65</v>
      </c>
      <c r="S8" s="1310">
        <f t="shared" si="0"/>
        <v>100</v>
      </c>
      <c r="T8" s="1309" t="s">
        <v>65</v>
      </c>
      <c r="U8" s="1310">
        <f t="shared" si="1"/>
        <v>100</v>
      </c>
      <c r="V8" s="1309" t="s">
        <v>65</v>
      </c>
      <c r="W8" s="1310">
        <f t="shared" si="2"/>
        <v>100</v>
      </c>
      <c r="X8" s="1311"/>
      <c r="Y8" s="3621" t="s">
        <v>432</v>
      </c>
      <c r="Z8" s="3622"/>
      <c r="AA8" s="1312">
        <f t="shared" ref="AA8:AA36" si="3">D8/F8</f>
        <v>1</v>
      </c>
      <c r="AB8" s="1312">
        <f t="shared" ref="AB8:AB36" si="4">D8/H8</f>
        <v>1</v>
      </c>
      <c r="AC8" s="1312">
        <f t="shared" ref="AC8:AC36" si="5">D8/J8</f>
        <v>1</v>
      </c>
    </row>
    <row r="9" spans="1:29" s="404" customFormat="1">
      <c r="A9" s="356" t="s">
        <v>398</v>
      </c>
      <c r="B9" s="975" t="s">
        <v>416</v>
      </c>
      <c r="C9" s="3357" t="s">
        <v>3115</v>
      </c>
      <c r="D9" s="421">
        <v>100</v>
      </c>
      <c r="E9" s="756" t="s">
        <v>3069</v>
      </c>
      <c r="F9" s="421">
        <f>SUMIF(53:53,E9,54:54)-SUMIF(53:53,C9,54:54)+100</f>
        <v>100</v>
      </c>
      <c r="G9" s="756" t="s">
        <v>3069</v>
      </c>
      <c r="H9" s="421">
        <f>SUMIF(53:53,G9,54:54)-SUMIF(53:53,C9,54:54)+100</f>
        <v>100</v>
      </c>
      <c r="I9" s="756" t="s">
        <v>3069</v>
      </c>
      <c r="J9" s="421">
        <f>SUMIF(53:53,I9,54:54)-SUMIF(53:53,C9,54:54)+100</f>
        <v>100</v>
      </c>
      <c r="K9" s="946"/>
      <c r="L9" s="2331"/>
      <c r="M9" s="2332"/>
      <c r="N9" s="2332"/>
      <c r="O9" s="2332"/>
      <c r="P9" s="3592" t="s">
        <v>399</v>
      </c>
      <c r="Q9" s="2810" t="str">
        <f t="shared" ref="Q9:Q14" si="6">B9</f>
        <v>用途</v>
      </c>
      <c r="R9" s="1309" t="s">
        <v>65</v>
      </c>
      <c r="S9" s="1310">
        <f t="shared" si="0"/>
        <v>100</v>
      </c>
      <c r="T9" s="1309" t="s">
        <v>65</v>
      </c>
      <c r="U9" s="1310">
        <f t="shared" si="1"/>
        <v>100</v>
      </c>
      <c r="V9" s="1309" t="s">
        <v>65</v>
      </c>
      <c r="W9" s="1310">
        <f t="shared" si="2"/>
        <v>100</v>
      </c>
      <c r="X9" s="1311"/>
      <c r="Y9" s="3478" t="s">
        <v>400</v>
      </c>
      <c r="Z9" s="342" t="str">
        <f t="shared" ref="Z9:Z14" si="7">Q9</f>
        <v>用途</v>
      </c>
      <c r="AA9" s="1312">
        <f t="shared" si="3"/>
        <v>1</v>
      </c>
      <c r="AB9" s="1312">
        <f t="shared" si="4"/>
        <v>1</v>
      </c>
      <c r="AC9" s="1312">
        <f t="shared" si="5"/>
        <v>1</v>
      </c>
    </row>
    <row r="10" spans="1:29" s="763" customFormat="1" ht="27">
      <c r="A10" s="976"/>
      <c r="B10" s="977" t="s">
        <v>401</v>
      </c>
      <c r="C10" s="760" t="s">
        <v>3116</v>
      </c>
      <c r="D10" s="422">
        <v>100</v>
      </c>
      <c r="E10" s="760" t="s">
        <v>3116</v>
      </c>
      <c r="F10" s="422">
        <f>SUMIF(55:55,E10,56:56)-SUMIF(55:55,C10,56:56)+100</f>
        <v>100</v>
      </c>
      <c r="G10" s="760" t="s">
        <v>3116</v>
      </c>
      <c r="H10" s="422">
        <f>SUMIF(55:55,G10,56:56)-SUMIF(55:55,C10,56:56)+100</f>
        <v>100</v>
      </c>
      <c r="I10" s="760" t="s">
        <v>3116</v>
      </c>
      <c r="J10" s="422">
        <f>SUMIF(55:55,I10,56:56)-SUMIF(55:55,C10,56:56)+100</f>
        <v>100</v>
      </c>
      <c r="K10" s="947">
        <v>1</v>
      </c>
      <c r="L10" s="2334"/>
      <c r="M10" s="2335"/>
      <c r="N10" s="2335"/>
      <c r="O10" s="2335"/>
      <c r="P10" s="3592"/>
      <c r="Q10" s="2810" t="str">
        <f t="shared" si="6"/>
        <v>土地使用年限（年）</v>
      </c>
      <c r="R10" s="1309" t="s">
        <v>65</v>
      </c>
      <c r="S10" s="1310">
        <f t="shared" si="0"/>
        <v>100</v>
      </c>
      <c r="T10" s="1309" t="s">
        <v>65</v>
      </c>
      <c r="U10" s="1310">
        <f t="shared" si="1"/>
        <v>100</v>
      </c>
      <c r="V10" s="1309" t="s">
        <v>65</v>
      </c>
      <c r="W10" s="1310">
        <f t="shared" si="2"/>
        <v>100</v>
      </c>
      <c r="X10" s="1311"/>
      <c r="Y10" s="3478"/>
      <c r="Z10" s="342" t="str">
        <f t="shared" si="7"/>
        <v>土地使用年限（年）</v>
      </c>
      <c r="AA10" s="1312">
        <f t="shared" si="3"/>
        <v>1</v>
      </c>
      <c r="AB10" s="1312">
        <f t="shared" si="4"/>
        <v>1</v>
      </c>
      <c r="AC10" s="1312">
        <f t="shared" si="5"/>
        <v>1</v>
      </c>
    </row>
    <row r="11" spans="1:29" ht="15">
      <c r="A11" s="978"/>
      <c r="B11" s="979"/>
      <c r="C11" s="768"/>
      <c r="D11" s="422">
        <v>100</v>
      </c>
      <c r="E11" s="768"/>
      <c r="F11" s="422">
        <f>SUMIF(57:57,E11,58:58)-SUMIF(57:57,C11,58:58)+100</f>
        <v>100</v>
      </c>
      <c r="G11" s="768"/>
      <c r="H11" s="422">
        <f>SUMIF(57:57,G11,58:58)-SUMIF(57:57,C11,58:58)+100</f>
        <v>100</v>
      </c>
      <c r="I11" s="768"/>
      <c r="J11" s="422">
        <f>SUMIF(57:57,I11,58:58)-SUMIF(57:57,C11,58:58)+100</f>
        <v>100</v>
      </c>
      <c r="K11" s="948"/>
      <c r="L11" s="2337"/>
      <c r="M11" s="2330"/>
      <c r="N11" s="2330"/>
      <c r="O11" s="2330"/>
      <c r="P11" s="3592"/>
      <c r="Q11" s="2810">
        <f t="shared" si="6"/>
        <v>0</v>
      </c>
      <c r="R11" s="1309" t="s">
        <v>65</v>
      </c>
      <c r="S11" s="1310">
        <f t="shared" si="0"/>
        <v>100</v>
      </c>
      <c r="T11" s="1309" t="s">
        <v>65</v>
      </c>
      <c r="U11" s="1310">
        <f t="shared" si="1"/>
        <v>100</v>
      </c>
      <c r="V11" s="1309" t="s">
        <v>65</v>
      </c>
      <c r="W11" s="1310">
        <f t="shared" si="2"/>
        <v>100</v>
      </c>
      <c r="X11" s="1311"/>
      <c r="Y11" s="3478"/>
      <c r="Z11" s="342">
        <f t="shared" si="7"/>
        <v>0</v>
      </c>
      <c r="AA11" s="1312">
        <f t="shared" si="3"/>
        <v>1</v>
      </c>
      <c r="AB11" s="1312">
        <f t="shared" si="4"/>
        <v>1</v>
      </c>
      <c r="AC11" s="1312">
        <f t="shared" si="5"/>
        <v>1</v>
      </c>
    </row>
    <row r="12" spans="1:29" s="404" customFormat="1" ht="15">
      <c r="A12" s="980"/>
      <c r="B12" s="979"/>
      <c r="C12" s="768"/>
      <c r="D12" s="769">
        <v>100</v>
      </c>
      <c r="E12" s="768"/>
      <c r="F12" s="422">
        <f>SUMIF(59:59,E12,60:60)-SUMIF(59:59,C12,60:60)+100</f>
        <v>100</v>
      </c>
      <c r="G12" s="768"/>
      <c r="H12" s="422">
        <f>SUMIF(59:59,G12,60:60)-SUMIF(59:59,C12,60:60)+100</f>
        <v>100</v>
      </c>
      <c r="I12" s="768"/>
      <c r="J12" s="422">
        <f>SUMIF(59:59,I12,60:60)-SUMIF(59:59,C12,60:60)+100</f>
        <v>100</v>
      </c>
      <c r="K12" s="948"/>
      <c r="L12" s="2331"/>
      <c r="M12" s="2332"/>
      <c r="N12" s="2332"/>
      <c r="O12" s="2332"/>
      <c r="P12" s="3592"/>
      <c r="Q12" s="2810">
        <f t="shared" si="6"/>
        <v>0</v>
      </c>
      <c r="R12" s="1309" t="s">
        <v>65</v>
      </c>
      <c r="S12" s="1310">
        <f t="shared" si="0"/>
        <v>100</v>
      </c>
      <c r="T12" s="1309" t="s">
        <v>65</v>
      </c>
      <c r="U12" s="1310">
        <f t="shared" si="1"/>
        <v>100</v>
      </c>
      <c r="V12" s="1309" t="s">
        <v>65</v>
      </c>
      <c r="W12" s="1310">
        <f t="shared" si="2"/>
        <v>100</v>
      </c>
      <c r="X12" s="1311"/>
      <c r="Y12" s="3478"/>
      <c r="Z12" s="342">
        <f t="shared" si="7"/>
        <v>0</v>
      </c>
      <c r="AA12" s="1312">
        <f>D12/F12</f>
        <v>1</v>
      </c>
      <c r="AB12" s="1312">
        <f>D12/H12</f>
        <v>1</v>
      </c>
      <c r="AC12" s="1312">
        <f>D12/J12</f>
        <v>1</v>
      </c>
    </row>
    <row r="13" spans="1:29" ht="15.75" thickBot="1">
      <c r="A13" s="981"/>
      <c r="B13" s="979"/>
      <c r="C13" s="770"/>
      <c r="D13" s="771">
        <v>100</v>
      </c>
      <c r="E13" s="768"/>
      <c r="F13" s="422">
        <f>SUMIF(61:61,E13,62:62)-SUMIF(61:61,C13,62:62)+100</f>
        <v>100</v>
      </c>
      <c r="G13" s="768"/>
      <c r="H13" s="771">
        <f>SUMIF(61:61,G13,62:62)-SUMIF(61:61,C13,62:62)+100</f>
        <v>100</v>
      </c>
      <c r="I13" s="768"/>
      <c r="J13" s="771">
        <f>SUMIF(61:61,I13,62:62)-SUMIF(61:61,C13,62:62)+100</f>
        <v>100</v>
      </c>
      <c r="K13" s="948"/>
      <c r="L13" s="2339"/>
      <c r="M13" s="2330"/>
      <c r="N13" s="2330"/>
      <c r="O13" s="2330"/>
      <c r="P13" s="3592"/>
      <c r="Q13" s="2810">
        <f t="shared" si="6"/>
        <v>0</v>
      </c>
      <c r="R13" s="1309" t="s">
        <v>65</v>
      </c>
      <c r="S13" s="1310">
        <f t="shared" si="0"/>
        <v>100</v>
      </c>
      <c r="T13" s="1309" t="s">
        <v>65</v>
      </c>
      <c r="U13" s="1310">
        <f t="shared" si="1"/>
        <v>100</v>
      </c>
      <c r="V13" s="1309" t="s">
        <v>65</v>
      </c>
      <c r="W13" s="1310">
        <f t="shared" si="2"/>
        <v>100</v>
      </c>
      <c r="X13" s="1311"/>
      <c r="Y13" s="3478"/>
      <c r="Z13" s="342">
        <f t="shared" si="7"/>
        <v>0</v>
      </c>
      <c r="AA13" s="1312">
        <f t="shared" si="3"/>
        <v>1</v>
      </c>
      <c r="AB13" s="1312">
        <f t="shared" si="4"/>
        <v>1</v>
      </c>
      <c r="AC13" s="1312">
        <f t="shared" si="5"/>
        <v>1</v>
      </c>
    </row>
    <row r="14" spans="1:29" ht="67.5">
      <c r="A14" s="740" t="s">
        <v>403</v>
      </c>
      <c r="B14" s="964" t="s">
        <v>453</v>
      </c>
      <c r="C14" s="210" t="str">
        <f>IF(B1="工业",估价对象房地状况!G4,估价对象房地状况!C6)</f>
        <v>估价对象周边有849、兴23路等公交线路，综合评价交通便捷度一般</v>
      </c>
      <c r="D14" s="777">
        <v>100</v>
      </c>
      <c r="E14" s="778"/>
      <c r="F14" s="779">
        <f>SUMIF(63:63,E15,64:64)-SUMIF(63:63,C15,64:64)+100</f>
        <v>101</v>
      </c>
      <c r="G14" s="780"/>
      <c r="H14" s="777">
        <f>SUMIF(63:63,G15,64:64)-SUMIF(63:63,C15,64:64)+100</f>
        <v>100</v>
      </c>
      <c r="I14" s="778"/>
      <c r="J14" s="777">
        <f>SUMIF(63:63,I15,64:64)-SUMIF(63:63,C15,64:64)+100</f>
        <v>100</v>
      </c>
      <c r="K14" s="949">
        <v>1</v>
      </c>
      <c r="L14" s="2339"/>
      <c r="M14" s="2330"/>
      <c r="N14" s="2330"/>
      <c r="O14" s="2330"/>
      <c r="P14" s="3593" t="s">
        <v>404</v>
      </c>
      <c r="Q14" s="2812" t="str">
        <f t="shared" si="6"/>
        <v>交通便捷度</v>
      </c>
      <c r="R14" s="1314" t="s">
        <v>65</v>
      </c>
      <c r="S14" s="1315">
        <f t="shared" si="0"/>
        <v>101</v>
      </c>
      <c r="T14" s="1314" t="s">
        <v>65</v>
      </c>
      <c r="U14" s="1315">
        <f t="shared" si="1"/>
        <v>100</v>
      </c>
      <c r="V14" s="1314" t="s">
        <v>65</v>
      </c>
      <c r="W14" s="1315">
        <f t="shared" si="2"/>
        <v>100</v>
      </c>
      <c r="X14" s="2811"/>
      <c r="Y14" s="3593" t="s">
        <v>404</v>
      </c>
      <c r="Z14" s="2813" t="str">
        <f t="shared" si="7"/>
        <v>交通便捷度</v>
      </c>
      <c r="AA14" s="1317">
        <f t="shared" si="3"/>
        <v>0.99009900990099009</v>
      </c>
      <c r="AB14" s="1317">
        <f t="shared" si="4"/>
        <v>1</v>
      </c>
      <c r="AC14" s="1317">
        <f t="shared" si="5"/>
        <v>1</v>
      </c>
    </row>
    <row r="15" spans="1:29" ht="15">
      <c r="A15" s="743"/>
      <c r="B15" s="982"/>
      <c r="C15" s="97" t="s">
        <v>3080</v>
      </c>
      <c r="D15" s="784"/>
      <c r="E15" s="783" t="s">
        <v>3081</v>
      </c>
      <c r="F15" s="785"/>
      <c r="G15" s="783" t="s">
        <v>3080</v>
      </c>
      <c r="H15" s="786"/>
      <c r="I15" s="783" t="s">
        <v>3080</v>
      </c>
      <c r="J15" s="784"/>
      <c r="K15" s="950"/>
      <c r="L15" s="2339"/>
      <c r="M15" s="2330"/>
      <c r="N15" s="2330"/>
      <c r="O15" s="2330"/>
      <c r="P15" s="3594"/>
      <c r="Q15" s="2812"/>
      <c r="R15" s="1314"/>
      <c r="S15" s="1315"/>
      <c r="T15" s="1314"/>
      <c r="U15" s="1315"/>
      <c r="V15" s="1314"/>
      <c r="W15" s="1315"/>
      <c r="X15" s="2811"/>
      <c r="Y15" s="3594"/>
      <c r="Z15" s="2813"/>
      <c r="AA15" s="1317">
        <v>1</v>
      </c>
      <c r="AB15" s="1317">
        <v>1</v>
      </c>
      <c r="AC15" s="1317">
        <v>1</v>
      </c>
    </row>
    <row r="16" spans="1:29" ht="54">
      <c r="A16" s="743"/>
      <c r="B16" s="1024" t="s">
        <v>2657</v>
      </c>
      <c r="C16" s="156" t="str">
        <f>IF(B1="工业",估价对象房地状况!G5,估价对象房地状况!C7)</f>
        <v>估价对象所在区域公共配套设施齐备较齐备</v>
      </c>
      <c r="D16" s="791">
        <v>100</v>
      </c>
      <c r="E16" s="793"/>
      <c r="F16" s="794">
        <f>SUMIF(65:65,E17,66:66)-SUMIF(65:65,C17,66:66)+100</f>
        <v>100</v>
      </c>
      <c r="G16" s="795"/>
      <c r="H16" s="791">
        <f>SUMIF(65:65,G17,66:66)-SUMIF(65:65,C17,66:66)+100</f>
        <v>99.5</v>
      </c>
      <c r="I16" s="793"/>
      <c r="J16" s="791">
        <f>SUMIF(65:65,I17,66:66)-SUMIF(65:65,C17,66:66)+100</f>
        <v>99.5</v>
      </c>
      <c r="K16" s="949">
        <v>0.5</v>
      </c>
      <c r="L16" s="2339"/>
      <c r="M16" s="2330"/>
      <c r="N16" s="2330"/>
      <c r="O16" s="2330"/>
      <c r="P16" s="3594"/>
      <c r="Q16" s="2812" t="str">
        <f>B16</f>
        <v>公共配套设施</v>
      </c>
      <c r="R16" s="1314" t="s">
        <v>65</v>
      </c>
      <c r="S16" s="1315">
        <f>F16</f>
        <v>100</v>
      </c>
      <c r="T16" s="1314" t="s">
        <v>65</v>
      </c>
      <c r="U16" s="1315">
        <f>H16</f>
        <v>99.5</v>
      </c>
      <c r="V16" s="1314" t="s">
        <v>65</v>
      </c>
      <c r="W16" s="1315">
        <f>J16</f>
        <v>99.5</v>
      </c>
      <c r="X16" s="2811"/>
      <c r="Y16" s="3594"/>
      <c r="Z16" s="2813" t="str">
        <f>Q16</f>
        <v>公共配套设施</v>
      </c>
      <c r="AA16" s="1317">
        <f t="shared" si="3"/>
        <v>1</v>
      </c>
      <c r="AB16" s="1317">
        <f t="shared" si="4"/>
        <v>1.0050251256281406</v>
      </c>
      <c r="AC16" s="1317">
        <f t="shared" si="5"/>
        <v>1.0050251256281406</v>
      </c>
    </row>
    <row r="17" spans="1:29" ht="15">
      <c r="A17" s="743"/>
      <c r="B17" s="967"/>
      <c r="C17" s="102" t="s">
        <v>3081</v>
      </c>
      <c r="D17" s="784"/>
      <c r="E17" s="783" t="s">
        <v>3081</v>
      </c>
      <c r="F17" s="785"/>
      <c r="G17" s="783" t="s">
        <v>3080</v>
      </c>
      <c r="H17" s="784"/>
      <c r="I17" s="783" t="s">
        <v>3080</v>
      </c>
      <c r="J17" s="784"/>
      <c r="K17" s="950"/>
      <c r="L17" s="2339"/>
      <c r="M17" s="2330"/>
      <c r="N17" s="2330"/>
      <c r="O17" s="2330"/>
      <c r="P17" s="3594"/>
      <c r="Q17" s="2812"/>
      <c r="R17" s="1314"/>
      <c r="S17" s="1315"/>
      <c r="T17" s="1314"/>
      <c r="U17" s="1315"/>
      <c r="V17" s="1314"/>
      <c r="W17" s="1315"/>
      <c r="X17" s="2811"/>
      <c r="Y17" s="3594"/>
      <c r="Z17" s="2813"/>
      <c r="AA17" s="1317">
        <v>1</v>
      </c>
      <c r="AB17" s="1317">
        <v>1</v>
      </c>
      <c r="AC17" s="1317">
        <v>1</v>
      </c>
    </row>
    <row r="18" spans="1:29" ht="27">
      <c r="A18" s="743"/>
      <c r="B18" s="1026" t="s">
        <v>2656</v>
      </c>
      <c r="C18" s="156" t="str">
        <f>IF(B1="工业",估价对象房地状况!G6,估价对象房地状况!C8)</f>
        <v>区域基础设施水平达七通</v>
      </c>
      <c r="D18" s="786">
        <v>100</v>
      </c>
      <c r="E18" s="788"/>
      <c r="F18" s="794">
        <f>SUMIF(67:67,E19,68:68)-SUMIF(67:67,C19,68:68)+100</f>
        <v>100</v>
      </c>
      <c r="G18" s="790"/>
      <c r="H18" s="791">
        <f>SUMIF(67:67,G19,68:68)-SUMIF(67:67,C19,68:68)+100</f>
        <v>100</v>
      </c>
      <c r="I18" s="788"/>
      <c r="J18" s="791">
        <f>SUMIF(67:67,I19,68:68)-SUMIF(67:67,C19,68:68)+100</f>
        <v>100</v>
      </c>
      <c r="K18" s="949">
        <v>1</v>
      </c>
      <c r="L18" s="2339"/>
      <c r="M18" s="2330"/>
      <c r="N18" s="2330"/>
      <c r="O18" s="2330"/>
      <c r="P18" s="3594"/>
      <c r="Q18" s="2812" t="str">
        <f>B18</f>
        <v>基础设施水平</v>
      </c>
      <c r="R18" s="1314" t="s">
        <v>65</v>
      </c>
      <c r="S18" s="1315">
        <f>F18</f>
        <v>100</v>
      </c>
      <c r="T18" s="1314" t="s">
        <v>65</v>
      </c>
      <c r="U18" s="1315">
        <f>H18</f>
        <v>100</v>
      </c>
      <c r="V18" s="1314" t="s">
        <v>65</v>
      </c>
      <c r="W18" s="1315">
        <f>J18</f>
        <v>100</v>
      </c>
      <c r="X18" s="2811"/>
      <c r="Y18" s="3594"/>
      <c r="Z18" s="2813" t="str">
        <f>Q18</f>
        <v>基础设施水平</v>
      </c>
      <c r="AA18" s="1317">
        <f t="shared" ref="AA18" si="8">D18/F18</f>
        <v>1</v>
      </c>
      <c r="AB18" s="1317">
        <f t="shared" ref="AB18" si="9">D18/H18</f>
        <v>1</v>
      </c>
      <c r="AC18" s="1317">
        <f t="shared" ref="AC18" si="10">D18/J18</f>
        <v>1</v>
      </c>
    </row>
    <row r="19" spans="1:29" ht="15">
      <c r="A19" s="743"/>
      <c r="B19" s="968"/>
      <c r="C19" s="102" t="s">
        <v>3082</v>
      </c>
      <c r="D19" s="786"/>
      <c r="E19" s="102" t="s">
        <v>3082</v>
      </c>
      <c r="F19" s="789"/>
      <c r="G19" s="102" t="s">
        <v>3082</v>
      </c>
      <c r="H19" s="784"/>
      <c r="I19" s="102" t="s">
        <v>3082</v>
      </c>
      <c r="J19" s="784"/>
      <c r="K19" s="2748"/>
      <c r="L19" s="2339"/>
      <c r="M19" s="2330"/>
      <c r="N19" s="2330"/>
      <c r="O19" s="2330"/>
      <c r="P19" s="3594"/>
      <c r="Q19" s="2812"/>
      <c r="R19" s="1314"/>
      <c r="S19" s="1315"/>
      <c r="T19" s="1314"/>
      <c r="U19" s="1315"/>
      <c r="V19" s="1314"/>
      <c r="W19" s="1315"/>
      <c r="X19" s="2811"/>
      <c r="Y19" s="3594"/>
      <c r="Z19" s="2813"/>
      <c r="AA19" s="1317">
        <v>1</v>
      </c>
      <c r="AB19" s="1317">
        <v>1</v>
      </c>
      <c r="AC19" s="1317">
        <v>1</v>
      </c>
    </row>
    <row r="20" spans="1:29" ht="67.5">
      <c r="A20" s="743"/>
      <c r="B20" s="966" t="s">
        <v>454</v>
      </c>
      <c r="C20" s="156" t="str">
        <f>IF(B1="工业",估价对象房地状况!G7,估价对象房地状况!C9)</f>
        <v>周边有北京广播电视大学、康庄公园；综合评价环境状况较好</v>
      </c>
      <c r="D20" s="791">
        <v>100</v>
      </c>
      <c r="E20" s="793"/>
      <c r="F20" s="794">
        <f>SUMIF(69:69,E21,70:70)-SUMIF(69:69,C21,70:70)+100</f>
        <v>99.5</v>
      </c>
      <c r="G20" s="795"/>
      <c r="H20" s="786">
        <f>SUMIF(69:69,G21,70:70)-SUMIF(69:69,C21,70:70)+100</f>
        <v>99.5</v>
      </c>
      <c r="I20" s="788"/>
      <c r="J20" s="786">
        <f>SUMIF(69:69,I21,70:70)-SUMIF(69:69,C21,70:70)+100</f>
        <v>99.5</v>
      </c>
      <c r="K20" s="949">
        <v>0.5</v>
      </c>
      <c r="L20" s="2339"/>
      <c r="M20" s="2330"/>
      <c r="N20" s="2330"/>
      <c r="O20" s="2330"/>
      <c r="P20" s="3594"/>
      <c r="Q20" s="2812" t="str">
        <f>B20</f>
        <v>自然及人文环境</v>
      </c>
      <c r="R20" s="1314" t="s">
        <v>65</v>
      </c>
      <c r="S20" s="1315">
        <f>F20</f>
        <v>99.5</v>
      </c>
      <c r="T20" s="1314" t="s">
        <v>65</v>
      </c>
      <c r="U20" s="1315">
        <f>H20</f>
        <v>99.5</v>
      </c>
      <c r="V20" s="1314" t="s">
        <v>65</v>
      </c>
      <c r="W20" s="1315">
        <f>J20</f>
        <v>99.5</v>
      </c>
      <c r="X20" s="2811"/>
      <c r="Y20" s="3594"/>
      <c r="Z20" s="2813" t="str">
        <f>Q20</f>
        <v>自然及人文环境</v>
      </c>
      <c r="AA20" s="1317">
        <f t="shared" si="3"/>
        <v>1.0050251256281406</v>
      </c>
      <c r="AB20" s="1317">
        <f t="shared" si="4"/>
        <v>1.0050251256281406</v>
      </c>
      <c r="AC20" s="1317">
        <f t="shared" si="5"/>
        <v>1.0050251256281406</v>
      </c>
    </row>
    <row r="21" spans="1:29" ht="15">
      <c r="A21" s="743"/>
      <c r="B21" s="967"/>
      <c r="C21" s="783" t="s">
        <v>3081</v>
      </c>
      <c r="D21" s="784"/>
      <c r="E21" s="783" t="s">
        <v>3080</v>
      </c>
      <c r="F21" s="785"/>
      <c r="G21" s="783" t="s">
        <v>3080</v>
      </c>
      <c r="H21" s="784"/>
      <c r="I21" s="783" t="s">
        <v>3080</v>
      </c>
      <c r="J21" s="784"/>
      <c r="K21" s="950"/>
      <c r="L21" s="2339"/>
      <c r="M21" s="2330"/>
      <c r="N21" s="2330"/>
      <c r="O21" s="2330"/>
      <c r="P21" s="3594"/>
      <c r="Q21" s="2812"/>
      <c r="R21" s="1314"/>
      <c r="S21" s="1315"/>
      <c r="T21" s="1314"/>
      <c r="U21" s="1315"/>
      <c r="V21" s="1314"/>
      <c r="W21" s="1315"/>
      <c r="X21" s="2811"/>
      <c r="Y21" s="3594"/>
      <c r="Z21" s="2813"/>
      <c r="AA21" s="1317">
        <v>1</v>
      </c>
      <c r="AB21" s="1317">
        <v>1</v>
      </c>
      <c r="AC21" s="1317">
        <v>1</v>
      </c>
    </row>
    <row r="22" spans="1:29" ht="15">
      <c r="A22" s="743"/>
      <c r="B22" s="966" t="s">
        <v>455</v>
      </c>
      <c r="C22" s="951"/>
      <c r="D22" s="786">
        <v>100</v>
      </c>
      <c r="E22" s="951"/>
      <c r="F22" s="797">
        <f>SUMIF(71:71,E22,72:72)-SUMIF(71:71,C22,72:72)+100</f>
        <v>100</v>
      </c>
      <c r="G22" s="951"/>
      <c r="H22" s="771">
        <f>SUMIF(71:71,G22,72:72)-SUMIF(71:71,C22,72:72)+100</f>
        <v>100</v>
      </c>
      <c r="I22" s="951"/>
      <c r="J22" s="771">
        <f>SUMIF(71:71,I22,72:72)-SUMIF(71:71,C22,72:72)+100</f>
        <v>100</v>
      </c>
      <c r="K22" s="947"/>
      <c r="L22" s="2339"/>
      <c r="M22" s="2330"/>
      <c r="N22" s="2330"/>
      <c r="O22" s="2330"/>
      <c r="P22" s="3594"/>
      <c r="Q22" s="2812" t="str">
        <f>B22</f>
        <v>楼层</v>
      </c>
      <c r="R22" s="1314" t="s">
        <v>65</v>
      </c>
      <c r="S22" s="1315">
        <f>F22</f>
        <v>100</v>
      </c>
      <c r="T22" s="1314" t="s">
        <v>65</v>
      </c>
      <c r="U22" s="1315">
        <f>H22</f>
        <v>100</v>
      </c>
      <c r="V22" s="1314" t="s">
        <v>65</v>
      </c>
      <c r="W22" s="1315">
        <f>J22</f>
        <v>100</v>
      </c>
      <c r="X22" s="2811"/>
      <c r="Y22" s="3594"/>
      <c r="Z22" s="2813" t="str">
        <f>Q22</f>
        <v>楼层</v>
      </c>
      <c r="AA22" s="1317">
        <f t="shared" si="3"/>
        <v>1</v>
      </c>
      <c r="AB22" s="1317">
        <f t="shared" si="4"/>
        <v>1</v>
      </c>
      <c r="AC22" s="1317">
        <f t="shared" si="5"/>
        <v>1</v>
      </c>
    </row>
    <row r="23" spans="1:29" ht="15">
      <c r="A23" s="743"/>
      <c r="B23" s="983"/>
      <c r="C23" s="768"/>
      <c r="D23" s="771">
        <v>100</v>
      </c>
      <c r="E23" s="768"/>
      <c r="F23" s="797">
        <f>SUMIF(73:73,E23,74:74)-SUMIF(73:73,C23,74:74)+100</f>
        <v>100</v>
      </c>
      <c r="G23" s="768"/>
      <c r="H23" s="771">
        <f>SUMIF(73:73,G23,74:74)-SUMIF(73:73,C23,74:74)+100</f>
        <v>100</v>
      </c>
      <c r="I23" s="768"/>
      <c r="J23" s="771">
        <f>SUMIF(73:73,I23,74:74)-SUMIF(73:73,C23,74:74)+100</f>
        <v>100</v>
      </c>
      <c r="K23" s="948"/>
      <c r="L23" s="2339"/>
      <c r="M23" s="2330"/>
      <c r="N23" s="2330"/>
      <c r="O23" s="2330"/>
      <c r="P23" s="3594"/>
      <c r="Q23" s="2812">
        <f>B23</f>
        <v>0</v>
      </c>
      <c r="R23" s="1314" t="s">
        <v>65</v>
      </c>
      <c r="S23" s="1315">
        <f>F23</f>
        <v>100</v>
      </c>
      <c r="T23" s="1314" t="s">
        <v>65</v>
      </c>
      <c r="U23" s="1315">
        <f>H23</f>
        <v>100</v>
      </c>
      <c r="V23" s="1314" t="s">
        <v>65</v>
      </c>
      <c r="W23" s="1315">
        <f>J23</f>
        <v>100</v>
      </c>
      <c r="X23" s="2811"/>
      <c r="Y23" s="3594"/>
      <c r="Z23" s="2813">
        <f>Q23</f>
        <v>0</v>
      </c>
      <c r="AA23" s="1317">
        <f t="shared" si="3"/>
        <v>1</v>
      </c>
      <c r="AB23" s="1317">
        <f t="shared" si="4"/>
        <v>1</v>
      </c>
      <c r="AC23" s="1317">
        <f t="shared" si="5"/>
        <v>1</v>
      </c>
    </row>
    <row r="24" spans="1:29" ht="15">
      <c r="A24" s="743"/>
      <c r="B24" s="983"/>
      <c r="C24" s="768"/>
      <c r="D24" s="771">
        <v>100</v>
      </c>
      <c r="E24" s="768"/>
      <c r="F24" s="797">
        <f>SUMIF(75:75,E24,76:76)-SUMIF(75:75,C24,76:76)+100</f>
        <v>100</v>
      </c>
      <c r="G24" s="768"/>
      <c r="H24" s="771">
        <f>SUMIF(75:75,G24,76:76)-SUMIF(75:75,C24,76:76)+100</f>
        <v>100</v>
      </c>
      <c r="I24" s="768"/>
      <c r="J24" s="771">
        <f>SUMIF(75:75,I24,76:76)-SUMIF(75:75,C24,76:76)+100</f>
        <v>100</v>
      </c>
      <c r="K24" s="948"/>
      <c r="L24" s="2339"/>
      <c r="M24" s="2330"/>
      <c r="N24" s="2330"/>
      <c r="O24" s="2330"/>
      <c r="P24" s="3594"/>
      <c r="Q24" s="2812">
        <f t="shared" ref="Q24:Q36" si="11">B24</f>
        <v>0</v>
      </c>
      <c r="R24" s="1314" t="s">
        <v>65</v>
      </c>
      <c r="S24" s="1315">
        <f>F24</f>
        <v>100</v>
      </c>
      <c r="T24" s="1314" t="s">
        <v>65</v>
      </c>
      <c r="U24" s="1315">
        <f>H24</f>
        <v>100</v>
      </c>
      <c r="V24" s="1314" t="s">
        <v>65</v>
      </c>
      <c r="W24" s="1315">
        <f>J24</f>
        <v>100</v>
      </c>
      <c r="X24" s="2811"/>
      <c r="Y24" s="3594"/>
      <c r="Z24" s="2813">
        <f>Q24</f>
        <v>0</v>
      </c>
      <c r="AA24" s="1317">
        <f t="shared" si="3"/>
        <v>1</v>
      </c>
      <c r="AB24" s="1317">
        <f t="shared" si="4"/>
        <v>1</v>
      </c>
      <c r="AC24" s="1317">
        <f t="shared" si="5"/>
        <v>1</v>
      </c>
    </row>
    <row r="25" spans="1:29" s="404" customFormat="1" ht="15.75" thickBot="1">
      <c r="A25" s="984"/>
      <c r="B25" s="970"/>
      <c r="C25" s="773"/>
      <c r="D25" s="985">
        <v>100</v>
      </c>
      <c r="E25" s="963"/>
      <c r="F25" s="986">
        <f>SUMIF(77:77,E25,78:78)-SUMIF(77:77,C25,78:78)+100</f>
        <v>100</v>
      </c>
      <c r="G25" s="963"/>
      <c r="H25" s="985">
        <f>SUMIF(77:77,G25,78:78)-SUMIF(77:77,C25,78:78)+100</f>
        <v>100</v>
      </c>
      <c r="I25" s="963"/>
      <c r="J25" s="985">
        <f>SUMIF(77:77,I25,78:78)-SUMIF(77:77,C25,78:78)+100</f>
        <v>100</v>
      </c>
      <c r="K25" s="948"/>
      <c r="L25" s="2331"/>
      <c r="M25" s="2332"/>
      <c r="N25" s="2332"/>
      <c r="O25" s="2332"/>
      <c r="P25" s="3594"/>
      <c r="Q25" s="2810">
        <f t="shared" si="11"/>
        <v>0</v>
      </c>
      <c r="R25" s="1309" t="s">
        <v>65</v>
      </c>
      <c r="S25" s="1310">
        <f>F25</f>
        <v>100</v>
      </c>
      <c r="T25" s="1309" t="s">
        <v>65</v>
      </c>
      <c r="U25" s="1310">
        <f>H25</f>
        <v>100</v>
      </c>
      <c r="V25" s="1309" t="s">
        <v>65</v>
      </c>
      <c r="W25" s="1310">
        <f>J25</f>
        <v>100</v>
      </c>
      <c r="X25" s="1311"/>
      <c r="Y25" s="3594"/>
      <c r="Z25" s="342">
        <f>Q25</f>
        <v>0</v>
      </c>
      <c r="AA25" s="1317">
        <f>D25/F25</f>
        <v>1</v>
      </c>
      <c r="AB25" s="1317">
        <f>D25/H25</f>
        <v>1</v>
      </c>
      <c r="AC25" s="1317">
        <f>D25/J25</f>
        <v>1</v>
      </c>
    </row>
    <row r="26" spans="1:29" ht="15">
      <c r="A26" s="987" t="s">
        <v>405</v>
      </c>
      <c r="B26" s="358" t="s">
        <v>456</v>
      </c>
      <c r="C26" s="2749" t="str">
        <f>B1</f>
        <v>住宅</v>
      </c>
      <c r="D26" s="784">
        <v>100</v>
      </c>
      <c r="E26" s="3358" t="s">
        <v>3117</v>
      </c>
      <c r="F26" s="785">
        <f>SUMIF(79:79,E26,80:80)-SUMIF(79:79,C26,80:80)+100</f>
        <v>100</v>
      </c>
      <c r="G26" s="3358" t="s">
        <v>3117</v>
      </c>
      <c r="H26" s="784">
        <f>SUMIF(79:79,G26,80:80)-SUMIF(79:79,C26,80:80)+100</f>
        <v>100</v>
      </c>
      <c r="I26" s="3358" t="s">
        <v>3117</v>
      </c>
      <c r="J26" s="784">
        <f>SUMIF(79:79,I26,80:80)-SUMIF(79:79,C26,80:80)+100</f>
        <v>100</v>
      </c>
      <c r="K26" s="947">
        <v>2</v>
      </c>
      <c r="L26" s="2339"/>
      <c r="M26" s="2330"/>
      <c r="N26" s="2330"/>
      <c r="O26" s="2330"/>
      <c r="P26" s="3595" t="s">
        <v>406</v>
      </c>
      <c r="Q26" s="2812" t="str">
        <f t="shared" si="11"/>
        <v>配套类型</v>
      </c>
      <c r="R26" s="1314" t="s">
        <v>65</v>
      </c>
      <c r="S26" s="1315">
        <f t="shared" ref="S26:S36" si="12">F26</f>
        <v>100</v>
      </c>
      <c r="T26" s="1314" t="s">
        <v>65</v>
      </c>
      <c r="U26" s="1315">
        <f t="shared" ref="U26:U36" si="13">H26</f>
        <v>100</v>
      </c>
      <c r="V26" s="1314" t="s">
        <v>65</v>
      </c>
      <c r="W26" s="1315">
        <f t="shared" ref="W26:W36" si="14">J26</f>
        <v>100</v>
      </c>
      <c r="X26" s="2811"/>
      <c r="Y26" s="3596" t="s">
        <v>406</v>
      </c>
      <c r="Z26" s="2813" t="str">
        <f t="shared" ref="Z26:Z36" si="15">Q26</f>
        <v>配套类型</v>
      </c>
      <c r="AA26" s="1317">
        <f t="shared" si="3"/>
        <v>1</v>
      </c>
      <c r="AB26" s="1317">
        <f t="shared" si="4"/>
        <v>1</v>
      </c>
      <c r="AC26" s="1317">
        <f t="shared" si="5"/>
        <v>1</v>
      </c>
    </row>
    <row r="27" spans="1:29" s="806" customFormat="1" ht="15">
      <c r="A27" s="988"/>
      <c r="B27" s="989" t="s">
        <v>457</v>
      </c>
      <c r="C27" s="990"/>
      <c r="D27" s="422">
        <v>100</v>
      </c>
      <c r="E27" s="990"/>
      <c r="F27" s="797">
        <f>SUMIF(81:81,E27,82:82)-SUMIF(81:81,C27,82:82)+100</f>
        <v>100</v>
      </c>
      <c r="G27" s="990"/>
      <c r="H27" s="771">
        <f>SUMIF(81:81,G27,82:82)-SUMIF(81:81,C27,82:82)+100</f>
        <v>100</v>
      </c>
      <c r="I27" s="990"/>
      <c r="J27" s="771">
        <f>SUMIF(81:81,I27,82:82)-SUMIF(81:81,C27,82:82)+100</f>
        <v>100</v>
      </c>
      <c r="K27" s="948"/>
      <c r="L27" s="2337"/>
      <c r="M27" s="2340"/>
      <c r="N27" s="2340"/>
      <c r="O27" s="2340"/>
      <c r="P27" s="3596"/>
      <c r="Q27" s="1318" t="str">
        <f t="shared" si="11"/>
        <v>项目停车位配比</v>
      </c>
      <c r="R27" s="1319" t="s">
        <v>65</v>
      </c>
      <c r="S27" s="1320">
        <f t="shared" si="12"/>
        <v>100</v>
      </c>
      <c r="T27" s="1319" t="s">
        <v>65</v>
      </c>
      <c r="U27" s="1320">
        <f t="shared" si="13"/>
        <v>100</v>
      </c>
      <c r="V27" s="1319" t="s">
        <v>65</v>
      </c>
      <c r="W27" s="1320">
        <f t="shared" si="14"/>
        <v>100</v>
      </c>
      <c r="X27" s="1321"/>
      <c r="Y27" s="3596"/>
      <c r="Z27" s="1322" t="str">
        <f t="shared" si="15"/>
        <v>项目停车位配比</v>
      </c>
      <c r="AA27" s="1317">
        <f t="shared" si="3"/>
        <v>1</v>
      </c>
      <c r="AB27" s="1317">
        <f t="shared" si="4"/>
        <v>1</v>
      </c>
      <c r="AC27" s="1317">
        <f t="shared" si="5"/>
        <v>1</v>
      </c>
    </row>
    <row r="28" spans="1:29" ht="15">
      <c r="A28" s="991"/>
      <c r="B28" s="989" t="s">
        <v>458</v>
      </c>
      <c r="C28" s="796" t="s">
        <v>3119</v>
      </c>
      <c r="D28" s="771">
        <v>100</v>
      </c>
      <c r="E28" s="796" t="s">
        <v>3119</v>
      </c>
      <c r="F28" s="797">
        <f>SUMIF(83:83,E28,84:84)-SUMIF(83:83,C28,84:84)+100</f>
        <v>100</v>
      </c>
      <c r="G28" s="796" t="s">
        <v>3119</v>
      </c>
      <c r="H28" s="771">
        <f>SUMIF(83:83,G28,84:84)-SUMIF(83:83,C28,84:84)+100</f>
        <v>100</v>
      </c>
      <c r="I28" s="796" t="s">
        <v>3119</v>
      </c>
      <c r="J28" s="771">
        <f>SUMIF(83:83,I28,84:84)-SUMIF(83:83,C28,84:84)+100</f>
        <v>100</v>
      </c>
      <c r="K28" s="947">
        <v>1</v>
      </c>
      <c r="L28" s="2339"/>
      <c r="M28" s="2330"/>
      <c r="N28" s="2330"/>
      <c r="O28" s="2330"/>
      <c r="P28" s="3596"/>
      <c r="Q28" s="2812" t="str">
        <f t="shared" si="11"/>
        <v>公共部分装修</v>
      </c>
      <c r="R28" s="1314" t="s">
        <v>65</v>
      </c>
      <c r="S28" s="1315">
        <f t="shared" si="12"/>
        <v>100</v>
      </c>
      <c r="T28" s="1314" t="s">
        <v>65</v>
      </c>
      <c r="U28" s="1315">
        <f t="shared" si="13"/>
        <v>100</v>
      </c>
      <c r="V28" s="1314" t="s">
        <v>65</v>
      </c>
      <c r="W28" s="1315">
        <f t="shared" si="14"/>
        <v>100</v>
      </c>
      <c r="X28" s="2811"/>
      <c r="Y28" s="3596"/>
      <c r="Z28" s="2813" t="str">
        <f t="shared" si="15"/>
        <v>公共部分装修</v>
      </c>
      <c r="AA28" s="1317">
        <f t="shared" si="3"/>
        <v>1</v>
      </c>
      <c r="AB28" s="1317">
        <f t="shared" si="4"/>
        <v>1</v>
      </c>
      <c r="AC28" s="1317">
        <f t="shared" si="5"/>
        <v>1</v>
      </c>
    </row>
    <row r="29" spans="1:29" ht="15">
      <c r="A29" s="991"/>
      <c r="B29" s="989" t="s">
        <v>459</v>
      </c>
      <c r="C29" s="809">
        <v>1</v>
      </c>
      <c r="D29" s="771">
        <v>100</v>
      </c>
      <c r="E29" s="809">
        <v>1</v>
      </c>
      <c r="F29" s="797">
        <f>LOOKUP(E29,86:86,87:87)-LOOKUP(C29,86:86,87:87)+100</f>
        <v>100</v>
      </c>
      <c r="G29" s="809">
        <v>1</v>
      </c>
      <c r="H29" s="797">
        <f>LOOKUP(G29,86:86,87:87)-LOOKUP(C29,86:86,87:87)+100</f>
        <v>100</v>
      </c>
      <c r="I29" s="809">
        <f>ROUND(1-(2017-2014)/60,2)</f>
        <v>0.95</v>
      </c>
      <c r="J29" s="771">
        <f>LOOKUP(I29,86:86,87:87)-LOOKUP(C29,86:86,87:87)+100</f>
        <v>100</v>
      </c>
      <c r="K29" s="947">
        <v>1</v>
      </c>
      <c r="L29" s="2339"/>
      <c r="M29" s="2330"/>
      <c r="N29" s="2330"/>
      <c r="O29" s="2330"/>
      <c r="P29" s="3596"/>
      <c r="Q29" s="2812" t="str">
        <f t="shared" si="11"/>
        <v>成新率</v>
      </c>
      <c r="R29" s="1314" t="s">
        <v>65</v>
      </c>
      <c r="S29" s="1315">
        <f t="shared" si="12"/>
        <v>100</v>
      </c>
      <c r="T29" s="1314" t="s">
        <v>65</v>
      </c>
      <c r="U29" s="1315">
        <f t="shared" si="13"/>
        <v>100</v>
      </c>
      <c r="V29" s="1314" t="s">
        <v>65</v>
      </c>
      <c r="W29" s="1315">
        <f t="shared" si="14"/>
        <v>100</v>
      </c>
      <c r="X29" s="2811"/>
      <c r="Y29" s="3596"/>
      <c r="Z29" s="2813" t="str">
        <f t="shared" si="15"/>
        <v>成新率</v>
      </c>
      <c r="AA29" s="1317">
        <f t="shared" si="3"/>
        <v>1</v>
      </c>
      <c r="AB29" s="1317">
        <f t="shared" si="4"/>
        <v>1</v>
      </c>
      <c r="AC29" s="1317">
        <f t="shared" si="5"/>
        <v>1</v>
      </c>
    </row>
    <row r="30" spans="1:29" ht="15">
      <c r="A30" s="991"/>
      <c r="B30" s="989" t="s">
        <v>460</v>
      </c>
      <c r="C30" s="992" t="s">
        <v>3121</v>
      </c>
      <c r="D30" s="771">
        <v>100</v>
      </c>
      <c r="E30" s="992" t="s">
        <v>3121</v>
      </c>
      <c r="F30" s="797">
        <f>SUMIF(88:88,E30,89:89)-SUMIF(88:88,C30,89:89)+100</f>
        <v>100</v>
      </c>
      <c r="G30" s="992" t="s">
        <v>3121</v>
      </c>
      <c r="H30" s="771">
        <f>SUMIF(88:88,E30,89:89)-SUMIF(88:88,C30,89:89)+100</f>
        <v>100</v>
      </c>
      <c r="I30" s="992" t="s">
        <v>3121</v>
      </c>
      <c r="J30" s="771">
        <f>SUMIF(88:88,E30,89:89)-SUMIF(88:88,C30,89:89)+100</f>
        <v>100</v>
      </c>
      <c r="K30" s="947">
        <v>1</v>
      </c>
      <c r="L30" s="2339"/>
      <c r="M30" s="2330"/>
      <c r="N30" s="2330"/>
      <c r="O30" s="2330"/>
      <c r="P30" s="3596"/>
      <c r="Q30" s="2812" t="str">
        <f t="shared" si="11"/>
        <v>物业等级</v>
      </c>
      <c r="R30" s="1314" t="s">
        <v>65</v>
      </c>
      <c r="S30" s="1315">
        <f t="shared" si="12"/>
        <v>100</v>
      </c>
      <c r="T30" s="1314" t="s">
        <v>65</v>
      </c>
      <c r="U30" s="1315">
        <f t="shared" si="13"/>
        <v>100</v>
      </c>
      <c r="V30" s="1314" t="s">
        <v>65</v>
      </c>
      <c r="W30" s="1315">
        <f t="shared" si="14"/>
        <v>100</v>
      </c>
      <c r="X30" s="2811"/>
      <c r="Y30" s="3596"/>
      <c r="Z30" s="2813" t="str">
        <f t="shared" si="15"/>
        <v>物业等级</v>
      </c>
      <c r="AA30" s="1317">
        <f t="shared" si="3"/>
        <v>1</v>
      </c>
      <c r="AB30" s="1317">
        <f t="shared" si="4"/>
        <v>1</v>
      </c>
      <c r="AC30" s="1317">
        <f t="shared" si="5"/>
        <v>1</v>
      </c>
    </row>
    <row r="31" spans="1:29" s="404" customFormat="1" ht="15">
      <c r="A31" s="993"/>
      <c r="B31" s="989" t="s">
        <v>461</v>
      </c>
      <c r="C31" s="804">
        <f>D3/F3</f>
        <v>33.481038961038962</v>
      </c>
      <c r="D31" s="422">
        <v>100</v>
      </c>
      <c r="E31" s="804">
        <v>40.799999999999997</v>
      </c>
      <c r="F31" s="797">
        <f>LOOKUP(E31,91:91,92:92)-LOOKUP(C31,91:91,92:92)+100</f>
        <v>100</v>
      </c>
      <c r="G31" s="804">
        <v>30.5</v>
      </c>
      <c r="H31" s="771">
        <f>LOOKUP(G31,91:91,92:92)-LOOKUP(C31,91:91,92:92)+100</f>
        <v>100</v>
      </c>
      <c r="I31" s="804">
        <v>34</v>
      </c>
      <c r="J31" s="771">
        <f>LOOKUP(I31,91:91,92:92)-LOOKUP(C31,91:91,92:92)+100</f>
        <v>100</v>
      </c>
      <c r="K31" s="947">
        <v>1</v>
      </c>
      <c r="L31" s="2331"/>
      <c r="M31" s="2332"/>
      <c r="N31" s="2332"/>
      <c r="O31" s="2332"/>
      <c r="P31" s="3596"/>
      <c r="Q31" s="2810" t="str">
        <f t="shared" si="11"/>
        <v>停车位面积</v>
      </c>
      <c r="R31" s="1309" t="s">
        <v>65</v>
      </c>
      <c r="S31" s="1310">
        <f t="shared" si="12"/>
        <v>100</v>
      </c>
      <c r="T31" s="1309" t="s">
        <v>65</v>
      </c>
      <c r="U31" s="1310">
        <f t="shared" si="13"/>
        <v>100</v>
      </c>
      <c r="V31" s="1309" t="s">
        <v>65</v>
      </c>
      <c r="W31" s="1310">
        <f t="shared" si="14"/>
        <v>100</v>
      </c>
      <c r="X31" s="1311"/>
      <c r="Y31" s="3596"/>
      <c r="Z31" s="342" t="str">
        <f t="shared" si="15"/>
        <v>停车位面积</v>
      </c>
      <c r="AA31" s="1312">
        <f t="shared" si="3"/>
        <v>1</v>
      </c>
      <c r="AB31" s="1312">
        <f t="shared" si="4"/>
        <v>1</v>
      </c>
      <c r="AC31" s="1312">
        <f t="shared" si="5"/>
        <v>1</v>
      </c>
    </row>
    <row r="32" spans="1:29" ht="15">
      <c r="A32" s="991"/>
      <c r="B32" s="989" t="s">
        <v>462</v>
      </c>
      <c r="C32" s="796" t="s">
        <v>3123</v>
      </c>
      <c r="D32" s="771">
        <v>100</v>
      </c>
      <c r="E32" s="796" t="s">
        <v>3123</v>
      </c>
      <c r="F32" s="797">
        <f>SUMIF(93:93,E32,94:94)-SUMIF(93:93,C32,94:94)+100</f>
        <v>100</v>
      </c>
      <c r="G32" s="796" t="s">
        <v>3123</v>
      </c>
      <c r="H32" s="771">
        <f>SUMIF(93:93,G32,94:94)-SUMIF(93:93,C32,94:94)+100</f>
        <v>100</v>
      </c>
      <c r="I32" s="796" t="s">
        <v>3123</v>
      </c>
      <c r="J32" s="771">
        <f>SUMIF(93:93,I32,94:94)-SUMIF(93:93,C32,94:94)+100</f>
        <v>100</v>
      </c>
      <c r="K32" s="947">
        <v>1</v>
      </c>
      <c r="L32" s="2339"/>
      <c r="M32" s="2330"/>
      <c r="N32" s="2330"/>
      <c r="O32" s="2330"/>
      <c r="P32" s="3596" t="s">
        <v>406</v>
      </c>
      <c r="Q32" s="2812" t="str">
        <f t="shared" si="11"/>
        <v>车位类型</v>
      </c>
      <c r="R32" s="1314" t="s">
        <v>65</v>
      </c>
      <c r="S32" s="1315">
        <f t="shared" si="12"/>
        <v>100</v>
      </c>
      <c r="T32" s="1314" t="s">
        <v>65</v>
      </c>
      <c r="U32" s="1315">
        <f t="shared" si="13"/>
        <v>100</v>
      </c>
      <c r="V32" s="1314" t="s">
        <v>65</v>
      </c>
      <c r="W32" s="1315">
        <f t="shared" si="14"/>
        <v>100</v>
      </c>
      <c r="X32" s="2811"/>
      <c r="Y32" s="3596" t="s">
        <v>406</v>
      </c>
      <c r="Z32" s="2813" t="str">
        <f t="shared" si="15"/>
        <v>车位类型</v>
      </c>
      <c r="AA32" s="1317">
        <f t="shared" si="3"/>
        <v>1</v>
      </c>
      <c r="AB32" s="1317">
        <f t="shared" si="4"/>
        <v>1</v>
      </c>
      <c r="AC32" s="1317">
        <f t="shared" si="5"/>
        <v>1</v>
      </c>
    </row>
    <row r="33" spans="1:29" ht="15">
      <c r="A33" s="991"/>
      <c r="B33" s="989" t="s">
        <v>463</v>
      </c>
      <c r="C33" s="796" t="s">
        <v>41</v>
      </c>
      <c r="D33" s="771">
        <v>100</v>
      </c>
      <c r="E33" s="796" t="s">
        <v>41</v>
      </c>
      <c r="F33" s="797">
        <f>SUMIF(95:95,E33,96:96)-SUMIF(95:95,C33,96:96)+100</f>
        <v>100</v>
      </c>
      <c r="G33" s="796" t="s">
        <v>41</v>
      </c>
      <c r="H33" s="771">
        <f>SUMIF(95:95,G33,96:96)-SUMIF(95:95,C33,96:96)+100</f>
        <v>100</v>
      </c>
      <c r="I33" s="796" t="s">
        <v>41</v>
      </c>
      <c r="J33" s="771">
        <f>SUMIF(95:95,I33,96:96)-SUMIF(95:95,C33,96:96)+100</f>
        <v>100</v>
      </c>
      <c r="K33" s="947">
        <v>1</v>
      </c>
      <c r="L33" s="2339"/>
      <c r="M33" s="2330"/>
      <c r="N33" s="2330"/>
      <c r="O33" s="2330"/>
      <c r="P33" s="3596"/>
      <c r="Q33" s="2812" t="str">
        <f t="shared" si="11"/>
        <v>是否直接入户</v>
      </c>
      <c r="R33" s="1314" t="s">
        <v>65</v>
      </c>
      <c r="S33" s="1315">
        <f t="shared" si="12"/>
        <v>100</v>
      </c>
      <c r="T33" s="1314" t="s">
        <v>65</v>
      </c>
      <c r="U33" s="1315">
        <f t="shared" si="13"/>
        <v>100</v>
      </c>
      <c r="V33" s="1314" t="s">
        <v>65</v>
      </c>
      <c r="W33" s="1315">
        <f t="shared" si="14"/>
        <v>100</v>
      </c>
      <c r="X33" s="2811"/>
      <c r="Y33" s="3596"/>
      <c r="Z33" s="2813" t="str">
        <f t="shared" si="15"/>
        <v>是否直接入户</v>
      </c>
      <c r="AA33" s="1317">
        <f t="shared" si="3"/>
        <v>1</v>
      </c>
      <c r="AB33" s="1317">
        <f t="shared" si="4"/>
        <v>1</v>
      </c>
      <c r="AC33" s="1317">
        <f t="shared" si="5"/>
        <v>1</v>
      </c>
    </row>
    <row r="34" spans="1:29" ht="15">
      <c r="A34" s="991"/>
      <c r="B34" s="983"/>
      <c r="C34" s="768"/>
      <c r="D34" s="771">
        <v>100</v>
      </c>
      <c r="E34" s="768"/>
      <c r="F34" s="797">
        <f>SUMIF(97:97,E34,98:98)-SUMIF(97:97,C34,98:98)+100</f>
        <v>100</v>
      </c>
      <c r="G34" s="768"/>
      <c r="H34" s="771">
        <f>SUMIF(97:97,G34,98:98)-SUMIF(97:97,C34,98:98)+100</f>
        <v>100</v>
      </c>
      <c r="I34" s="768"/>
      <c r="J34" s="771">
        <f>SUMIF(97:97,I34,98:98)-SUMIF(97:97,C34,98:98)+100</f>
        <v>100</v>
      </c>
      <c r="K34" s="948"/>
      <c r="L34" s="2339"/>
      <c r="M34" s="2330"/>
      <c r="N34" s="2330"/>
      <c r="O34" s="2330"/>
      <c r="P34" s="3596"/>
      <c r="Q34" s="2812">
        <f t="shared" si="11"/>
        <v>0</v>
      </c>
      <c r="R34" s="1314" t="s">
        <v>65</v>
      </c>
      <c r="S34" s="1315">
        <f t="shared" si="12"/>
        <v>100</v>
      </c>
      <c r="T34" s="1314" t="s">
        <v>65</v>
      </c>
      <c r="U34" s="1315">
        <f t="shared" si="13"/>
        <v>100</v>
      </c>
      <c r="V34" s="1314" t="s">
        <v>65</v>
      </c>
      <c r="W34" s="1315">
        <f t="shared" si="14"/>
        <v>100</v>
      </c>
      <c r="X34" s="2811"/>
      <c r="Y34" s="3596"/>
      <c r="Z34" s="2813">
        <f t="shared" si="15"/>
        <v>0</v>
      </c>
      <c r="AA34" s="1317">
        <f t="shared" si="3"/>
        <v>1</v>
      </c>
      <c r="AB34" s="1317">
        <f t="shared" si="4"/>
        <v>1</v>
      </c>
      <c r="AC34" s="1317">
        <f t="shared" si="5"/>
        <v>1</v>
      </c>
    </row>
    <row r="35" spans="1:29" s="806" customFormat="1" ht="15">
      <c r="A35" s="988"/>
      <c r="B35" s="983"/>
      <c r="C35" s="768"/>
      <c r="D35" s="771">
        <v>100</v>
      </c>
      <c r="E35" s="768"/>
      <c r="F35" s="797">
        <f>SUMIF(99:99,E35,100:100)-SUMIF(99:99,C35,100:100)+100</f>
        <v>100</v>
      </c>
      <c r="G35" s="768"/>
      <c r="H35" s="771">
        <f>SUMIF(99:99,G35,100:100)-SUMIF(99:99,C35,100:100)+100</f>
        <v>100</v>
      </c>
      <c r="I35" s="768"/>
      <c r="J35" s="771">
        <f>SUMIF(99:99,I35,100:100)-SUMIF(99:99,C35,100:100)+100</f>
        <v>100</v>
      </c>
      <c r="K35" s="948"/>
      <c r="L35" s="2337"/>
      <c r="M35" s="2340"/>
      <c r="N35" s="2340"/>
      <c r="O35" s="2340"/>
      <c r="P35" s="3596"/>
      <c r="Q35" s="1318">
        <f t="shared" si="11"/>
        <v>0</v>
      </c>
      <c r="R35" s="1319" t="s">
        <v>65</v>
      </c>
      <c r="S35" s="1320">
        <f t="shared" si="12"/>
        <v>100</v>
      </c>
      <c r="T35" s="1319" t="s">
        <v>65</v>
      </c>
      <c r="U35" s="1320">
        <f t="shared" si="13"/>
        <v>100</v>
      </c>
      <c r="V35" s="1319" t="s">
        <v>65</v>
      </c>
      <c r="W35" s="1320">
        <f t="shared" si="14"/>
        <v>100</v>
      </c>
      <c r="X35" s="1321"/>
      <c r="Y35" s="3596"/>
      <c r="Z35" s="1322">
        <f t="shared" si="15"/>
        <v>0</v>
      </c>
      <c r="AA35" s="1317">
        <f t="shared" si="3"/>
        <v>1</v>
      </c>
      <c r="AB35" s="1317">
        <f t="shared" si="4"/>
        <v>1</v>
      </c>
      <c r="AC35" s="1317">
        <f t="shared" si="5"/>
        <v>1</v>
      </c>
    </row>
    <row r="36" spans="1:29" ht="15.75" thickBot="1">
      <c r="A36" s="994"/>
      <c r="B36" s="970"/>
      <c r="C36" s="770"/>
      <c r="D36" s="771">
        <v>100</v>
      </c>
      <c r="E36" s="768"/>
      <c r="F36" s="797">
        <f>SUMIF(101:101,E36,102:102)-SUMIF(101:101,C36,102:102)+100</f>
        <v>100</v>
      </c>
      <c r="G36" s="768"/>
      <c r="H36" s="771">
        <f>SUMIF(101:101,G36,102:102)-SUMIF(101:101,C36,102:102)+100</f>
        <v>100</v>
      </c>
      <c r="I36" s="768"/>
      <c r="J36" s="771">
        <f>SUMIF(101:101,I36,102:102)-SUMIF(101:101,C36,102:102)+100</f>
        <v>100</v>
      </c>
      <c r="K36" s="948"/>
      <c r="L36" s="2339"/>
      <c r="M36" s="2330"/>
      <c r="N36" s="2330"/>
      <c r="O36" s="2330"/>
      <c r="P36" s="3596"/>
      <c r="Q36" s="2812">
        <f t="shared" si="11"/>
        <v>0</v>
      </c>
      <c r="R36" s="1314" t="s">
        <v>65</v>
      </c>
      <c r="S36" s="1315">
        <f t="shared" si="12"/>
        <v>100</v>
      </c>
      <c r="T36" s="1314" t="s">
        <v>65</v>
      </c>
      <c r="U36" s="1315">
        <f t="shared" si="13"/>
        <v>100</v>
      </c>
      <c r="V36" s="1314" t="s">
        <v>65</v>
      </c>
      <c r="W36" s="1315">
        <f t="shared" si="14"/>
        <v>100</v>
      </c>
      <c r="X36" s="2811"/>
      <c r="Y36" s="3596"/>
      <c r="Z36" s="2813">
        <f t="shared" si="15"/>
        <v>0</v>
      </c>
      <c r="AA36" s="1317">
        <f t="shared" si="3"/>
        <v>1</v>
      </c>
      <c r="AB36" s="1317">
        <f t="shared" si="4"/>
        <v>1</v>
      </c>
      <c r="AC36" s="1317">
        <f t="shared" si="5"/>
        <v>1</v>
      </c>
    </row>
    <row r="37" spans="1:29" ht="15">
      <c r="A37" s="161" t="s">
        <v>2124</v>
      </c>
      <c r="B37" s="2080" t="s">
        <v>2125</v>
      </c>
      <c r="C37" s="2814" t="s">
        <v>23</v>
      </c>
      <c r="D37" s="2815"/>
      <c r="E37" s="2816">
        <f>Sheet2!M2</f>
        <v>294150</v>
      </c>
      <c r="F37" s="2817"/>
      <c r="G37" s="2818">
        <f>Sheet2!M8</f>
        <v>246600</v>
      </c>
      <c r="H37" s="2819"/>
      <c r="I37" s="2816">
        <f>Sheet2!M12</f>
        <v>267000</v>
      </c>
      <c r="J37" s="2819"/>
      <c r="K37" s="954"/>
      <c r="L37" s="2342"/>
      <c r="M37" s="2343"/>
      <c r="N37" s="2330"/>
      <c r="O37" s="2343"/>
      <c r="P37" s="3592" t="str">
        <f>A37</f>
        <v>成交单价</v>
      </c>
      <c r="Q37" s="3592"/>
      <c r="R37" s="3723">
        <f>E37</f>
        <v>294150</v>
      </c>
      <c r="S37" s="3723"/>
      <c r="T37" s="3723">
        <f>G37</f>
        <v>246600</v>
      </c>
      <c r="U37" s="3723"/>
      <c r="V37" s="3723">
        <f>I37</f>
        <v>267000</v>
      </c>
      <c r="W37" s="3723"/>
      <c r="X37" s="1297"/>
      <c r="Y37" s="1323"/>
      <c r="Z37" s="1297"/>
      <c r="AA37" s="1297"/>
      <c r="AB37" s="1297"/>
      <c r="AC37" s="1297"/>
    </row>
    <row r="38" spans="1:29" ht="15.75" thickBot="1">
      <c r="A38" s="821" t="s">
        <v>408</v>
      </c>
      <c r="B38" s="164" t="str">
        <f>B37</f>
        <v>元/车位</v>
      </c>
      <c r="C38" s="2820">
        <f>R39</f>
        <v>270492</v>
      </c>
      <c r="D38" s="2821"/>
      <c r="E38" s="2822">
        <f>R38</f>
        <v>292701</v>
      </c>
      <c r="F38" s="2822"/>
      <c r="G38" s="2820">
        <f>T38</f>
        <v>249085</v>
      </c>
      <c r="H38" s="2821"/>
      <c r="I38" s="2822">
        <f>V38</f>
        <v>269690</v>
      </c>
      <c r="J38" s="2821"/>
      <c r="K38" s="955"/>
      <c r="L38" s="2342"/>
      <c r="M38" s="2343"/>
      <c r="N38" s="2343"/>
      <c r="O38" s="2343"/>
      <c r="P38" s="3592" t="str">
        <f>A38</f>
        <v>比较价值（元/平方米）</v>
      </c>
      <c r="Q38" s="3592"/>
      <c r="R38" s="3723">
        <f>IF(F1="售价",ROUND(PRODUCT(R37,AA7:AA36),0),ROUND(PRODUCT(R37,AA7:AA36),1))</f>
        <v>292701</v>
      </c>
      <c r="S38" s="3723"/>
      <c r="T38" s="3723">
        <f>IF(F1="售价",ROUND(PRODUCT(T37,AB7:AB36),0),ROUND(PRODUCT(T37,AB7:AB36),1))</f>
        <v>249085</v>
      </c>
      <c r="U38" s="3723"/>
      <c r="V38" s="3723">
        <f>IF(F1="售价",ROUND(PRODUCT(V37,AC7:AC36),0),ROUND(PRODUCT(V37,AC7:AC36),1))</f>
        <v>269690</v>
      </c>
      <c r="W38" s="3723"/>
      <c r="X38" s="1297"/>
      <c r="Y38" s="1297"/>
      <c r="Z38" s="1297"/>
      <c r="AA38" s="1297"/>
      <c r="AB38" s="1297"/>
      <c r="AC38" s="1297"/>
    </row>
    <row r="39" spans="1:29" ht="15.75" thickBot="1">
      <c r="A39" s="827" t="s">
        <v>3010</v>
      </c>
      <c r="B39" s="828"/>
      <c r="C39" s="2824">
        <f>R39</f>
        <v>270492</v>
      </c>
      <c r="D39" s="2824"/>
      <c r="E39" s="2824"/>
      <c r="F39" s="2824"/>
      <c r="G39" s="2824"/>
      <c r="H39" s="2824"/>
      <c r="I39" s="2824"/>
      <c r="J39" s="2824"/>
      <c r="K39" s="956"/>
      <c r="L39" s="2342"/>
      <c r="M39" s="2343"/>
      <c r="N39" s="2343"/>
      <c r="O39" s="2343"/>
      <c r="P39" s="3584" t="str">
        <f>A39</f>
        <v>估价对象XX用房的比较价值（楼面单价，元/平方米）</v>
      </c>
      <c r="Q39" s="3585"/>
      <c r="R39" s="3724">
        <f>IF(F1="售价",ROUND(AVERAGE(R38:V38),0),ROUND(AVERAGE(R38:V38),1))</f>
        <v>270492</v>
      </c>
      <c r="S39" s="3724"/>
      <c r="T39" s="3724"/>
      <c r="U39" s="3724"/>
      <c r="V39" s="3724"/>
      <c r="W39" s="3724"/>
      <c r="X39" s="1297"/>
      <c r="Y39" s="1297"/>
      <c r="Z39" s="1297"/>
      <c r="AA39" s="1297"/>
      <c r="AB39" s="1297"/>
      <c r="AC39" s="1297"/>
    </row>
    <row r="40" spans="1:29">
      <c r="A40" s="2343"/>
      <c r="B40" s="2343"/>
      <c r="C40" s="2343"/>
      <c r="D40" s="2343"/>
      <c r="E40" s="2343"/>
      <c r="F40" s="2343"/>
      <c r="G40" s="2346"/>
      <c r="H40" s="2343"/>
      <c r="I40" s="2343"/>
      <c r="J40" s="2343"/>
      <c r="K40" s="2169"/>
      <c r="L40" s="2170"/>
      <c r="M40" s="2343"/>
      <c r="N40" s="2343"/>
      <c r="O40" s="2343"/>
      <c r="P40" s="2827"/>
      <c r="Q40" s="2343"/>
      <c r="R40" s="2343"/>
      <c r="S40" s="2343"/>
      <c r="T40" s="2343"/>
      <c r="U40" s="2343"/>
      <c r="V40" s="2343"/>
      <c r="W40" s="2343"/>
      <c r="X40" s="2343"/>
      <c r="Y40" s="2343"/>
      <c r="Z40" s="2343"/>
      <c r="AA40" s="2343"/>
      <c r="AB40" s="2343"/>
      <c r="AC40" s="2343"/>
    </row>
    <row r="41" spans="1:29">
      <c r="A41" s="2343"/>
      <c r="B41" s="2343"/>
      <c r="C41" s="2343"/>
      <c r="D41" s="2343"/>
      <c r="E41" s="2343"/>
      <c r="F41" s="2343"/>
      <c r="G41" s="2343"/>
      <c r="H41" s="2343"/>
      <c r="I41" s="2343"/>
      <c r="J41" s="2343"/>
      <c r="K41" s="2169"/>
      <c r="L41" s="2170"/>
      <c r="M41" s="2343"/>
      <c r="N41" s="2343"/>
      <c r="O41" s="2343"/>
      <c r="P41" s="2827"/>
      <c r="Q41" s="2343"/>
      <c r="R41" s="2343"/>
      <c r="S41" s="2343"/>
      <c r="T41" s="2343"/>
      <c r="U41" s="2343"/>
      <c r="V41" s="2343"/>
      <c r="W41" s="2343"/>
      <c r="X41" s="2343"/>
      <c r="Y41" s="2343"/>
      <c r="Z41" s="2343"/>
      <c r="AA41" s="2343"/>
      <c r="AB41" s="2343"/>
      <c r="AC41" s="2343"/>
    </row>
    <row r="42" spans="1:29" ht="13.5" customHeight="1">
      <c r="A42" s="2343"/>
      <c r="B42" s="2343"/>
      <c r="C42" s="832" t="s">
        <v>409</v>
      </c>
      <c r="D42" s="833"/>
      <c r="E42" s="834">
        <f>IF(E37&lt;E38,E38/E37-1,E37/E38-1)</f>
        <v>4.9504443100638618E-3</v>
      </c>
      <c r="F42" s="835" t="str">
        <f>IF(OR(E42&gt;=0.3,E42&lt;=-0.3),"超过30%","")</f>
        <v/>
      </c>
      <c r="G42" s="834">
        <f>IF(G37&lt;G38,G38/G37-1,G37/G38-1)</f>
        <v>1.0077047850770571E-2</v>
      </c>
      <c r="H42" s="835" t="str">
        <f>IF(OR(G42&gt;=0.3,G42&lt;=-0.3),"超过30%","")</f>
        <v/>
      </c>
      <c r="I42" s="834">
        <f>IF(I37&lt;I38,I38/I37-1,I37/I38-1)</f>
        <v>1.0074906367041114E-2</v>
      </c>
      <c r="J42" s="835" t="str">
        <f>IF(OR(I42&gt;=0.3,I42&lt;=-0.3),"超过30%","")</f>
        <v/>
      </c>
      <c r="K42" s="2169"/>
      <c r="L42" s="2170"/>
      <c r="M42" s="2343"/>
      <c r="N42" s="2343"/>
      <c r="O42" s="2343"/>
      <c r="P42" s="2827"/>
      <c r="Q42" s="2343"/>
      <c r="R42" s="2343"/>
      <c r="S42" s="2343"/>
      <c r="T42" s="2343"/>
      <c r="U42" s="2343"/>
      <c r="V42" s="2343"/>
      <c r="W42" s="2343"/>
      <c r="X42" s="2343"/>
      <c r="Y42" s="2343"/>
      <c r="Z42" s="2343"/>
      <c r="AA42" s="2343"/>
      <c r="AB42" s="2343"/>
      <c r="AC42" s="2343"/>
    </row>
    <row r="43" spans="1:29" ht="13.5" customHeight="1">
      <c r="A43" s="2343"/>
      <c r="B43" s="2343"/>
      <c r="C43" s="832" t="s">
        <v>410</v>
      </c>
      <c r="D43" s="836"/>
      <c r="E43" s="834">
        <f>IF(E38&lt;G38,G38/E38-1,E38/G38-1)</f>
        <v>0.17510488387498246</v>
      </c>
      <c r="F43" s="835" t="str">
        <f>IF(OR(E43&gt;=0.2,E43&lt;=-0.2),"超过20%","")</f>
        <v/>
      </c>
      <c r="G43" s="834">
        <f>IF(G38&lt;I38,I38/G38-1,G38/I38-1)</f>
        <v>8.2722765321075142E-2</v>
      </c>
      <c r="H43" s="835" t="str">
        <f>IF(OR(G43&gt;=0.2,G43&lt;=-0.2),"超过20%","")</f>
        <v/>
      </c>
      <c r="I43" s="834">
        <f>IF(I38&lt;E38,E38/I38-1,I38/E38-1)</f>
        <v>8.5323890392672963E-2</v>
      </c>
      <c r="J43" s="835" t="str">
        <f>IF(OR(I43&gt;=0.2,I43&lt;=-0.2),"超过20%","")</f>
        <v/>
      </c>
      <c r="K43" s="2169"/>
      <c r="L43" s="2170"/>
      <c r="M43" s="2343"/>
      <c r="N43" s="2343"/>
      <c r="O43" s="2343"/>
      <c r="P43" s="2827"/>
      <c r="Q43" s="2343"/>
      <c r="R43" s="2343"/>
      <c r="S43" s="2343"/>
      <c r="T43" s="2343"/>
      <c r="U43" s="2343"/>
      <c r="V43" s="2343"/>
      <c r="W43" s="2343"/>
      <c r="X43" s="2343"/>
      <c r="Y43" s="2343"/>
      <c r="Z43" s="2343"/>
      <c r="AA43" s="2343"/>
      <c r="AB43" s="2343"/>
      <c r="AC43" s="2343"/>
    </row>
    <row r="44" spans="1:29" s="837" customFormat="1" ht="13.5" customHeight="1">
      <c r="A44" s="2344"/>
      <c r="B44" s="2344"/>
      <c r="C44" s="832" t="s">
        <v>411</v>
      </c>
      <c r="D44" s="836"/>
      <c r="E44" s="834">
        <f>IF(E37&lt;G37,G37/E37-1,E37/G37-1)</f>
        <v>0.19282238442822375</v>
      </c>
      <c r="F44" s="835" t="str">
        <f>IF(OR(E44&gt;=0.3,E44&lt;=-0.3),"超过30%","")</f>
        <v/>
      </c>
      <c r="G44" s="834">
        <f>IF(G37&lt;I37,I37/G37-1,G37/I37-1)</f>
        <v>8.2725060827250507E-2</v>
      </c>
      <c r="H44" s="835" t="str">
        <f>IF(OR(G44&gt;=0.3,G44&lt;=-0.3),"超过30%","")</f>
        <v/>
      </c>
      <c r="I44" s="834">
        <f>IF(I37&lt;E37,E37/I37-1,I37/E37-1)</f>
        <v>0.10168539325842696</v>
      </c>
      <c r="J44" s="835" t="str">
        <f>IF(OR(I44&gt;=0.3,I44&lt;=-0.3),"超过30%","")</f>
        <v/>
      </c>
      <c r="K44" s="2347"/>
      <c r="L44" s="2348"/>
      <c r="M44" s="2344"/>
      <c r="N44" s="2344"/>
      <c r="O44" s="2344"/>
      <c r="P44" s="2828"/>
      <c r="Q44" s="2344"/>
      <c r="R44" s="2344"/>
      <c r="S44" s="2344"/>
      <c r="T44" s="2344"/>
      <c r="U44" s="2344"/>
      <c r="V44" s="2344"/>
      <c r="W44" s="2344"/>
      <c r="X44" s="2344"/>
      <c r="Y44" s="2344"/>
      <c r="Z44" s="2344"/>
      <c r="AA44" s="2344"/>
      <c r="AB44" s="2344"/>
      <c r="AC44" s="2344"/>
    </row>
    <row r="45" spans="1:29" s="837" customFormat="1">
      <c r="A45" s="2344"/>
      <c r="B45" s="2345"/>
      <c r="C45" s="2349"/>
      <c r="D45" s="2344"/>
      <c r="E45" s="2344"/>
      <c r="F45" s="2344"/>
      <c r="G45" s="2344"/>
      <c r="H45" s="2344"/>
      <c r="I45" s="2344"/>
      <c r="J45" s="2344"/>
      <c r="K45" s="2347"/>
      <c r="L45" s="2348"/>
      <c r="M45" s="2344"/>
      <c r="N45" s="2344"/>
      <c r="O45" s="2344"/>
      <c r="P45" s="2828"/>
      <c r="Q45" s="2344"/>
      <c r="R45" s="2344"/>
      <c r="S45" s="2344"/>
      <c r="T45" s="2344"/>
      <c r="U45" s="2344"/>
      <c r="V45" s="2344"/>
      <c r="W45" s="2344"/>
      <c r="X45" s="2344"/>
      <c r="Y45" s="2344"/>
      <c r="Z45" s="2344"/>
      <c r="AA45" s="2344"/>
      <c r="AB45" s="2344"/>
      <c r="AC45" s="2344"/>
    </row>
    <row r="46" spans="1:29">
      <c r="A46" s="2343"/>
      <c r="B46" s="2345"/>
      <c r="C46" s="2349"/>
      <c r="D46" s="2343"/>
      <c r="E46" s="2343"/>
      <c r="F46" s="2343"/>
      <c r="G46" s="2343"/>
      <c r="H46" s="2343"/>
      <c r="I46" s="2343"/>
      <c r="J46" s="2343"/>
      <c r="K46" s="2169"/>
      <c r="L46" s="2170"/>
      <c r="M46" s="2343"/>
      <c r="N46" s="2343"/>
      <c r="O46" s="2343"/>
      <c r="P46" s="2827"/>
      <c r="Q46" s="2343"/>
      <c r="R46" s="2343"/>
      <c r="S46" s="2343"/>
      <c r="T46" s="2343"/>
      <c r="U46" s="2343"/>
      <c r="V46" s="2343"/>
      <c r="W46" s="2343"/>
      <c r="X46" s="2343"/>
      <c r="Y46" s="2343"/>
      <c r="Z46" s="2343"/>
      <c r="AA46" s="2343"/>
      <c r="AB46" s="2343"/>
      <c r="AC46" s="2343"/>
    </row>
    <row r="47" spans="1:29" ht="21.75" thickBot="1">
      <c r="A47" s="2831" t="s">
        <v>412</v>
      </c>
      <c r="B47" s="2343"/>
      <c r="C47" s="2359"/>
      <c r="D47" s="2359"/>
      <c r="E47" s="2359"/>
      <c r="F47" s="2832"/>
      <c r="G47" s="2832"/>
      <c r="H47" s="2359"/>
      <c r="I47" s="2359"/>
      <c r="J47" s="2359"/>
      <c r="K47" s="2360"/>
      <c r="L47" s="2361"/>
      <c r="M47" s="2359"/>
      <c r="N47" s="2359"/>
      <c r="O47" s="2359"/>
      <c r="P47" s="2829"/>
      <c r="Q47" s="2830"/>
      <c r="R47" s="2343"/>
      <c r="S47" s="2343"/>
      <c r="T47" s="2343"/>
      <c r="U47" s="2343"/>
      <c r="V47" s="2343"/>
      <c r="W47" s="2343"/>
      <c r="X47" s="2343"/>
      <c r="Y47" s="2343"/>
      <c r="Z47" s="2343"/>
      <c r="AA47" s="2343"/>
      <c r="AB47" s="2343"/>
      <c r="AC47" s="2343"/>
    </row>
    <row r="48" spans="1:29" s="843" customFormat="1" ht="15">
      <c r="A48" s="840" t="s">
        <v>2785</v>
      </c>
      <c r="B48" s="841"/>
      <c r="C48" s="3022" t="str">
        <f>YEAR(C7)&amp;"-"&amp;MONTH(C7)</f>
        <v>2017-9</v>
      </c>
      <c r="D48" s="3023">
        <f>EDATE(C48,-1)</f>
        <v>42948</v>
      </c>
      <c r="E48" s="3023">
        <f t="shared" ref="E48:O48" si="16">EDATE(D48,-1)</f>
        <v>42917</v>
      </c>
      <c r="F48" s="3023">
        <f t="shared" si="16"/>
        <v>42887</v>
      </c>
      <c r="G48" s="3023">
        <f t="shared" si="16"/>
        <v>42856</v>
      </c>
      <c r="H48" s="3023">
        <f t="shared" si="16"/>
        <v>42826</v>
      </c>
      <c r="I48" s="3023">
        <f t="shared" si="16"/>
        <v>42795</v>
      </c>
      <c r="J48" s="3023">
        <f t="shared" si="16"/>
        <v>42767</v>
      </c>
      <c r="K48" s="3023">
        <f t="shared" si="16"/>
        <v>42736</v>
      </c>
      <c r="L48" s="3023">
        <f t="shared" si="16"/>
        <v>42705</v>
      </c>
      <c r="M48" s="3023">
        <f t="shared" si="16"/>
        <v>42675</v>
      </c>
      <c r="N48" s="3023">
        <f t="shared" si="16"/>
        <v>42644</v>
      </c>
      <c r="O48" s="3023">
        <f t="shared" si="16"/>
        <v>42614</v>
      </c>
      <c r="P48" s="2845"/>
      <c r="Q48" s="2846"/>
      <c r="R48" s="2846"/>
      <c r="S48" s="2846"/>
      <c r="T48" s="2846"/>
      <c r="U48" s="2846"/>
      <c r="V48" s="2846"/>
      <c r="W48" s="2846"/>
      <c r="X48" s="2846"/>
      <c r="Y48" s="2846"/>
      <c r="Z48" s="2846"/>
      <c r="AA48" s="2846"/>
      <c r="AB48" s="2846"/>
      <c r="AC48" s="2846"/>
    </row>
    <row r="49" spans="1:29" s="404" customFormat="1" ht="15">
      <c r="A49" s="844"/>
      <c r="B49" s="845"/>
      <c r="C49" s="3011">
        <v>100</v>
      </c>
      <c r="D49" s="847"/>
      <c r="E49" s="847"/>
      <c r="F49" s="847"/>
      <c r="G49" s="847"/>
      <c r="H49" s="847"/>
      <c r="I49" s="847"/>
      <c r="J49" s="847"/>
      <c r="K49" s="847"/>
      <c r="L49" s="847"/>
      <c r="M49" s="848"/>
      <c r="N49" s="847"/>
      <c r="O49" s="848"/>
      <c r="P49" s="2835"/>
      <c r="Q49" s="2834"/>
      <c r="R49" s="2834"/>
      <c r="S49" s="2834"/>
      <c r="T49" s="2834"/>
      <c r="U49" s="2834"/>
      <c r="V49" s="2834"/>
      <c r="W49" s="2834"/>
      <c r="X49" s="2834"/>
      <c r="Y49" s="2834"/>
      <c r="Z49" s="2834"/>
      <c r="AA49" s="2834"/>
      <c r="AB49" s="2834"/>
      <c r="AC49" s="2834"/>
    </row>
    <row r="50" spans="1:29" s="404" customFormat="1" ht="15.75" thickBot="1">
      <c r="A50" s="850" t="s">
        <v>413</v>
      </c>
      <c r="B50" s="851"/>
      <c r="C50" s="852"/>
      <c r="D50" s="853"/>
      <c r="E50" s="853"/>
      <c r="F50" s="853"/>
      <c r="G50" s="853"/>
      <c r="H50" s="853"/>
      <c r="I50" s="853"/>
      <c r="J50" s="853"/>
      <c r="K50" s="853"/>
      <c r="L50" s="853"/>
      <c r="M50" s="854"/>
      <c r="N50" s="853"/>
      <c r="O50" s="854"/>
      <c r="P50" s="2835"/>
      <c r="Q50" s="2830"/>
      <c r="R50" s="2834"/>
      <c r="S50" s="2834"/>
      <c r="T50" s="2834"/>
      <c r="U50" s="2834"/>
      <c r="V50" s="2834"/>
      <c r="W50" s="2834"/>
      <c r="X50" s="2834"/>
      <c r="Y50" s="2834"/>
      <c r="Z50" s="2834"/>
      <c r="AA50" s="2834"/>
      <c r="AB50" s="2834"/>
      <c r="AC50" s="2834"/>
    </row>
    <row r="51" spans="1:29" s="404" customFormat="1" ht="15">
      <c r="A51" s="856" t="s">
        <v>397</v>
      </c>
      <c r="B51" s="845"/>
      <c r="C51" s="857" t="s">
        <v>414</v>
      </c>
      <c r="D51" s="858"/>
      <c r="E51" s="858"/>
      <c r="F51" s="858"/>
      <c r="G51" s="858"/>
      <c r="H51" s="858"/>
      <c r="I51" s="858"/>
      <c r="J51" s="858"/>
      <c r="K51" s="858"/>
      <c r="L51" s="859"/>
      <c r="M51" s="860"/>
      <c r="N51" s="2350"/>
      <c r="O51" s="2350"/>
      <c r="P51" s="2833"/>
      <c r="Q51" s="2830"/>
      <c r="R51" s="2834"/>
      <c r="S51" s="2834"/>
      <c r="T51" s="2834"/>
      <c r="U51" s="2834"/>
      <c r="V51" s="2834"/>
      <c r="W51" s="2834"/>
      <c r="X51" s="2834"/>
      <c r="Y51" s="2834"/>
      <c r="Z51" s="2834"/>
      <c r="AA51" s="2834"/>
      <c r="AB51" s="2834"/>
      <c r="AC51" s="2834"/>
    </row>
    <row r="52" spans="1:29" s="404" customFormat="1" ht="15.75" thickBot="1">
      <c r="A52" s="856"/>
      <c r="B52" s="845"/>
      <c r="C52" s="974">
        <v>100</v>
      </c>
      <c r="D52" s="847"/>
      <c r="E52" s="847"/>
      <c r="F52" s="847"/>
      <c r="G52" s="847"/>
      <c r="H52" s="847"/>
      <c r="I52" s="847"/>
      <c r="J52" s="847"/>
      <c r="K52" s="847"/>
      <c r="L52" s="847"/>
      <c r="M52" s="849"/>
      <c r="N52" s="2350"/>
      <c r="O52" s="2350"/>
      <c r="P52" s="2835"/>
      <c r="Q52" s="2830"/>
      <c r="R52" s="2834"/>
      <c r="S52" s="2834"/>
      <c r="T52" s="2834"/>
      <c r="U52" s="2834"/>
      <c r="V52" s="2834"/>
      <c r="W52" s="2834"/>
      <c r="X52" s="2834"/>
      <c r="Y52" s="2834"/>
      <c r="Z52" s="2834"/>
      <c r="AA52" s="2834"/>
      <c r="AB52" s="2834"/>
      <c r="AC52" s="2834"/>
    </row>
    <row r="53" spans="1:29">
      <c r="A53" s="862" t="s">
        <v>415</v>
      </c>
      <c r="B53" s="863" t="s">
        <v>416</v>
      </c>
      <c r="C53" s="864" t="str">
        <f>C9</f>
        <v>车库</v>
      </c>
      <c r="D53" s="865"/>
      <c r="E53" s="865"/>
      <c r="F53" s="865"/>
      <c r="G53" s="865"/>
      <c r="H53" s="865"/>
      <c r="I53" s="865"/>
      <c r="J53" s="865"/>
      <c r="K53" s="866"/>
      <c r="L53" s="867"/>
      <c r="M53" s="868"/>
      <c r="N53" s="2351"/>
      <c r="O53" s="2351"/>
      <c r="P53" s="2836"/>
      <c r="Q53" s="2830"/>
      <c r="R53" s="2343"/>
      <c r="S53" s="2343"/>
      <c r="T53" s="2343"/>
      <c r="U53" s="2343"/>
      <c r="V53" s="2343"/>
      <c r="W53" s="2343"/>
      <c r="X53" s="2343"/>
      <c r="Y53" s="2343"/>
      <c r="Z53" s="2343"/>
      <c r="AA53" s="2343"/>
      <c r="AB53" s="2343"/>
      <c r="AC53" s="2343"/>
    </row>
    <row r="54" spans="1:29" ht="15.75" thickBot="1">
      <c r="A54" s="869"/>
      <c r="B54" s="870"/>
      <c r="C54" s="871">
        <v>100</v>
      </c>
      <c r="D54" s="871"/>
      <c r="E54" s="871"/>
      <c r="F54" s="871"/>
      <c r="G54" s="871"/>
      <c r="H54" s="871"/>
      <c r="I54" s="871"/>
      <c r="J54" s="871"/>
      <c r="K54" s="871"/>
      <c r="L54" s="871"/>
      <c r="M54" s="872"/>
      <c r="N54" s="2352"/>
      <c r="O54" s="2352"/>
      <c r="P54" s="2836"/>
      <c r="Q54" s="2830"/>
      <c r="R54" s="2343"/>
      <c r="S54" s="2343"/>
      <c r="T54" s="2343"/>
      <c r="U54" s="2343"/>
      <c r="V54" s="2343"/>
      <c r="W54" s="2343"/>
      <c r="X54" s="2343"/>
      <c r="Y54" s="2343"/>
      <c r="Z54" s="2343"/>
      <c r="AA54" s="2343"/>
      <c r="AB54" s="2343"/>
      <c r="AC54" s="2343"/>
    </row>
    <row r="55" spans="1:29" ht="27.75" thickTop="1">
      <c r="A55" s="869"/>
      <c r="B55" s="873" t="s">
        <v>401</v>
      </c>
      <c r="C55" s="874" t="s">
        <v>417</v>
      </c>
      <c r="D55" s="874" t="s">
        <v>418</v>
      </c>
      <c r="E55" s="874" t="s">
        <v>419</v>
      </c>
      <c r="F55" s="874" t="s">
        <v>420</v>
      </c>
      <c r="G55" s="874" t="s">
        <v>435</v>
      </c>
      <c r="H55" s="874" t="s">
        <v>436</v>
      </c>
      <c r="I55" s="874" t="s">
        <v>437</v>
      </c>
      <c r="J55" s="874"/>
      <c r="K55" s="875"/>
      <c r="L55" s="876"/>
      <c r="M55" s="877"/>
      <c r="N55" s="2351"/>
      <c r="O55" s="2351"/>
      <c r="P55" s="2836"/>
      <c r="Q55" s="2830"/>
      <c r="R55" s="2343"/>
      <c r="S55" s="2343"/>
      <c r="T55" s="2343"/>
      <c r="U55" s="2343"/>
      <c r="V55" s="2343"/>
      <c r="W55" s="2343"/>
      <c r="X55" s="2343"/>
      <c r="Y55" s="2343"/>
      <c r="Z55" s="2343"/>
      <c r="AA55" s="2343"/>
      <c r="AB55" s="2343"/>
      <c r="AC55" s="2343"/>
    </row>
    <row r="56" spans="1:29" ht="15.75" thickBot="1">
      <c r="A56" s="869"/>
      <c r="B56" s="878"/>
      <c r="C56" s="879" t="s">
        <v>138</v>
      </c>
      <c r="D56" s="879" t="s">
        <v>139</v>
      </c>
      <c r="E56" s="879">
        <v>100</v>
      </c>
      <c r="F56" s="879">
        <f>E56-$K10</f>
        <v>99</v>
      </c>
      <c r="G56" s="879">
        <f>F56-$K10</f>
        <v>98</v>
      </c>
      <c r="H56" s="879">
        <f>G56-$K10</f>
        <v>97</v>
      </c>
      <c r="I56" s="879">
        <f>H56-$K10</f>
        <v>96</v>
      </c>
      <c r="J56" s="879"/>
      <c r="K56" s="879"/>
      <c r="L56" s="879"/>
      <c r="M56" s="880"/>
      <c r="N56" s="2352"/>
      <c r="O56" s="2352"/>
      <c r="P56" s="2836"/>
      <c r="Q56" s="2830"/>
      <c r="R56" s="2343"/>
      <c r="S56" s="2343"/>
      <c r="T56" s="2343"/>
      <c r="U56" s="2343"/>
      <c r="V56" s="2343"/>
      <c r="W56" s="2343"/>
      <c r="X56" s="2343"/>
      <c r="Y56" s="2343"/>
      <c r="Z56" s="2343"/>
      <c r="AA56" s="2343"/>
      <c r="AB56" s="2343"/>
      <c r="AC56" s="2343"/>
    </row>
    <row r="57" spans="1:29" ht="15.75" thickTop="1">
      <c r="A57" s="869"/>
      <c r="B57" s="995">
        <f>B11</f>
        <v>0</v>
      </c>
      <c r="C57" s="884"/>
      <c r="D57" s="884"/>
      <c r="E57" s="884"/>
      <c r="F57" s="884"/>
      <c r="G57" s="884"/>
      <c r="H57" s="884"/>
      <c r="I57" s="884"/>
      <c r="J57" s="884"/>
      <c r="K57" s="885"/>
      <c r="L57" s="886"/>
      <c r="M57" s="887"/>
      <c r="N57" s="2351"/>
      <c r="O57" s="2351"/>
      <c r="P57" s="2836"/>
      <c r="Q57" s="2830"/>
      <c r="R57" s="2343"/>
      <c r="S57" s="2343"/>
      <c r="T57" s="2343"/>
      <c r="U57" s="2343"/>
      <c r="V57" s="2343"/>
      <c r="W57" s="2343"/>
      <c r="X57" s="2343"/>
      <c r="Y57" s="2343"/>
      <c r="Z57" s="2343"/>
      <c r="AA57" s="2343"/>
      <c r="AB57" s="2343"/>
      <c r="AC57" s="2343"/>
    </row>
    <row r="58" spans="1:29" ht="15.75" thickBot="1">
      <c r="A58" s="869"/>
      <c r="B58" s="870"/>
      <c r="C58" s="895"/>
      <c r="D58" s="871"/>
      <c r="E58" s="871"/>
      <c r="F58" s="871"/>
      <c r="G58" s="871"/>
      <c r="H58" s="871"/>
      <c r="I58" s="871"/>
      <c r="J58" s="871"/>
      <c r="K58" s="871"/>
      <c r="L58" s="871"/>
      <c r="M58" s="872"/>
      <c r="N58" s="2352"/>
      <c r="O58" s="2352"/>
      <c r="P58" s="2836"/>
      <c r="Q58" s="2830"/>
      <c r="R58" s="2343"/>
      <c r="S58" s="2343"/>
      <c r="T58" s="2343"/>
      <c r="U58" s="2343"/>
      <c r="V58" s="2343"/>
      <c r="W58" s="2343"/>
      <c r="X58" s="2343"/>
      <c r="Y58" s="2343"/>
      <c r="Z58" s="2343"/>
      <c r="AA58" s="2343"/>
      <c r="AB58" s="2343"/>
      <c r="AC58" s="2343"/>
    </row>
    <row r="59" spans="1:29" s="806" customFormat="1" ht="15.75" thickTop="1">
      <c r="A59" s="888"/>
      <c r="B59" s="873">
        <f>B12</f>
        <v>0</v>
      </c>
      <c r="C59" s="884"/>
      <c r="D59" s="884"/>
      <c r="E59" s="884"/>
      <c r="F59" s="884"/>
      <c r="G59" s="889"/>
      <c r="H59" s="890"/>
      <c r="I59" s="890"/>
      <c r="J59" s="890"/>
      <c r="K59" s="890"/>
      <c r="L59" s="891"/>
      <c r="M59" s="892"/>
      <c r="N59" s="2353"/>
      <c r="O59" s="2353"/>
      <c r="P59" s="2837"/>
      <c r="Q59" s="2838"/>
      <c r="R59" s="2839"/>
      <c r="S59" s="2839"/>
      <c r="T59" s="2839"/>
      <c r="U59" s="2839"/>
      <c r="V59" s="2839"/>
      <c r="W59" s="2839"/>
      <c r="X59" s="2839"/>
      <c r="Y59" s="2839"/>
      <c r="Z59" s="2839"/>
      <c r="AA59" s="2839"/>
      <c r="AB59" s="2839"/>
      <c r="AC59" s="2839"/>
    </row>
    <row r="60" spans="1:29" s="806" customFormat="1" ht="15.75" thickBot="1">
      <c r="A60" s="888"/>
      <c r="B60" s="878"/>
      <c r="C60" s="895"/>
      <c r="D60" s="871"/>
      <c r="E60" s="871"/>
      <c r="F60" s="871"/>
      <c r="G60" s="871"/>
      <c r="H60" s="871"/>
      <c r="I60" s="871"/>
      <c r="J60" s="871"/>
      <c r="K60" s="871"/>
      <c r="L60" s="871"/>
      <c r="M60" s="872"/>
      <c r="N60" s="2352"/>
      <c r="O60" s="2352"/>
      <c r="P60" s="2837"/>
      <c r="Q60" s="2838"/>
      <c r="R60" s="2839"/>
      <c r="S60" s="2839"/>
      <c r="T60" s="2839"/>
      <c r="U60" s="2839"/>
      <c r="V60" s="2839"/>
      <c r="W60" s="2839"/>
      <c r="X60" s="2839"/>
      <c r="Y60" s="2839"/>
      <c r="Z60" s="2839"/>
      <c r="AA60" s="2839"/>
      <c r="AB60" s="2839"/>
      <c r="AC60" s="2839"/>
    </row>
    <row r="61" spans="1:29" s="806" customFormat="1" ht="15.75" thickTop="1">
      <c r="A61" s="888"/>
      <c r="B61" s="873">
        <f>B13</f>
        <v>0</v>
      </c>
      <c r="C61" s="889"/>
      <c r="D61" s="889"/>
      <c r="E61" s="889"/>
      <c r="F61" s="889"/>
      <c r="G61" s="889"/>
      <c r="H61" s="890"/>
      <c r="I61" s="890"/>
      <c r="J61" s="890"/>
      <c r="K61" s="890"/>
      <c r="L61" s="891"/>
      <c r="M61" s="892"/>
      <c r="N61" s="2353"/>
      <c r="O61" s="2353"/>
      <c r="P61" s="2840"/>
      <c r="Q61" s="2841"/>
      <c r="R61" s="2839"/>
      <c r="S61" s="2839"/>
      <c r="T61" s="2839"/>
      <c r="U61" s="2839"/>
      <c r="V61" s="2839"/>
      <c r="W61" s="2839"/>
      <c r="X61" s="2839"/>
      <c r="Y61" s="2839"/>
      <c r="Z61" s="2839"/>
      <c r="AA61" s="2839"/>
      <c r="AB61" s="2839"/>
      <c r="AC61" s="2839"/>
    </row>
    <row r="62" spans="1:29" s="806" customFormat="1" ht="15.75" thickBot="1">
      <c r="A62" s="888"/>
      <c r="B62" s="878"/>
      <c r="C62" s="895"/>
      <c r="D62" s="895"/>
      <c r="E62" s="895"/>
      <c r="F62" s="895"/>
      <c r="G62" s="895"/>
      <c r="H62" s="897"/>
      <c r="I62" s="897"/>
      <c r="J62" s="897"/>
      <c r="K62" s="897"/>
      <c r="L62" s="897"/>
      <c r="M62" s="898"/>
      <c r="N62" s="2353"/>
      <c r="O62" s="2353"/>
      <c r="P62" s="2837"/>
      <c r="Q62" s="2838"/>
      <c r="R62" s="2839"/>
      <c r="S62" s="2839"/>
      <c r="T62" s="2839"/>
      <c r="U62" s="2839"/>
      <c r="V62" s="2839"/>
      <c r="W62" s="2839"/>
      <c r="X62" s="2839"/>
      <c r="Y62" s="2839"/>
      <c r="Z62" s="2839"/>
      <c r="AA62" s="2839"/>
      <c r="AB62" s="2839"/>
      <c r="AC62" s="2839"/>
    </row>
    <row r="63" spans="1:29" ht="15" thickTop="1">
      <c r="A63" s="862" t="s">
        <v>403</v>
      </c>
      <c r="B63" s="863" t="s">
        <v>427</v>
      </c>
      <c r="C63" s="908" t="s">
        <v>422</v>
      </c>
      <c r="D63" s="908" t="s">
        <v>423</v>
      </c>
      <c r="E63" s="908" t="s">
        <v>424</v>
      </c>
      <c r="F63" s="908" t="s">
        <v>425</v>
      </c>
      <c r="G63" s="908" t="s">
        <v>426</v>
      </c>
      <c r="H63" s="864"/>
      <c r="I63" s="864"/>
      <c r="J63" s="864"/>
      <c r="K63" s="909"/>
      <c r="L63" s="910"/>
      <c r="M63" s="911"/>
      <c r="N63" s="2351"/>
      <c r="O63" s="2351"/>
      <c r="P63" s="2842"/>
      <c r="Q63" s="2830"/>
      <c r="R63" s="2343"/>
      <c r="S63" s="2343"/>
      <c r="T63" s="2343"/>
      <c r="U63" s="2343"/>
      <c r="V63" s="2343"/>
      <c r="W63" s="2343"/>
      <c r="X63" s="2343"/>
      <c r="Y63" s="2343"/>
      <c r="Z63" s="2343"/>
      <c r="AA63" s="2343"/>
      <c r="AB63" s="2343"/>
      <c r="AC63" s="2343"/>
    </row>
    <row r="64" spans="1:29" ht="15.75" thickBot="1">
      <c r="A64" s="869"/>
      <c r="B64" s="878"/>
      <c r="C64" s="879">
        <v>100</v>
      </c>
      <c r="D64" s="879">
        <f>C64-$K14</f>
        <v>99</v>
      </c>
      <c r="E64" s="879">
        <f>D64-$K14</f>
        <v>98</v>
      </c>
      <c r="F64" s="879">
        <f>E64-$K14</f>
        <v>97</v>
      </c>
      <c r="G64" s="879">
        <f>F64-$K14</f>
        <v>96</v>
      </c>
      <c r="H64" s="879"/>
      <c r="I64" s="879"/>
      <c r="J64" s="879"/>
      <c r="K64" s="879"/>
      <c r="L64" s="879"/>
      <c r="M64" s="880"/>
      <c r="N64" s="2352"/>
      <c r="O64" s="2352"/>
      <c r="P64" s="2836"/>
      <c r="Q64" s="2830"/>
      <c r="R64" s="2343"/>
      <c r="S64" s="2343"/>
      <c r="T64" s="2343"/>
      <c r="U64" s="2343"/>
      <c r="V64" s="2343"/>
      <c r="W64" s="2343"/>
      <c r="X64" s="2343"/>
      <c r="Y64" s="2343"/>
      <c r="Z64" s="2343"/>
      <c r="AA64" s="2343"/>
      <c r="AB64" s="2343"/>
      <c r="AC64" s="2343"/>
    </row>
    <row r="65" spans="1:29" ht="15.75" thickTop="1">
      <c r="A65" s="869"/>
      <c r="B65" s="1044" t="s">
        <v>2628</v>
      </c>
      <c r="C65" s="913" t="s">
        <v>422</v>
      </c>
      <c r="D65" s="913" t="s">
        <v>423</v>
      </c>
      <c r="E65" s="913" t="s">
        <v>424</v>
      </c>
      <c r="F65" s="913" t="s">
        <v>425</v>
      </c>
      <c r="G65" s="913" t="s">
        <v>426</v>
      </c>
      <c r="H65" s="874"/>
      <c r="I65" s="874"/>
      <c r="J65" s="874"/>
      <c r="K65" s="875"/>
      <c r="L65" s="876"/>
      <c r="M65" s="877"/>
      <c r="N65" s="2351"/>
      <c r="O65" s="2351"/>
      <c r="P65" s="2836"/>
      <c r="Q65" s="2830"/>
      <c r="R65" s="2343"/>
      <c r="S65" s="2343"/>
      <c r="T65" s="2343"/>
      <c r="U65" s="2343"/>
      <c r="V65" s="2343"/>
      <c r="W65" s="2343"/>
      <c r="X65" s="2343"/>
      <c r="Y65" s="2343"/>
      <c r="Z65" s="2343"/>
      <c r="AA65" s="2343"/>
      <c r="AB65" s="2343"/>
      <c r="AC65" s="2343"/>
    </row>
    <row r="66" spans="1:29" ht="15.75" thickBot="1">
      <c r="A66" s="869"/>
      <c r="B66" s="878"/>
      <c r="C66" s="879">
        <v>100</v>
      </c>
      <c r="D66" s="879">
        <f>C66-$K16</f>
        <v>99.5</v>
      </c>
      <c r="E66" s="879">
        <f>D66-$K16</f>
        <v>99</v>
      </c>
      <c r="F66" s="879">
        <f>E66-$K16</f>
        <v>98.5</v>
      </c>
      <c r="G66" s="879">
        <f>F66-$K16</f>
        <v>98</v>
      </c>
      <c r="H66" s="879"/>
      <c r="I66" s="879"/>
      <c r="J66" s="879"/>
      <c r="K66" s="879"/>
      <c r="L66" s="879"/>
      <c r="M66" s="880"/>
      <c r="N66" s="2352"/>
      <c r="O66" s="2352"/>
      <c r="P66" s="2836"/>
      <c r="Q66" s="2830"/>
      <c r="R66" s="2343"/>
      <c r="S66" s="2343"/>
      <c r="T66" s="2343"/>
      <c r="U66" s="2343"/>
      <c r="V66" s="2343"/>
      <c r="W66" s="2343"/>
      <c r="X66" s="2343"/>
      <c r="Y66" s="2343"/>
      <c r="Z66" s="2343"/>
      <c r="AA66" s="2343"/>
      <c r="AB66" s="2343"/>
      <c r="AC66" s="2343"/>
    </row>
    <row r="67" spans="1:29" ht="15.75" thickTop="1">
      <c r="A67" s="869"/>
      <c r="B67" s="1046" t="s">
        <v>2658</v>
      </c>
      <c r="C67" s="211" t="s">
        <v>2648</v>
      </c>
      <c r="D67" s="211" t="s">
        <v>2649</v>
      </c>
      <c r="E67" s="211" t="s">
        <v>2650</v>
      </c>
      <c r="F67" s="211" t="s">
        <v>2651</v>
      </c>
      <c r="G67" s="211" t="s">
        <v>2652</v>
      </c>
      <c r="H67" s="874"/>
      <c r="I67" s="874"/>
      <c r="J67" s="874"/>
      <c r="K67" s="874"/>
      <c r="L67" s="874"/>
      <c r="M67" s="2746"/>
      <c r="N67" s="2352"/>
      <c r="O67" s="2352"/>
      <c r="P67" s="2836"/>
      <c r="Q67" s="2830"/>
      <c r="R67" s="2343"/>
      <c r="S67" s="2343"/>
      <c r="T67" s="2343"/>
      <c r="U67" s="2343"/>
      <c r="V67" s="2343"/>
      <c r="W67" s="2343"/>
      <c r="X67" s="2343"/>
      <c r="Y67" s="2343"/>
      <c r="Z67" s="2343"/>
      <c r="AA67" s="2343"/>
      <c r="AB67" s="2343"/>
      <c r="AC67" s="2343"/>
    </row>
    <row r="68" spans="1:29" ht="15.75" thickBot="1">
      <c r="A68" s="869"/>
      <c r="B68" s="881"/>
      <c r="C68" s="879">
        <v>100</v>
      </c>
      <c r="D68" s="879">
        <f>C68-$K18</f>
        <v>99</v>
      </c>
      <c r="E68" s="879">
        <f>D68-$K18</f>
        <v>98</v>
      </c>
      <c r="F68" s="879">
        <f>E68-$K18</f>
        <v>97</v>
      </c>
      <c r="G68" s="879">
        <f>F68-$K18</f>
        <v>96</v>
      </c>
      <c r="H68" s="995"/>
      <c r="I68" s="995"/>
      <c r="J68" s="995"/>
      <c r="K68" s="995"/>
      <c r="L68" s="995"/>
      <c r="M68" s="786"/>
      <c r="N68" s="2352"/>
      <c r="O68" s="2352"/>
      <c r="P68" s="2836"/>
      <c r="Q68" s="2830"/>
      <c r="R68" s="2343"/>
      <c r="S68" s="2343"/>
      <c r="T68" s="2343"/>
      <c r="U68" s="2343"/>
      <c r="V68" s="2343"/>
      <c r="W68" s="2343"/>
      <c r="X68" s="2343"/>
      <c r="Y68" s="2343"/>
      <c r="Z68" s="2343"/>
      <c r="AA68" s="2343"/>
      <c r="AB68" s="2343"/>
      <c r="AC68" s="2343"/>
    </row>
    <row r="69" spans="1:29" ht="15.75" thickTop="1">
      <c r="A69" s="869"/>
      <c r="B69" s="873" t="s">
        <v>429</v>
      </c>
      <c r="C69" s="913" t="s">
        <v>422</v>
      </c>
      <c r="D69" s="913" t="s">
        <v>423</v>
      </c>
      <c r="E69" s="913" t="s">
        <v>424</v>
      </c>
      <c r="F69" s="913" t="s">
        <v>425</v>
      </c>
      <c r="G69" s="913" t="s">
        <v>426</v>
      </c>
      <c r="H69" s="874"/>
      <c r="I69" s="874"/>
      <c r="J69" s="874"/>
      <c r="K69" s="875"/>
      <c r="L69" s="876"/>
      <c r="M69" s="877"/>
      <c r="N69" s="2351"/>
      <c r="O69" s="2351"/>
      <c r="P69" s="2836"/>
      <c r="Q69" s="2830"/>
      <c r="R69" s="2343"/>
      <c r="S69" s="2343"/>
      <c r="T69" s="2343"/>
      <c r="U69" s="2343"/>
      <c r="V69" s="2343"/>
      <c r="W69" s="2343"/>
      <c r="X69" s="2343"/>
      <c r="Y69" s="2343"/>
      <c r="Z69" s="2343"/>
      <c r="AA69" s="2343"/>
      <c r="AB69" s="2343"/>
      <c r="AC69" s="2343"/>
    </row>
    <row r="70" spans="1:29" ht="15.75" thickBot="1">
      <c r="A70" s="869"/>
      <c r="B70" s="878"/>
      <c r="C70" s="879">
        <v>100</v>
      </c>
      <c r="D70" s="879">
        <f>C70-$K20</f>
        <v>99.5</v>
      </c>
      <c r="E70" s="879">
        <f>D70-$K20</f>
        <v>99</v>
      </c>
      <c r="F70" s="879">
        <f>E70-$K20</f>
        <v>98.5</v>
      </c>
      <c r="G70" s="879">
        <f>F70-$K20</f>
        <v>98</v>
      </c>
      <c r="H70" s="879"/>
      <c r="I70" s="879"/>
      <c r="J70" s="879"/>
      <c r="K70" s="879"/>
      <c r="L70" s="879"/>
      <c r="M70" s="880"/>
      <c r="N70" s="2352"/>
      <c r="O70" s="2352"/>
      <c r="P70" s="2836"/>
      <c r="Q70" s="2830"/>
      <c r="R70" s="2343"/>
      <c r="S70" s="2343"/>
      <c r="T70" s="2343"/>
      <c r="U70" s="2343"/>
      <c r="V70" s="2343"/>
      <c r="W70" s="2343"/>
      <c r="X70" s="2343"/>
      <c r="Y70" s="2343"/>
      <c r="Z70" s="2343"/>
      <c r="AA70" s="2343"/>
      <c r="AB70" s="2343"/>
      <c r="AC70" s="2343"/>
    </row>
    <row r="71" spans="1:29" ht="15.75" thickTop="1">
      <c r="A71" s="869"/>
      <c r="B71" s="873" t="s">
        <v>430</v>
      </c>
      <c r="C71" s="889"/>
      <c r="D71" s="889"/>
      <c r="E71" s="889"/>
      <c r="F71" s="889"/>
      <c r="G71" s="889"/>
      <c r="H71" s="918"/>
      <c r="I71" s="918"/>
      <c r="J71" s="918"/>
      <c r="K71" s="919"/>
      <c r="L71" s="920"/>
      <c r="M71" s="921"/>
      <c r="N71" s="2351"/>
      <c r="O71" s="2351"/>
      <c r="P71" s="2836"/>
      <c r="Q71" s="2830"/>
      <c r="R71" s="2343"/>
      <c r="S71" s="2343"/>
      <c r="T71" s="2343"/>
      <c r="U71" s="2343"/>
      <c r="V71" s="2343"/>
      <c r="W71" s="2343"/>
      <c r="X71" s="2343"/>
      <c r="Y71" s="2343"/>
      <c r="Z71" s="2343"/>
      <c r="AA71" s="2343"/>
      <c r="AB71" s="2343"/>
      <c r="AC71" s="2343"/>
    </row>
    <row r="72" spans="1:29" ht="15.75" thickBot="1">
      <c r="A72" s="869"/>
      <c r="B72" s="878"/>
      <c r="C72" s="879">
        <v>100</v>
      </c>
      <c r="D72" s="879">
        <f>C72-$K22</f>
        <v>100</v>
      </c>
      <c r="E72" s="879">
        <f>D72-$K22</f>
        <v>100</v>
      </c>
      <c r="F72" s="879">
        <f>E72-$K22</f>
        <v>100</v>
      </c>
      <c r="G72" s="879">
        <f>F72-$K22</f>
        <v>100</v>
      </c>
      <c r="H72" s="879"/>
      <c r="I72" s="879"/>
      <c r="J72" s="879"/>
      <c r="K72" s="879"/>
      <c r="L72" s="879"/>
      <c r="M72" s="880"/>
      <c r="N72" s="2352"/>
      <c r="O72" s="2352"/>
      <c r="P72" s="2836"/>
      <c r="Q72" s="2830"/>
      <c r="R72" s="2343"/>
      <c r="S72" s="2343"/>
      <c r="T72" s="2343"/>
      <c r="U72" s="2343"/>
      <c r="V72" s="2343"/>
      <c r="W72" s="2343"/>
      <c r="X72" s="2343"/>
      <c r="Y72" s="2343"/>
      <c r="Z72" s="2343"/>
      <c r="AA72" s="2343"/>
      <c r="AB72" s="2343"/>
      <c r="AC72" s="2343"/>
    </row>
    <row r="73" spans="1:29" s="404" customFormat="1" ht="15.75" thickTop="1">
      <c r="A73" s="914"/>
      <c r="B73" s="873">
        <f>B23</f>
        <v>0</v>
      </c>
      <c r="C73" s="884"/>
      <c r="D73" s="884"/>
      <c r="E73" s="884"/>
      <c r="F73" s="884"/>
      <c r="G73" s="889"/>
      <c r="H73" s="889"/>
      <c r="I73" s="889"/>
      <c r="J73" s="889"/>
      <c r="K73" s="889"/>
      <c r="L73" s="915"/>
      <c r="M73" s="916"/>
      <c r="N73" s="2350"/>
      <c r="O73" s="2350"/>
      <c r="P73" s="2836"/>
      <c r="Q73" s="2830"/>
      <c r="R73" s="2834"/>
      <c r="S73" s="2834"/>
      <c r="T73" s="2834"/>
      <c r="U73" s="2834"/>
      <c r="V73" s="2834"/>
      <c r="W73" s="2834"/>
      <c r="X73" s="2834"/>
      <c r="Y73" s="2834"/>
      <c r="Z73" s="2834"/>
      <c r="AA73" s="2834"/>
      <c r="AB73" s="2834"/>
      <c r="AC73" s="2834"/>
    </row>
    <row r="74" spans="1:29" s="404" customFormat="1" ht="15.75" thickBot="1">
      <c r="A74" s="914"/>
      <c r="B74" s="878"/>
      <c r="C74" s="895"/>
      <c r="D74" s="871"/>
      <c r="E74" s="871"/>
      <c r="F74" s="871"/>
      <c r="G74" s="871"/>
      <c r="H74" s="871"/>
      <c r="I74" s="871"/>
      <c r="J74" s="871"/>
      <c r="K74" s="871"/>
      <c r="L74" s="871"/>
      <c r="M74" s="872"/>
      <c r="N74" s="2352"/>
      <c r="O74" s="2352"/>
      <c r="P74" s="2836"/>
      <c r="Q74" s="2830"/>
      <c r="R74" s="2834"/>
      <c r="S74" s="2834"/>
      <c r="T74" s="2834"/>
      <c r="U74" s="2834"/>
      <c r="V74" s="2834"/>
      <c r="W74" s="2834"/>
      <c r="X74" s="2834"/>
      <c r="Y74" s="2834"/>
      <c r="Z74" s="2834"/>
      <c r="AA74" s="2834"/>
      <c r="AB74" s="2834"/>
      <c r="AC74" s="2834"/>
    </row>
    <row r="75" spans="1:29" s="404" customFormat="1" ht="15.75" thickTop="1">
      <c r="A75" s="914"/>
      <c r="B75" s="873">
        <f>B24</f>
        <v>0</v>
      </c>
      <c r="C75" s="884"/>
      <c r="D75" s="884"/>
      <c r="E75" s="884"/>
      <c r="F75" s="884"/>
      <c r="G75" s="889"/>
      <c r="H75" s="889"/>
      <c r="I75" s="889"/>
      <c r="J75" s="889"/>
      <c r="K75" s="889"/>
      <c r="L75" s="889"/>
      <c r="M75" s="916"/>
      <c r="N75" s="2350"/>
      <c r="O75" s="2350"/>
      <c r="P75" s="2836"/>
      <c r="Q75" s="2830"/>
      <c r="R75" s="2834"/>
      <c r="S75" s="2834"/>
      <c r="T75" s="2834"/>
      <c r="U75" s="2834"/>
      <c r="V75" s="2834"/>
      <c r="W75" s="2834"/>
      <c r="X75" s="2834"/>
      <c r="Y75" s="2834"/>
      <c r="Z75" s="2834"/>
      <c r="AA75" s="2834"/>
      <c r="AB75" s="2834"/>
      <c r="AC75" s="2834"/>
    </row>
    <row r="76" spans="1:29" s="404" customFormat="1" ht="15.75" thickBot="1">
      <c r="A76" s="914"/>
      <c r="B76" s="878"/>
      <c r="C76" s="895"/>
      <c r="D76" s="871"/>
      <c r="E76" s="871"/>
      <c r="F76" s="871"/>
      <c r="G76" s="871"/>
      <c r="H76" s="871"/>
      <c r="I76" s="871"/>
      <c r="J76" s="871"/>
      <c r="K76" s="871"/>
      <c r="L76" s="871"/>
      <c r="M76" s="872"/>
      <c r="N76" s="2352"/>
      <c r="O76" s="2352"/>
      <c r="P76" s="2836"/>
      <c r="Q76" s="2830"/>
      <c r="R76" s="2834"/>
      <c r="S76" s="2834"/>
      <c r="T76" s="2834"/>
      <c r="U76" s="2834"/>
      <c r="V76" s="2834"/>
      <c r="W76" s="2834"/>
      <c r="X76" s="2834"/>
      <c r="Y76" s="2834"/>
      <c r="Z76" s="2834"/>
      <c r="AA76" s="2834"/>
      <c r="AB76" s="2834"/>
      <c r="AC76" s="2834"/>
    </row>
    <row r="77" spans="1:29" s="806" customFormat="1" ht="15.75" thickTop="1">
      <c r="A77" s="888"/>
      <c r="B77" s="873">
        <f>B25</f>
        <v>0</v>
      </c>
      <c r="C77" s="889"/>
      <c r="D77" s="889"/>
      <c r="E77" s="889"/>
      <c r="F77" s="889"/>
      <c r="G77" s="889"/>
      <c r="H77" s="890"/>
      <c r="I77" s="890"/>
      <c r="J77" s="890"/>
      <c r="K77" s="890"/>
      <c r="L77" s="891"/>
      <c r="M77" s="892"/>
      <c r="N77" s="2353"/>
      <c r="O77" s="2353"/>
      <c r="P77" s="2837"/>
      <c r="Q77" s="2838"/>
      <c r="R77" s="2839"/>
      <c r="S77" s="2839"/>
      <c r="T77" s="2839"/>
      <c r="U77" s="2839"/>
      <c r="V77" s="2839"/>
      <c r="W77" s="2839"/>
      <c r="X77" s="2839"/>
      <c r="Y77" s="2839"/>
      <c r="Z77" s="2839"/>
      <c r="AA77" s="2839"/>
      <c r="AB77" s="2839"/>
      <c r="AC77" s="2839"/>
    </row>
    <row r="78" spans="1:29" s="806" customFormat="1" ht="15.75" thickBot="1">
      <c r="A78" s="888"/>
      <c r="B78" s="878"/>
      <c r="C78" s="895"/>
      <c r="D78" s="895"/>
      <c r="E78" s="895"/>
      <c r="F78" s="895"/>
      <c r="G78" s="871"/>
      <c r="H78" s="871"/>
      <c r="I78" s="871"/>
      <c r="J78" s="871"/>
      <c r="K78" s="871"/>
      <c r="L78" s="871"/>
      <c r="M78" s="872"/>
      <c r="N78" s="2353"/>
      <c r="O78" s="2353"/>
      <c r="P78" s="2837"/>
      <c r="Q78" s="2838"/>
      <c r="R78" s="2839"/>
      <c r="S78" s="2839"/>
      <c r="T78" s="2839"/>
      <c r="U78" s="2839"/>
      <c r="V78" s="2839"/>
      <c r="W78" s="2839"/>
      <c r="X78" s="2839"/>
      <c r="Y78" s="2839"/>
      <c r="Z78" s="2839"/>
      <c r="AA78" s="2839"/>
      <c r="AB78" s="2839"/>
      <c r="AC78" s="2839"/>
    </row>
    <row r="79" spans="1:29" ht="27.75" thickTop="1">
      <c r="A79" s="862" t="s">
        <v>405</v>
      </c>
      <c r="B79" s="863" t="s">
        <v>464</v>
      </c>
      <c r="C79" s="864" t="str">
        <f>C26</f>
        <v>住宅</v>
      </c>
      <c r="D79" s="3360" t="s">
        <v>3117</v>
      </c>
      <c r="E79" s="865"/>
      <c r="F79" s="865"/>
      <c r="G79" s="865"/>
      <c r="H79" s="865"/>
      <c r="I79" s="865"/>
      <c r="J79" s="865"/>
      <c r="K79" s="866"/>
      <c r="L79" s="867"/>
      <c r="M79" s="868"/>
      <c r="N79" s="2351"/>
      <c r="O79" s="2351"/>
      <c r="P79" s="2836"/>
      <c r="Q79" s="2830"/>
      <c r="R79" s="2343"/>
      <c r="S79" s="2343"/>
      <c r="T79" s="2343"/>
      <c r="U79" s="2343"/>
      <c r="V79" s="2343"/>
      <c r="W79" s="2343"/>
      <c r="X79" s="2343"/>
      <c r="Y79" s="2343"/>
      <c r="Z79" s="2343"/>
      <c r="AA79" s="2343"/>
      <c r="AB79" s="2343"/>
      <c r="AC79" s="2343"/>
    </row>
    <row r="80" spans="1:29" ht="15.75" thickBot="1">
      <c r="A80" s="869"/>
      <c r="B80" s="878"/>
      <c r="C80" s="879">
        <v>100</v>
      </c>
      <c r="D80" s="879">
        <f t="shared" ref="D80:M80" si="17">C80-$K26</f>
        <v>98</v>
      </c>
      <c r="E80" s="879">
        <f t="shared" si="17"/>
        <v>96</v>
      </c>
      <c r="F80" s="879">
        <f t="shared" si="17"/>
        <v>94</v>
      </c>
      <c r="G80" s="879">
        <f t="shared" si="17"/>
        <v>92</v>
      </c>
      <c r="H80" s="879">
        <f t="shared" si="17"/>
        <v>90</v>
      </c>
      <c r="I80" s="879">
        <f t="shared" si="17"/>
        <v>88</v>
      </c>
      <c r="J80" s="879">
        <f t="shared" si="17"/>
        <v>86</v>
      </c>
      <c r="K80" s="879">
        <f t="shared" si="17"/>
        <v>84</v>
      </c>
      <c r="L80" s="879">
        <f t="shared" si="17"/>
        <v>82</v>
      </c>
      <c r="M80" s="880">
        <f t="shared" si="17"/>
        <v>80</v>
      </c>
      <c r="N80" s="2352"/>
      <c r="O80" s="2352"/>
      <c r="P80" s="2836"/>
      <c r="Q80" s="2830"/>
      <c r="R80" s="2343"/>
      <c r="S80" s="2343"/>
      <c r="T80" s="2343"/>
      <c r="U80" s="2343"/>
      <c r="V80" s="2343"/>
      <c r="W80" s="2343"/>
      <c r="X80" s="2343"/>
      <c r="Y80" s="2343"/>
      <c r="Z80" s="2343"/>
      <c r="AA80" s="2343"/>
      <c r="AB80" s="2343"/>
      <c r="AC80" s="2343"/>
    </row>
    <row r="81" spans="1:29" ht="15.75" thickTop="1">
      <c r="A81" s="869"/>
      <c r="B81" s="873" t="s">
        <v>465</v>
      </c>
      <c r="C81" s="996"/>
      <c r="D81" s="996"/>
      <c r="E81" s="996"/>
      <c r="F81" s="996"/>
      <c r="G81" s="996"/>
      <c r="H81" s="996"/>
      <c r="I81" s="996"/>
      <c r="J81" s="996"/>
      <c r="K81" s="997"/>
      <c r="L81" s="998"/>
      <c r="M81" s="999"/>
      <c r="N81" s="2350"/>
      <c r="O81" s="2350"/>
      <c r="P81" s="2836"/>
      <c r="Q81" s="2830"/>
      <c r="R81" s="2343"/>
      <c r="S81" s="2343"/>
      <c r="T81" s="2343"/>
      <c r="U81" s="2343"/>
      <c r="V81" s="2343"/>
      <c r="W81" s="2343"/>
      <c r="X81" s="2343"/>
      <c r="Y81" s="2343"/>
      <c r="Z81" s="2343"/>
      <c r="AA81" s="2343"/>
      <c r="AB81" s="2343"/>
      <c r="AC81" s="2343"/>
    </row>
    <row r="82" spans="1:29" s="806" customFormat="1" ht="15.75" thickBot="1">
      <c r="A82" s="888"/>
      <c r="B82" s="878"/>
      <c r="C82" s="895"/>
      <c r="D82" s="871"/>
      <c r="E82" s="871"/>
      <c r="F82" s="871"/>
      <c r="G82" s="871"/>
      <c r="H82" s="871"/>
      <c r="I82" s="871"/>
      <c r="J82" s="871"/>
      <c r="K82" s="871"/>
      <c r="L82" s="871"/>
      <c r="M82" s="872"/>
      <c r="N82" s="2352"/>
      <c r="O82" s="2352"/>
      <c r="P82" s="2837"/>
      <c r="Q82" s="2838"/>
      <c r="R82" s="2839"/>
      <c r="S82" s="2839"/>
      <c r="T82" s="2839"/>
      <c r="U82" s="2839"/>
      <c r="V82" s="2839"/>
      <c r="W82" s="2839"/>
      <c r="X82" s="2839"/>
      <c r="Y82" s="2839"/>
      <c r="Z82" s="2839"/>
      <c r="AA82" s="2839"/>
      <c r="AB82" s="2839"/>
      <c r="AC82" s="2839"/>
    </row>
    <row r="83" spans="1:29" ht="15" thickTop="1">
      <c r="A83" s="934"/>
      <c r="B83" s="873" t="s">
        <v>431</v>
      </c>
      <c r="C83" s="3359" t="s">
        <v>3118</v>
      </c>
      <c r="D83" s="3359" t="s">
        <v>3120</v>
      </c>
      <c r="E83" s="918"/>
      <c r="F83" s="918"/>
      <c r="G83" s="918"/>
      <c r="H83" s="918"/>
      <c r="I83" s="918"/>
      <c r="J83" s="918"/>
      <c r="K83" s="919"/>
      <c r="L83" s="920"/>
      <c r="M83" s="921"/>
      <c r="N83" s="2351"/>
      <c r="O83" s="2351"/>
      <c r="P83" s="2836"/>
      <c r="Q83" s="2830"/>
      <c r="R83" s="2343"/>
      <c r="S83" s="2343"/>
      <c r="T83" s="2343"/>
      <c r="U83" s="2343"/>
      <c r="V83" s="2343"/>
      <c r="W83" s="2343"/>
      <c r="X83" s="2343"/>
      <c r="Y83" s="2343"/>
      <c r="Z83" s="2343"/>
      <c r="AA83" s="2343"/>
      <c r="AB83" s="2343"/>
      <c r="AC83" s="2343"/>
    </row>
    <row r="84" spans="1:29" ht="15.75" thickBot="1">
      <c r="A84" s="869"/>
      <c r="B84" s="878"/>
      <c r="C84" s="879">
        <v>100</v>
      </c>
      <c r="D84" s="879">
        <f t="shared" ref="D84:M84" si="18">C84-$K28</f>
        <v>99</v>
      </c>
      <c r="E84" s="879">
        <f t="shared" si="18"/>
        <v>98</v>
      </c>
      <c r="F84" s="879">
        <f t="shared" si="18"/>
        <v>97</v>
      </c>
      <c r="G84" s="879">
        <f t="shared" si="18"/>
        <v>96</v>
      </c>
      <c r="H84" s="879">
        <f t="shared" si="18"/>
        <v>95</v>
      </c>
      <c r="I84" s="879">
        <f t="shared" si="18"/>
        <v>94</v>
      </c>
      <c r="J84" s="879">
        <f t="shared" si="18"/>
        <v>93</v>
      </c>
      <c r="K84" s="879">
        <f t="shared" si="18"/>
        <v>92</v>
      </c>
      <c r="L84" s="879">
        <f t="shared" si="18"/>
        <v>91</v>
      </c>
      <c r="M84" s="880">
        <f t="shared" si="18"/>
        <v>90</v>
      </c>
      <c r="N84" s="2352"/>
      <c r="O84" s="2352"/>
      <c r="P84" s="2836"/>
      <c r="Q84" s="2830"/>
      <c r="R84" s="2343"/>
      <c r="S84" s="2343"/>
      <c r="T84" s="2343"/>
      <c r="U84" s="2343"/>
      <c r="V84" s="2343"/>
      <c r="W84" s="2343"/>
      <c r="X84" s="2343"/>
      <c r="Y84" s="2343"/>
      <c r="Z84" s="2343"/>
      <c r="AA84" s="2343"/>
      <c r="AB84" s="2343"/>
      <c r="AC84" s="2343"/>
    </row>
    <row r="85" spans="1:29" ht="15" thickTop="1">
      <c r="A85" s="934"/>
      <c r="B85" s="873" t="s">
        <v>466</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8"/>
      <c r="J85" s="918"/>
      <c r="K85" s="919"/>
      <c r="L85" s="920"/>
      <c r="M85" s="921"/>
      <c r="N85" s="2351"/>
      <c r="O85" s="2351"/>
      <c r="P85" s="2836"/>
      <c r="Q85" s="2830"/>
      <c r="R85" s="2343"/>
      <c r="S85" s="2343"/>
      <c r="T85" s="2343"/>
      <c r="U85" s="2343"/>
      <c r="V85" s="2343"/>
      <c r="W85" s="2343"/>
      <c r="X85" s="2343"/>
      <c r="Y85" s="2343"/>
      <c r="Z85" s="2343"/>
      <c r="AA85" s="2343"/>
      <c r="AB85" s="2343"/>
      <c r="AC85" s="2343"/>
    </row>
    <row r="86" spans="1:29">
      <c r="A86" s="934"/>
      <c r="B86" s="881"/>
      <c r="C86" s="938">
        <v>0.5</v>
      </c>
      <c r="D86" s="938">
        <v>0.6</v>
      </c>
      <c r="E86" s="938">
        <v>0.7</v>
      </c>
      <c r="F86" s="938">
        <v>0.8</v>
      </c>
      <c r="G86" s="938">
        <v>0.9</v>
      </c>
      <c r="H86" s="938">
        <v>1.0001</v>
      </c>
      <c r="I86" s="958"/>
      <c r="J86" s="958"/>
      <c r="K86" s="959"/>
      <c r="L86" s="960"/>
      <c r="M86" s="961"/>
      <c r="N86" s="2351"/>
      <c r="O86" s="2351"/>
      <c r="P86" s="2836"/>
      <c r="Q86" s="2830"/>
      <c r="R86" s="2343"/>
      <c r="S86" s="2343"/>
      <c r="T86" s="2343"/>
      <c r="U86" s="2343"/>
      <c r="V86" s="2343"/>
      <c r="W86" s="2343"/>
      <c r="X86" s="2343"/>
      <c r="Y86" s="2343"/>
      <c r="Z86" s="2343"/>
      <c r="AA86" s="2343"/>
      <c r="AB86" s="2343"/>
      <c r="AC86" s="2343"/>
    </row>
    <row r="87" spans="1:29" ht="15.75" thickBot="1">
      <c r="A87" s="869"/>
      <c r="B87" s="878"/>
      <c r="C87" s="917">
        <v>100</v>
      </c>
      <c r="D87" s="879">
        <f>C87+$K$29</f>
        <v>101</v>
      </c>
      <c r="E87" s="879">
        <f t="shared" ref="E87:M87" si="19">D87+$K$29</f>
        <v>102</v>
      </c>
      <c r="F87" s="879">
        <f t="shared" si="19"/>
        <v>103</v>
      </c>
      <c r="G87" s="879">
        <f t="shared" si="19"/>
        <v>104</v>
      </c>
      <c r="H87" s="879">
        <f t="shared" si="19"/>
        <v>105</v>
      </c>
      <c r="I87" s="879">
        <f t="shared" si="19"/>
        <v>106</v>
      </c>
      <c r="J87" s="879">
        <f t="shared" si="19"/>
        <v>107</v>
      </c>
      <c r="K87" s="879">
        <f t="shared" si="19"/>
        <v>108</v>
      </c>
      <c r="L87" s="879">
        <f t="shared" si="19"/>
        <v>109</v>
      </c>
      <c r="M87" s="879">
        <f t="shared" si="19"/>
        <v>110</v>
      </c>
      <c r="N87" s="2352"/>
      <c r="O87" s="2352"/>
      <c r="P87" s="2836"/>
      <c r="Q87" s="2830"/>
      <c r="R87" s="2343"/>
      <c r="S87" s="2343"/>
      <c r="T87" s="2343"/>
      <c r="U87" s="2343"/>
      <c r="V87" s="2343"/>
      <c r="W87" s="2343"/>
      <c r="X87" s="2343"/>
      <c r="Y87" s="2343"/>
      <c r="Z87" s="2343"/>
      <c r="AA87" s="2343"/>
      <c r="AB87" s="2343"/>
      <c r="AC87" s="2343"/>
    </row>
    <row r="88" spans="1:29" ht="15" thickTop="1">
      <c r="A88" s="934"/>
      <c r="B88" s="881" t="s">
        <v>467</v>
      </c>
      <c r="C88" s="3360" t="s">
        <v>3122</v>
      </c>
      <c r="D88" s="865"/>
      <c r="E88" s="865"/>
      <c r="F88" s="865"/>
      <c r="G88" s="865"/>
      <c r="H88" s="865"/>
      <c r="I88" s="865"/>
      <c r="J88" s="865"/>
      <c r="K88" s="866"/>
      <c r="L88" s="867"/>
      <c r="M88" s="868"/>
      <c r="N88" s="2351"/>
      <c r="O88" s="2351"/>
      <c r="P88" s="2836"/>
      <c r="Q88" s="2830"/>
      <c r="R88" s="2343"/>
      <c r="S88" s="2343"/>
      <c r="T88" s="2343"/>
      <c r="U88" s="2343"/>
      <c r="V88" s="2343"/>
      <c r="W88" s="2343"/>
      <c r="X88" s="2343"/>
      <c r="Y88" s="2343"/>
      <c r="Z88" s="2343"/>
      <c r="AA88" s="2343"/>
      <c r="AB88" s="2343"/>
      <c r="AC88" s="2343"/>
    </row>
    <row r="89" spans="1:29" ht="15.75" thickBot="1">
      <c r="A89" s="869"/>
      <c r="B89" s="878"/>
      <c r="C89" s="917">
        <v>100</v>
      </c>
      <c r="D89" s="879">
        <f t="shared" ref="D89:M89" si="20">C89+$K30</f>
        <v>101</v>
      </c>
      <c r="E89" s="879">
        <f t="shared" si="20"/>
        <v>102</v>
      </c>
      <c r="F89" s="879">
        <f t="shared" si="20"/>
        <v>103</v>
      </c>
      <c r="G89" s="879">
        <f t="shared" si="20"/>
        <v>104</v>
      </c>
      <c r="H89" s="879">
        <f t="shared" si="20"/>
        <v>105</v>
      </c>
      <c r="I89" s="879">
        <f t="shared" si="20"/>
        <v>106</v>
      </c>
      <c r="J89" s="879">
        <f t="shared" si="20"/>
        <v>107</v>
      </c>
      <c r="K89" s="879">
        <f t="shared" si="20"/>
        <v>108</v>
      </c>
      <c r="L89" s="879">
        <f t="shared" si="20"/>
        <v>109</v>
      </c>
      <c r="M89" s="879">
        <f t="shared" si="20"/>
        <v>110</v>
      </c>
      <c r="N89" s="2352"/>
      <c r="O89" s="2352"/>
      <c r="P89" s="2836"/>
      <c r="Q89" s="2830"/>
      <c r="R89" s="2343"/>
      <c r="S89" s="2343"/>
      <c r="T89" s="2343"/>
      <c r="U89" s="2343"/>
      <c r="V89" s="2343"/>
      <c r="W89" s="2343"/>
      <c r="X89" s="2343"/>
      <c r="Y89" s="2343"/>
      <c r="Z89" s="2343"/>
      <c r="AA89" s="2343"/>
      <c r="AB89" s="2343"/>
      <c r="AC89" s="2343"/>
    </row>
    <row r="90" spans="1:29" s="806" customFormat="1" ht="15" thickTop="1">
      <c r="A90" s="928"/>
      <c r="B90" s="873" t="s">
        <v>468</v>
      </c>
      <c r="C90" s="913" t="str">
        <f>C91&amp;"(含)"&amp;"-"&amp;D91</f>
        <v>0(含)-30</v>
      </c>
      <c r="D90" s="913" t="str">
        <f t="shared" ref="D90:L90" si="21">D91&amp;"(含)"&amp;"-"&amp;E91</f>
        <v>30(含)-50</v>
      </c>
      <c r="E90" s="913" t="str">
        <f t="shared" si="21"/>
        <v>50(含)-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2353"/>
      <c r="O90" s="2353"/>
      <c r="P90" s="2837"/>
      <c r="Q90" s="2838"/>
      <c r="R90" s="2839"/>
      <c r="S90" s="2839"/>
      <c r="T90" s="2839"/>
      <c r="U90" s="2839"/>
      <c r="V90" s="2839"/>
      <c r="W90" s="2839"/>
      <c r="X90" s="2839"/>
      <c r="Y90" s="2839"/>
      <c r="Z90" s="2839"/>
      <c r="AA90" s="2839"/>
      <c r="AB90" s="2839"/>
      <c r="AC90" s="2839"/>
    </row>
    <row r="91" spans="1:29" s="806" customFormat="1">
      <c r="A91" s="928"/>
      <c r="B91" s="881"/>
      <c r="C91" s="930">
        <v>0</v>
      </c>
      <c r="D91" s="930">
        <v>30</v>
      </c>
      <c r="E91" s="930">
        <v>50</v>
      </c>
      <c r="F91" s="930"/>
      <c r="G91" s="930"/>
      <c r="H91" s="930"/>
      <c r="I91" s="930"/>
      <c r="J91" s="931"/>
      <c r="K91" s="931"/>
      <c r="L91" s="932"/>
      <c r="M91" s="933"/>
      <c r="N91" s="2353"/>
      <c r="O91" s="2353"/>
      <c r="P91" s="2837"/>
      <c r="Q91" s="2838"/>
      <c r="R91" s="2839"/>
      <c r="S91" s="2839"/>
      <c r="T91" s="2839"/>
      <c r="U91" s="2839"/>
      <c r="V91" s="2839"/>
      <c r="W91" s="2839"/>
      <c r="X91" s="2839"/>
      <c r="Y91" s="2839"/>
      <c r="Z91" s="2839"/>
      <c r="AA91" s="2839"/>
      <c r="AB91" s="2839"/>
      <c r="AC91" s="2839"/>
    </row>
    <row r="92" spans="1:29" s="806" customFormat="1" ht="15.75" thickBot="1">
      <c r="A92" s="888"/>
      <c r="B92" s="878"/>
      <c r="C92" s="895">
        <v>100</v>
      </c>
      <c r="D92" s="871">
        <v>101</v>
      </c>
      <c r="E92" s="871">
        <v>102</v>
      </c>
      <c r="F92" s="871"/>
      <c r="G92" s="871"/>
      <c r="H92" s="871"/>
      <c r="I92" s="871"/>
      <c r="J92" s="871"/>
      <c r="K92" s="871"/>
      <c r="L92" s="871"/>
      <c r="M92" s="872"/>
      <c r="N92" s="2353"/>
      <c r="O92" s="2353"/>
      <c r="P92" s="2837"/>
      <c r="Q92" s="2838"/>
      <c r="R92" s="2839"/>
      <c r="S92" s="2839"/>
      <c r="T92" s="2839"/>
      <c r="U92" s="2839"/>
      <c r="V92" s="2839"/>
      <c r="W92" s="2839"/>
      <c r="X92" s="2839"/>
      <c r="Y92" s="2839"/>
      <c r="Z92" s="2839"/>
      <c r="AA92" s="2839"/>
      <c r="AB92" s="2839"/>
      <c r="AC92" s="2839"/>
    </row>
    <row r="93" spans="1:29" ht="15" thickTop="1">
      <c r="A93" s="934"/>
      <c r="B93" s="873" t="s">
        <v>469</v>
      </c>
      <c r="C93" s="3359" t="s">
        <v>3124</v>
      </c>
      <c r="D93" s="889"/>
      <c r="E93" s="918"/>
      <c r="F93" s="918"/>
      <c r="G93" s="918"/>
      <c r="H93" s="918"/>
      <c r="I93" s="918"/>
      <c r="J93" s="918"/>
      <c r="K93" s="919"/>
      <c r="L93" s="920"/>
      <c r="M93" s="921"/>
      <c r="N93" s="2351"/>
      <c r="O93" s="2351"/>
      <c r="P93" s="2836"/>
      <c r="Q93" s="2830"/>
      <c r="R93" s="2343"/>
      <c r="S93" s="2343"/>
      <c r="T93" s="2343"/>
      <c r="U93" s="2343"/>
      <c r="V93" s="2343"/>
      <c r="W93" s="2343"/>
      <c r="X93" s="2343"/>
      <c r="Y93" s="2343"/>
      <c r="Z93" s="2343"/>
      <c r="AA93" s="2343"/>
      <c r="AB93" s="2343"/>
      <c r="AC93" s="2343"/>
    </row>
    <row r="94" spans="1:29" ht="15.75" thickBot="1">
      <c r="A94" s="869"/>
      <c r="B94" s="878"/>
      <c r="C94" s="879">
        <v>100</v>
      </c>
      <c r="D94" s="879">
        <f t="shared" ref="D94:M94" si="22">C94-$K32</f>
        <v>99</v>
      </c>
      <c r="E94" s="879">
        <f t="shared" si="22"/>
        <v>98</v>
      </c>
      <c r="F94" s="879">
        <f t="shared" si="22"/>
        <v>97</v>
      </c>
      <c r="G94" s="879">
        <f t="shared" si="22"/>
        <v>96</v>
      </c>
      <c r="H94" s="879">
        <f t="shared" si="22"/>
        <v>95</v>
      </c>
      <c r="I94" s="879">
        <f t="shared" si="22"/>
        <v>94</v>
      </c>
      <c r="J94" s="879">
        <f t="shared" si="22"/>
        <v>93</v>
      </c>
      <c r="K94" s="879">
        <f t="shared" si="22"/>
        <v>92</v>
      </c>
      <c r="L94" s="879">
        <f t="shared" si="22"/>
        <v>91</v>
      </c>
      <c r="M94" s="880">
        <f t="shared" si="22"/>
        <v>90</v>
      </c>
      <c r="N94" s="2352"/>
      <c r="O94" s="2352"/>
      <c r="P94" s="2836"/>
      <c r="Q94" s="2830"/>
      <c r="R94" s="2343"/>
      <c r="S94" s="2343"/>
      <c r="T94" s="2343"/>
      <c r="U94" s="2343"/>
      <c r="V94" s="2343"/>
      <c r="W94" s="2343"/>
      <c r="X94" s="2343"/>
      <c r="Y94" s="2343"/>
      <c r="Z94" s="2343"/>
      <c r="AA94" s="2343"/>
      <c r="AB94" s="2343"/>
      <c r="AC94" s="2343"/>
    </row>
    <row r="95" spans="1:29" ht="15" thickTop="1">
      <c r="A95" s="934"/>
      <c r="B95" s="873" t="s">
        <v>470</v>
      </c>
      <c r="C95" s="3360" t="s">
        <v>3125</v>
      </c>
      <c r="D95" s="865"/>
      <c r="E95" s="865"/>
      <c r="F95" s="865"/>
      <c r="G95" s="865"/>
      <c r="H95" s="865"/>
      <c r="I95" s="865"/>
      <c r="J95" s="865"/>
      <c r="K95" s="866"/>
      <c r="L95" s="867"/>
      <c r="M95" s="868"/>
      <c r="N95" s="2351"/>
      <c r="O95" s="2351"/>
      <c r="P95" s="2836"/>
      <c r="Q95" s="2830"/>
      <c r="R95" s="2343"/>
      <c r="S95" s="2343"/>
      <c r="T95" s="2343"/>
      <c r="U95" s="2343"/>
      <c r="V95" s="2343"/>
      <c r="W95" s="2343"/>
      <c r="X95" s="2343"/>
      <c r="Y95" s="2343"/>
      <c r="Z95" s="2343"/>
      <c r="AA95" s="2343"/>
      <c r="AB95" s="2343"/>
      <c r="AC95" s="2343"/>
    </row>
    <row r="96" spans="1:29" ht="15.75" thickBot="1">
      <c r="A96" s="869"/>
      <c r="B96" s="878"/>
      <c r="C96" s="879">
        <v>100</v>
      </c>
      <c r="D96" s="879">
        <f>C96-$K33</f>
        <v>99</v>
      </c>
      <c r="E96" s="879">
        <f>D96-$K33</f>
        <v>98</v>
      </c>
      <c r="F96" s="879">
        <f>E96-$K33</f>
        <v>97</v>
      </c>
      <c r="G96" s="879">
        <f>F96-$K33</f>
        <v>96</v>
      </c>
      <c r="H96" s="879"/>
      <c r="I96" s="879"/>
      <c r="J96" s="879"/>
      <c r="K96" s="879"/>
      <c r="L96" s="879"/>
      <c r="M96" s="880"/>
      <c r="N96" s="2352"/>
      <c r="O96" s="2352"/>
      <c r="P96" s="2836"/>
      <c r="Q96" s="2830"/>
      <c r="R96" s="2343"/>
      <c r="S96" s="2343"/>
      <c r="T96" s="2343"/>
      <c r="U96" s="2343"/>
      <c r="V96" s="2343"/>
      <c r="W96" s="2343"/>
      <c r="X96" s="2343"/>
      <c r="Y96" s="2343"/>
      <c r="Z96" s="2343"/>
      <c r="AA96" s="2343"/>
      <c r="AB96" s="2343"/>
      <c r="AC96" s="2343"/>
    </row>
    <row r="97" spans="1:29" ht="15" thickTop="1">
      <c r="A97" s="934"/>
      <c r="B97" s="971">
        <f>B34</f>
        <v>0</v>
      </c>
      <c r="C97" s="884"/>
      <c r="D97" s="884"/>
      <c r="E97" s="884"/>
      <c r="F97" s="884"/>
      <c r="G97" s="889"/>
      <c r="H97" s="890"/>
      <c r="I97" s="890"/>
      <c r="J97" s="890"/>
      <c r="K97" s="890"/>
      <c r="L97" s="891"/>
      <c r="M97" s="892"/>
      <c r="N97" s="2352"/>
      <c r="O97" s="2352"/>
      <c r="P97" s="2843"/>
      <c r="Q97" s="2844"/>
      <c r="R97" s="2343"/>
      <c r="S97" s="2343"/>
      <c r="T97" s="2343"/>
      <c r="U97" s="2343"/>
      <c r="V97" s="2343"/>
      <c r="W97" s="2343"/>
      <c r="X97" s="2343"/>
      <c r="Y97" s="2343"/>
      <c r="Z97" s="2343"/>
      <c r="AA97" s="2343"/>
      <c r="AB97" s="2343"/>
      <c r="AC97" s="2343"/>
    </row>
    <row r="98" spans="1:29" ht="15.75" thickBot="1">
      <c r="A98" s="869"/>
      <c r="B98" s="878"/>
      <c r="C98" s="895"/>
      <c r="D98" s="871"/>
      <c r="E98" s="871"/>
      <c r="F98" s="871"/>
      <c r="G98" s="895"/>
      <c r="H98" s="897"/>
      <c r="I98" s="897"/>
      <c r="J98" s="897"/>
      <c r="K98" s="897"/>
      <c r="L98" s="897"/>
      <c r="M98" s="898"/>
      <c r="N98" s="2352"/>
      <c r="O98" s="2352"/>
      <c r="P98" s="2836"/>
      <c r="Q98" s="2830"/>
      <c r="R98" s="2343"/>
      <c r="S98" s="2343"/>
      <c r="T98" s="2343"/>
      <c r="U98" s="2343"/>
      <c r="V98" s="2343"/>
      <c r="W98" s="2343"/>
      <c r="X98" s="2343"/>
      <c r="Y98" s="2343"/>
      <c r="Z98" s="2343"/>
      <c r="AA98" s="2343"/>
      <c r="AB98" s="2343"/>
      <c r="AC98" s="2343"/>
    </row>
    <row r="99" spans="1:29" s="806" customFormat="1" ht="15" thickTop="1">
      <c r="A99" s="928"/>
      <c r="B99" s="873">
        <f>B35</f>
        <v>0</v>
      </c>
      <c r="C99" s="884"/>
      <c r="D99" s="884"/>
      <c r="E99" s="884"/>
      <c r="F99" s="884"/>
      <c r="G99" s="889"/>
      <c r="H99" s="890"/>
      <c r="I99" s="890"/>
      <c r="J99" s="890"/>
      <c r="K99" s="890"/>
      <c r="L99" s="891"/>
      <c r="M99" s="892"/>
      <c r="N99" s="2353"/>
      <c r="O99" s="2353"/>
      <c r="P99" s="2837"/>
      <c r="Q99" s="2838"/>
      <c r="R99" s="2839"/>
      <c r="S99" s="2839"/>
      <c r="T99" s="2839"/>
      <c r="U99" s="2839"/>
      <c r="V99" s="2839"/>
      <c r="W99" s="2839"/>
      <c r="X99" s="2839"/>
      <c r="Y99" s="2839"/>
      <c r="Z99" s="2839"/>
      <c r="AA99" s="2839"/>
      <c r="AB99" s="2839"/>
      <c r="AC99" s="2839"/>
    </row>
    <row r="100" spans="1:29" s="806" customFormat="1" ht="15.75" thickBot="1">
      <c r="A100" s="888"/>
      <c r="B100" s="870"/>
      <c r="C100" s="895"/>
      <c r="D100" s="871"/>
      <c r="E100" s="871"/>
      <c r="F100" s="871"/>
      <c r="G100" s="895"/>
      <c r="H100" s="897"/>
      <c r="I100" s="897"/>
      <c r="J100" s="897"/>
      <c r="K100" s="897"/>
      <c r="L100" s="897"/>
      <c r="M100" s="898"/>
      <c r="N100" s="2353"/>
      <c r="O100" s="2353"/>
      <c r="P100" s="2837"/>
      <c r="Q100" s="2838"/>
      <c r="R100" s="2839"/>
      <c r="S100" s="2839"/>
      <c r="T100" s="2839"/>
      <c r="U100" s="2839"/>
      <c r="V100" s="2839"/>
      <c r="W100" s="2839"/>
      <c r="X100" s="2839"/>
      <c r="Y100" s="2839"/>
      <c r="Z100" s="2839"/>
      <c r="AA100" s="2839"/>
      <c r="AB100" s="2839"/>
      <c r="AC100" s="2839"/>
    </row>
    <row r="101" spans="1:29" ht="15" thickTop="1">
      <c r="A101" s="934"/>
      <c r="B101" s="873">
        <f>B36</f>
        <v>0</v>
      </c>
      <c r="C101" s="889"/>
      <c r="D101" s="889"/>
      <c r="E101" s="889"/>
      <c r="F101" s="889"/>
      <c r="G101" s="889"/>
      <c r="H101" s="890"/>
      <c r="I101" s="890"/>
      <c r="J101" s="890"/>
      <c r="K101" s="890"/>
      <c r="L101" s="891"/>
      <c r="M101" s="892"/>
      <c r="N101" s="2351"/>
      <c r="O101" s="2351"/>
      <c r="P101" s="2836"/>
      <c r="Q101" s="2830"/>
      <c r="R101" s="2343"/>
      <c r="S101" s="2343"/>
      <c r="T101" s="2343"/>
      <c r="U101" s="2343"/>
      <c r="V101" s="2343"/>
      <c r="W101" s="2343"/>
      <c r="X101" s="2343"/>
      <c r="Y101" s="2343"/>
      <c r="Z101" s="2343"/>
      <c r="AA101" s="2343"/>
      <c r="AB101" s="2343"/>
      <c r="AC101" s="2343"/>
    </row>
    <row r="102" spans="1:29" ht="15.75" thickBot="1">
      <c r="A102" s="869"/>
      <c r="B102" s="878"/>
      <c r="C102" s="895"/>
      <c r="D102" s="895"/>
      <c r="E102" s="895"/>
      <c r="F102" s="895"/>
      <c r="G102" s="895"/>
      <c r="H102" s="897"/>
      <c r="I102" s="897"/>
      <c r="J102" s="897"/>
      <c r="K102" s="897"/>
      <c r="L102" s="897"/>
      <c r="M102" s="898"/>
      <c r="N102" s="2352"/>
      <c r="O102" s="2352"/>
      <c r="P102" s="2836"/>
      <c r="Q102" s="2830"/>
      <c r="R102" s="2343"/>
      <c r="S102" s="2343"/>
      <c r="T102" s="2343"/>
      <c r="U102" s="2343"/>
      <c r="V102" s="2343"/>
      <c r="W102" s="2343"/>
      <c r="X102" s="2343"/>
      <c r="Y102" s="2343"/>
      <c r="Z102" s="2343"/>
      <c r="AA102" s="2343"/>
      <c r="AB102" s="2343"/>
      <c r="AC102" s="23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0" customWidth="1"/>
    <col min="12" max="12" width="12.25" style="831"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3112" customFormat="1" ht="28.5" customHeight="1" thickBot="1">
      <c r="A1" s="3101" t="s">
        <v>385</v>
      </c>
      <c r="B1" s="3113"/>
      <c r="C1" s="3103" t="s">
        <v>441</v>
      </c>
      <c r="D1" s="3084"/>
      <c r="E1" s="3114"/>
      <c r="F1" s="3086"/>
      <c r="G1" s="3115" t="s">
        <v>442</v>
      </c>
      <c r="H1" s="3114"/>
      <c r="I1" s="3114"/>
      <c r="J1" s="3114"/>
      <c r="K1" s="3116"/>
      <c r="L1" s="3117"/>
      <c r="M1" s="3118"/>
      <c r="N1" s="3118"/>
      <c r="O1" s="3118"/>
      <c r="P1" s="3103"/>
      <c r="Q1" s="3103"/>
      <c r="R1" s="3103"/>
      <c r="S1" s="3103"/>
      <c r="T1" s="3103"/>
      <c r="U1" s="3103"/>
      <c r="V1" s="3103"/>
      <c r="W1" s="3103"/>
      <c r="X1" s="3103"/>
      <c r="Y1" s="3103"/>
      <c r="Z1" s="3103"/>
      <c r="AA1" s="3103"/>
      <c r="AB1" s="3103"/>
      <c r="AC1" s="3111"/>
    </row>
    <row r="2" spans="1:29" s="737" customFormat="1" ht="28.5" customHeight="1" thickTop="1">
      <c r="A2" s="3100" t="s">
        <v>443</v>
      </c>
      <c r="B2" s="2825" t="e">
        <f ca="1">IF(C2="——",ROUND(C37*D3/10000,0),ROUND(C37*D3/10000,0)-D2)</f>
        <v>#DIV/0!</v>
      </c>
      <c r="C2" s="3078"/>
      <c r="D2" s="2323" t="e">
        <f ca="1">SUMIF(INDIRECT("'"&amp;F2&amp;"'"&amp;"!A:A"),"承租人权益价值",INDIRECT("'"&amp;F2&amp;"'"&amp;"!c:c"))</f>
        <v>#REF!</v>
      </c>
      <c r="E2" s="3079" t="s">
        <v>863</v>
      </c>
      <c r="F2" s="3080"/>
      <c r="G2" s="2324"/>
      <c r="H2" s="2324"/>
      <c r="I2" s="2324"/>
      <c r="J2" s="2324"/>
      <c r="K2" s="2326"/>
      <c r="L2" s="2327"/>
      <c r="M2" s="2328"/>
      <c r="N2" s="2328"/>
      <c r="O2" s="2328"/>
      <c r="P2" s="1306"/>
      <c r="Q2" s="1306"/>
      <c r="R2" s="1306"/>
      <c r="S2" s="1306"/>
      <c r="T2" s="1306"/>
      <c r="U2" s="1306"/>
      <c r="V2" s="1306"/>
      <c r="W2" s="1306"/>
      <c r="X2" s="1306"/>
      <c r="Y2" s="1306"/>
      <c r="Z2" s="1306"/>
      <c r="AA2" s="1306"/>
      <c r="AB2" s="1306"/>
      <c r="AC2" s="1307"/>
    </row>
    <row r="3" spans="1:29" s="737" customFormat="1" ht="28.5" customHeight="1" thickBot="1">
      <c r="A3" s="575" t="s">
        <v>444</v>
      </c>
      <c r="B3" s="944" t="e">
        <f ca="1">IF(C2="——",C37,ROUND(B2*10000/D3,0))</f>
        <v>#DIV/0!</v>
      </c>
      <c r="C3" s="739" t="s">
        <v>445</v>
      </c>
      <c r="D3" s="738">
        <f>SUMIF('数据-汇总表'!$C19:$C33,D1,'数据-汇总表'!$E19:$E33)</f>
        <v>0</v>
      </c>
      <c r="E3" s="2324"/>
      <c r="F3" s="2325"/>
      <c r="G3" s="2324"/>
      <c r="H3" s="2324"/>
      <c r="I3" s="2324"/>
      <c r="J3" s="2324"/>
      <c r="K3" s="2326"/>
      <c r="L3" s="2327"/>
      <c r="M3" s="2328"/>
      <c r="N3" s="2328"/>
      <c r="O3" s="2328"/>
      <c r="P3" s="1306"/>
      <c r="Q3" s="1306"/>
      <c r="R3" s="1306"/>
      <c r="S3" s="1306"/>
      <c r="T3" s="1306"/>
      <c r="U3" s="1306"/>
      <c r="V3" s="1306"/>
      <c r="W3" s="1306"/>
      <c r="X3" s="1306"/>
      <c r="Y3" s="1306"/>
      <c r="Z3" s="1306"/>
      <c r="AA3" s="1306"/>
      <c r="AB3" s="1398"/>
      <c r="AC3" s="1388"/>
    </row>
    <row r="4" spans="1:29" ht="15">
      <c r="A4" s="740" t="s">
        <v>446</v>
      </c>
      <c r="B4" s="741"/>
      <c r="C4" s="3601" t="s">
        <v>447</v>
      </c>
      <c r="D4" s="3602"/>
      <c r="E4" s="3603" t="s">
        <v>448</v>
      </c>
      <c r="F4" s="3604"/>
      <c r="G4" s="3601" t="s">
        <v>449</v>
      </c>
      <c r="H4" s="3602"/>
      <c r="I4" s="3601" t="s">
        <v>450</v>
      </c>
      <c r="J4" s="3602"/>
      <c r="K4" s="945" t="s">
        <v>451</v>
      </c>
      <c r="L4" s="2329"/>
      <c r="M4" s="2330"/>
      <c r="N4" s="2330"/>
      <c r="O4" s="2330"/>
      <c r="P4" s="3605" t="s">
        <v>452</v>
      </c>
      <c r="Q4" s="3606"/>
      <c r="R4" s="3611" t="s">
        <v>448</v>
      </c>
      <c r="S4" s="3612"/>
      <c r="T4" s="3611" t="s">
        <v>449</v>
      </c>
      <c r="U4" s="3612"/>
      <c r="V4" s="3597" t="s">
        <v>450</v>
      </c>
      <c r="W4" s="3597"/>
      <c r="X4" s="1308"/>
      <c r="Y4" s="3611" t="s">
        <v>452</v>
      </c>
      <c r="Z4" s="3612"/>
      <c r="AA4" s="3598" t="s">
        <v>448</v>
      </c>
      <c r="AB4" s="3599" t="s">
        <v>449</v>
      </c>
      <c r="AC4" s="3598" t="s">
        <v>450</v>
      </c>
    </row>
    <row r="5" spans="1:29" ht="15">
      <c r="A5" s="743"/>
      <c r="B5" s="744"/>
      <c r="C5" s="3624" t="s">
        <v>1120</v>
      </c>
      <c r="D5" s="3625"/>
      <c r="E5" s="3705" t="s">
        <v>1121</v>
      </c>
      <c r="F5" s="3706"/>
      <c r="G5" s="3624" t="s">
        <v>61</v>
      </c>
      <c r="H5" s="3625"/>
      <c r="I5" s="3624" t="s">
        <v>1122</v>
      </c>
      <c r="J5" s="3625"/>
      <c r="K5" s="945"/>
      <c r="L5" s="2329"/>
      <c r="M5" s="2330"/>
      <c r="N5" s="2330"/>
      <c r="O5" s="2330"/>
      <c r="P5" s="3607"/>
      <c r="Q5" s="3608"/>
      <c r="R5" s="3613"/>
      <c r="S5" s="3614"/>
      <c r="T5" s="3613"/>
      <c r="U5" s="3614"/>
      <c r="V5" s="3597"/>
      <c r="W5" s="3597"/>
      <c r="X5" s="1308"/>
      <c r="Y5" s="3613"/>
      <c r="Z5" s="3614"/>
      <c r="AA5" s="3599"/>
      <c r="AB5" s="3599"/>
      <c r="AC5" s="3599"/>
    </row>
    <row r="6" spans="1:29" ht="15.75" thickBot="1">
      <c r="A6" s="745"/>
      <c r="B6" s="746"/>
      <c r="C6" s="3626" t="s">
        <v>1123</v>
      </c>
      <c r="D6" s="3627"/>
      <c r="E6" s="3703" t="s">
        <v>1123</v>
      </c>
      <c r="F6" s="3704"/>
      <c r="G6" s="3626" t="s">
        <v>1123</v>
      </c>
      <c r="H6" s="3627"/>
      <c r="I6" s="3626" t="s">
        <v>1123</v>
      </c>
      <c r="J6" s="3627"/>
      <c r="K6" s="945" t="s">
        <v>394</v>
      </c>
      <c r="L6" s="2329"/>
      <c r="M6" s="2330"/>
      <c r="N6" s="2330"/>
      <c r="O6" s="2330"/>
      <c r="P6" s="3609"/>
      <c r="Q6" s="3610"/>
      <c r="R6" s="3613"/>
      <c r="S6" s="3614"/>
      <c r="T6" s="3615"/>
      <c r="U6" s="3616"/>
      <c r="V6" s="3597"/>
      <c r="W6" s="3597"/>
      <c r="X6" s="1308"/>
      <c r="Y6" s="3615"/>
      <c r="Z6" s="3616"/>
      <c r="AA6" s="3600"/>
      <c r="AB6" s="3600"/>
      <c r="AC6" s="3600"/>
    </row>
    <row r="7" spans="1:29" s="404" customFormat="1" ht="15.75" thickBot="1">
      <c r="A7" s="747" t="s">
        <v>395</v>
      </c>
      <c r="B7" s="748"/>
      <c r="C7" s="749">
        <f>'数据-取费表'!B2</f>
        <v>43006</v>
      </c>
      <c r="D7" s="750">
        <v>100</v>
      </c>
      <c r="E7" s="1009"/>
      <c r="F7" s="752">
        <f>SUMIF(46:46,YEAR(E7)&amp;"-"&amp;MONTH(E7),47:47)</f>
        <v>0</v>
      </c>
      <c r="G7" s="1010"/>
      <c r="H7" s="750">
        <f>SUMIF(46:46,YEAR(G7)&amp;"-"&amp;MONTH(G7),47:47)</f>
        <v>0</v>
      </c>
      <c r="I7" s="1009"/>
      <c r="J7" s="750">
        <f>SUMIF(46:46,YEAR(I7)&amp;"-"&amp;MONTH(I7),47:47)</f>
        <v>0</v>
      </c>
      <c r="K7" s="946"/>
      <c r="L7" s="2331"/>
      <c r="M7" s="2332"/>
      <c r="N7" s="2332"/>
      <c r="O7" s="2332"/>
      <c r="P7" s="3621" t="s">
        <v>396</v>
      </c>
      <c r="Q7" s="3623"/>
      <c r="R7" s="1309" t="s">
        <v>65</v>
      </c>
      <c r="S7" s="1310">
        <f t="shared" ref="S7:S14" si="0">F7</f>
        <v>0</v>
      </c>
      <c r="T7" s="1309" t="s">
        <v>65</v>
      </c>
      <c r="U7" s="1310">
        <f t="shared" ref="U7:U14" si="1">H7</f>
        <v>0</v>
      </c>
      <c r="V7" s="1309" t="s">
        <v>65</v>
      </c>
      <c r="W7" s="1310">
        <f t="shared" ref="W7:W14" si="2">J7</f>
        <v>0</v>
      </c>
      <c r="X7" s="1311"/>
      <c r="Y7" s="3621" t="s">
        <v>396</v>
      </c>
      <c r="Z7" s="3622"/>
      <c r="AA7" s="1312" t="e">
        <f>D7/F7</f>
        <v>#DIV/0!</v>
      </c>
      <c r="AB7" s="1312" t="e">
        <f>D7/H7</f>
        <v>#DIV/0!</v>
      </c>
      <c r="AC7" s="1312" t="e">
        <f>D7/J7</f>
        <v>#DIV/0!</v>
      </c>
    </row>
    <row r="8" spans="1:29" s="404" customFormat="1" ht="15.75" thickBot="1">
      <c r="A8" s="747" t="s">
        <v>397</v>
      </c>
      <c r="B8" s="748"/>
      <c r="C8" s="753" t="s">
        <v>414</v>
      </c>
      <c r="D8" s="750">
        <v>100</v>
      </c>
      <c r="E8" s="753"/>
      <c r="F8" s="752">
        <f>SUMIF(49:49,E8,50:50)-SUMIF(49:49,C8,50:50)+100</f>
        <v>0</v>
      </c>
      <c r="G8" s="753"/>
      <c r="H8" s="750">
        <f>SUMIF(49:49,G8,50:50)-SUMIF(49:49,C8,50:50)+100</f>
        <v>0</v>
      </c>
      <c r="I8" s="753"/>
      <c r="J8" s="750">
        <f>SUMIF(49:49,I8,50:50)-SUMIF(49:49,C8,50:50)+100</f>
        <v>0</v>
      </c>
      <c r="K8" s="946"/>
      <c r="L8" s="2331"/>
      <c r="M8" s="2332"/>
      <c r="N8" s="2332"/>
      <c r="O8" s="2332"/>
      <c r="P8" s="3621" t="s">
        <v>432</v>
      </c>
      <c r="Q8" s="3622"/>
      <c r="R8" s="1309" t="s">
        <v>65</v>
      </c>
      <c r="S8" s="1310">
        <f t="shared" si="0"/>
        <v>0</v>
      </c>
      <c r="T8" s="1309" t="s">
        <v>65</v>
      </c>
      <c r="U8" s="1310">
        <f t="shared" si="1"/>
        <v>0</v>
      </c>
      <c r="V8" s="1309" t="s">
        <v>65</v>
      </c>
      <c r="W8" s="1310">
        <f t="shared" si="2"/>
        <v>0</v>
      </c>
      <c r="X8" s="1311"/>
      <c r="Y8" s="3621" t="s">
        <v>432</v>
      </c>
      <c r="Z8" s="3622"/>
      <c r="AA8" s="1312" t="e">
        <f t="shared" ref="AA8:AA34" si="3">D8/F8</f>
        <v>#DIV/0!</v>
      </c>
      <c r="AB8" s="1312" t="e">
        <f t="shared" ref="AB8:AB34" si="4">D8/H8</f>
        <v>#DIV/0!</v>
      </c>
      <c r="AC8" s="1312" t="e">
        <f t="shared" ref="AC8:AC34" si="5">D8/J8</f>
        <v>#DIV/0!</v>
      </c>
    </row>
    <row r="9" spans="1:29" s="404" customFormat="1">
      <c r="A9" s="754" t="s">
        <v>398</v>
      </c>
      <c r="B9" s="359" t="s">
        <v>416</v>
      </c>
      <c r="C9" s="1335"/>
      <c r="D9" s="421">
        <v>100</v>
      </c>
      <c r="E9" s="756"/>
      <c r="F9" s="755">
        <f>SUMIF(51:51,E9,52:52)-SUMIF(51:51,C9,52:52)+100</f>
        <v>100</v>
      </c>
      <c r="G9" s="756"/>
      <c r="H9" s="421">
        <f>SUMIF(51:51,G9,52:52)-SUMIF(51:51,C9,52:52)+100</f>
        <v>100</v>
      </c>
      <c r="I9" s="756"/>
      <c r="J9" s="421">
        <f>SUMIF(51:51,I9,52:52)-SUMIF(51:51,C9,52:52)+100</f>
        <v>100</v>
      </c>
      <c r="K9" s="946"/>
      <c r="L9" s="2331"/>
      <c r="M9" s="2332"/>
      <c r="N9" s="2332"/>
      <c r="O9" s="2333"/>
      <c r="P9" s="3592" t="s">
        <v>399</v>
      </c>
      <c r="Q9" s="294" t="str">
        <f t="shared" ref="Q9:Q14" si="6">B9</f>
        <v>用途</v>
      </c>
      <c r="R9" s="1309" t="s">
        <v>65</v>
      </c>
      <c r="S9" s="1310">
        <f t="shared" si="0"/>
        <v>100</v>
      </c>
      <c r="T9" s="1309" t="s">
        <v>65</v>
      </c>
      <c r="U9" s="1310">
        <f t="shared" si="1"/>
        <v>100</v>
      </c>
      <c r="V9" s="1309" t="s">
        <v>65</v>
      </c>
      <c r="W9" s="1310">
        <f t="shared" si="2"/>
        <v>100</v>
      </c>
      <c r="X9" s="1311"/>
      <c r="Y9" s="3478" t="s">
        <v>400</v>
      </c>
      <c r="Z9" s="342" t="str">
        <f t="shared" ref="Z9:Z14" si="7">Q9</f>
        <v>用途</v>
      </c>
      <c r="AA9" s="1312">
        <f t="shared" si="3"/>
        <v>1</v>
      </c>
      <c r="AB9" s="1312">
        <f t="shared" si="4"/>
        <v>1</v>
      </c>
      <c r="AC9" s="1312">
        <f t="shared" si="5"/>
        <v>1</v>
      </c>
    </row>
    <row r="10" spans="1:29" s="763" customFormat="1" ht="27">
      <c r="A10" s="758"/>
      <c r="B10" s="759" t="s">
        <v>401</v>
      </c>
      <c r="C10" s="760"/>
      <c r="D10" s="422">
        <v>100</v>
      </c>
      <c r="E10" s="760"/>
      <c r="F10" s="761">
        <f>SUMIF(53:53,E10,54:54)-SUMIF(53:53,C10,54:54)+100</f>
        <v>100</v>
      </c>
      <c r="G10" s="760"/>
      <c r="H10" s="422">
        <f>SUMIF(53:53,G10,54:54)-SUMIF(53:53,C10,54:54)+100</f>
        <v>100</v>
      </c>
      <c r="I10" s="760"/>
      <c r="J10" s="422">
        <f>SUMIF(53:53,I10,54:54)-SUMIF(53:53,C10,54:54)+100</f>
        <v>100</v>
      </c>
      <c r="K10" s="947"/>
      <c r="L10" s="2334"/>
      <c r="M10" s="2335"/>
      <c r="N10" s="2335"/>
      <c r="O10" s="2336"/>
      <c r="P10" s="3592"/>
      <c r="Q10" s="294" t="str">
        <f t="shared" si="6"/>
        <v>土地使用年限（年）</v>
      </c>
      <c r="R10" s="1309" t="s">
        <v>65</v>
      </c>
      <c r="S10" s="1310">
        <f t="shared" si="0"/>
        <v>100</v>
      </c>
      <c r="T10" s="1309" t="s">
        <v>65</v>
      </c>
      <c r="U10" s="1310">
        <f t="shared" si="1"/>
        <v>100</v>
      </c>
      <c r="V10" s="1309" t="s">
        <v>65</v>
      </c>
      <c r="W10" s="1310">
        <f t="shared" si="2"/>
        <v>100</v>
      </c>
      <c r="X10" s="1311"/>
      <c r="Y10" s="3478"/>
      <c r="Z10" s="342" t="str">
        <f t="shared" si="7"/>
        <v>土地使用年限（年）</v>
      </c>
      <c r="AA10" s="1312">
        <f t="shared" si="3"/>
        <v>1</v>
      </c>
      <c r="AB10" s="1312">
        <f t="shared" si="4"/>
        <v>1</v>
      </c>
      <c r="AC10" s="1312">
        <f t="shared" si="5"/>
        <v>1</v>
      </c>
    </row>
    <row r="11" spans="1:29" ht="15">
      <c r="A11" s="764"/>
      <c r="B11" s="1021">
        <v>111</v>
      </c>
      <c r="C11" s="1016"/>
      <c r="D11" s="422">
        <v>100</v>
      </c>
      <c r="E11" s="1347"/>
      <c r="F11" s="761">
        <f>SUMIF(55:55,E11,56:56)-SUMIF(55:55,C11,56:56)+100</f>
        <v>100</v>
      </c>
      <c r="G11" s="1347"/>
      <c r="H11" s="422">
        <f>SUMIF(55:55,G11,56:56)-SUMIF(55:55,C11,56:56)+100</f>
        <v>100</v>
      </c>
      <c r="I11" s="1347"/>
      <c r="J11" s="422">
        <f>SUMIF(55:55,I11,56:56)-SUMIF(55:55,C11,56:56)+100</f>
        <v>100</v>
      </c>
      <c r="K11" s="948"/>
      <c r="L11" s="2337"/>
      <c r="M11" s="2330"/>
      <c r="N11" s="2330"/>
      <c r="O11" s="2338"/>
      <c r="P11" s="3592"/>
      <c r="Q11" s="294">
        <f t="shared" si="6"/>
        <v>111</v>
      </c>
      <c r="R11" s="1309" t="s">
        <v>65</v>
      </c>
      <c r="S11" s="1310">
        <f t="shared" si="0"/>
        <v>100</v>
      </c>
      <c r="T11" s="1309" t="s">
        <v>65</v>
      </c>
      <c r="U11" s="1310">
        <f t="shared" si="1"/>
        <v>100</v>
      </c>
      <c r="V11" s="1309" t="s">
        <v>65</v>
      </c>
      <c r="W11" s="1310">
        <f t="shared" si="2"/>
        <v>100</v>
      </c>
      <c r="X11" s="1311"/>
      <c r="Y11" s="3478"/>
      <c r="Z11" s="342">
        <f t="shared" si="7"/>
        <v>111</v>
      </c>
      <c r="AA11" s="1312">
        <f t="shared" si="3"/>
        <v>1</v>
      </c>
      <c r="AB11" s="1312">
        <f t="shared" si="4"/>
        <v>1</v>
      </c>
      <c r="AC11" s="1312">
        <f t="shared" si="5"/>
        <v>1</v>
      </c>
    </row>
    <row r="12" spans="1:29" s="404" customFormat="1" ht="15">
      <c r="A12" s="767"/>
      <c r="B12" s="1021">
        <v>111</v>
      </c>
      <c r="C12" s="1016"/>
      <c r="D12" s="769">
        <v>100</v>
      </c>
      <c r="E12" s="1347"/>
      <c r="F12" s="761">
        <f>SUMIF(57:57,E12,58:58)-SUMIF(57:57,C12,58:58)+100</f>
        <v>100</v>
      </c>
      <c r="G12" s="1347"/>
      <c r="H12" s="422">
        <f>SUMIF(57:57,G12,58:58)-SUMIF(57:57,C12,58:58)+100</f>
        <v>100</v>
      </c>
      <c r="I12" s="1347"/>
      <c r="J12" s="422">
        <f>SUMIF(57:57,I12,58:58)-SUMIF(57:57,C12,58:58)+100</f>
        <v>100</v>
      </c>
      <c r="K12" s="948"/>
      <c r="L12" s="2331"/>
      <c r="M12" s="2332"/>
      <c r="N12" s="2332"/>
      <c r="O12" s="2333"/>
      <c r="P12" s="3592"/>
      <c r="Q12" s="294">
        <f t="shared" si="6"/>
        <v>111</v>
      </c>
      <c r="R12" s="1309" t="s">
        <v>65</v>
      </c>
      <c r="S12" s="1310">
        <f t="shared" si="0"/>
        <v>100</v>
      </c>
      <c r="T12" s="1309" t="s">
        <v>65</v>
      </c>
      <c r="U12" s="1310">
        <f t="shared" si="1"/>
        <v>100</v>
      </c>
      <c r="V12" s="1309" t="s">
        <v>65</v>
      </c>
      <c r="W12" s="1310">
        <f t="shared" si="2"/>
        <v>100</v>
      </c>
      <c r="X12" s="1311"/>
      <c r="Y12" s="3478"/>
      <c r="Z12" s="342">
        <f t="shared" si="7"/>
        <v>111</v>
      </c>
      <c r="AA12" s="1312">
        <f>D12/F12</f>
        <v>1</v>
      </c>
      <c r="AB12" s="1312">
        <f>D12/H12</f>
        <v>1</v>
      </c>
      <c r="AC12" s="1312">
        <f>D12/J12</f>
        <v>1</v>
      </c>
    </row>
    <row r="13" spans="1:29" ht="15.75" thickBot="1">
      <c r="A13" s="764"/>
      <c r="B13" s="1021">
        <v>111</v>
      </c>
      <c r="C13" s="93"/>
      <c r="D13" s="771">
        <v>100</v>
      </c>
      <c r="E13" s="1347"/>
      <c r="F13" s="761">
        <f>SUMIF(59:59,E13,60:60)-SUMIF(59:59,C13,60:60)+100</f>
        <v>100</v>
      </c>
      <c r="G13" s="1403"/>
      <c r="H13" s="774">
        <f>SUMIF(59:59,G13,60:60)-SUMIF(59:59,C13,60:60)+100</f>
        <v>100</v>
      </c>
      <c r="I13" s="1347"/>
      <c r="J13" s="771">
        <f>SUMIF(59:59,I13,60:60)-SUMIF(59:59,C13,60:60)+100</f>
        <v>100</v>
      </c>
      <c r="K13" s="948"/>
      <c r="L13" s="2339"/>
      <c r="M13" s="2330"/>
      <c r="N13" s="2330"/>
      <c r="O13" s="2338"/>
      <c r="P13" s="3592"/>
      <c r="Q13" s="294">
        <f t="shared" si="6"/>
        <v>111</v>
      </c>
      <c r="R13" s="1309" t="s">
        <v>65</v>
      </c>
      <c r="S13" s="1310">
        <f t="shared" si="0"/>
        <v>100</v>
      </c>
      <c r="T13" s="1309" t="s">
        <v>65</v>
      </c>
      <c r="U13" s="1310">
        <f t="shared" si="1"/>
        <v>100</v>
      </c>
      <c r="V13" s="1309" t="s">
        <v>65</v>
      </c>
      <c r="W13" s="1310">
        <f t="shared" si="2"/>
        <v>100</v>
      </c>
      <c r="X13" s="1311"/>
      <c r="Y13" s="3478"/>
      <c r="Z13" s="342">
        <f t="shared" si="7"/>
        <v>111</v>
      </c>
      <c r="AA13" s="1312">
        <f t="shared" si="3"/>
        <v>1</v>
      </c>
      <c r="AB13" s="1312">
        <f t="shared" si="4"/>
        <v>1</v>
      </c>
      <c r="AC13" s="1312">
        <f t="shared" si="5"/>
        <v>1</v>
      </c>
    </row>
    <row r="14" spans="1:29" ht="67.5">
      <c r="A14" s="776" t="s">
        <v>403</v>
      </c>
      <c r="B14" s="357" t="s">
        <v>453</v>
      </c>
      <c r="C14" s="210" t="str">
        <f>IF(B1="工业",估价对象房地状况!G4,估价对象房地状况!C6)</f>
        <v>估价对象周边有849、兴23路等公交线路，综合评价交通便捷度一般</v>
      </c>
      <c r="D14" s="777">
        <v>100</v>
      </c>
      <c r="E14" s="95"/>
      <c r="F14" s="779">
        <f>SUMIF(61:61,E15,62:62)-SUMIF(61:61,C15,62:62)+100</f>
        <v>100</v>
      </c>
      <c r="G14" s="96"/>
      <c r="H14" s="777">
        <f>SUMIF(61:61,G15,62:62)-SUMIF(61:61,C15,62:62)+100</f>
        <v>100</v>
      </c>
      <c r="I14" s="95"/>
      <c r="J14" s="777">
        <f>SUMIF(61:61,I15,62:62)-SUMIF(61:61,C15,62:62)+100</f>
        <v>100</v>
      </c>
      <c r="K14" s="949"/>
      <c r="L14" s="2339"/>
      <c r="M14" s="2330"/>
      <c r="N14" s="2330"/>
      <c r="O14" s="2338"/>
      <c r="P14" s="3593" t="s">
        <v>404</v>
      </c>
      <c r="Q14" s="1313" t="str">
        <f t="shared" si="6"/>
        <v>交通便捷度</v>
      </c>
      <c r="R14" s="1314" t="s">
        <v>65</v>
      </c>
      <c r="S14" s="1315">
        <f t="shared" si="0"/>
        <v>100</v>
      </c>
      <c r="T14" s="1314" t="s">
        <v>65</v>
      </c>
      <c r="U14" s="1315">
        <f t="shared" si="1"/>
        <v>100</v>
      </c>
      <c r="V14" s="1314" t="s">
        <v>65</v>
      </c>
      <c r="W14" s="1315">
        <f t="shared" si="2"/>
        <v>100</v>
      </c>
      <c r="X14" s="1308"/>
      <c r="Y14" s="3593" t="s">
        <v>404</v>
      </c>
      <c r="Z14" s="1316" t="str">
        <f t="shared" si="7"/>
        <v>交通便捷度</v>
      </c>
      <c r="AA14" s="1317">
        <f t="shared" si="3"/>
        <v>1</v>
      </c>
      <c r="AB14" s="1317">
        <f t="shared" si="4"/>
        <v>1</v>
      </c>
      <c r="AC14" s="1317">
        <f t="shared" si="5"/>
        <v>1</v>
      </c>
    </row>
    <row r="15" spans="1:29" ht="15">
      <c r="A15" s="764"/>
      <c r="B15" s="782"/>
      <c r="C15" s="97"/>
      <c r="D15" s="784"/>
      <c r="E15" s="783"/>
      <c r="F15" s="785"/>
      <c r="G15" s="783"/>
      <c r="H15" s="786"/>
      <c r="I15" s="783"/>
      <c r="J15" s="784"/>
      <c r="K15" s="950"/>
      <c r="L15" s="2339"/>
      <c r="M15" s="2330"/>
      <c r="N15" s="2330"/>
      <c r="O15" s="2338"/>
      <c r="P15" s="3594"/>
      <c r="Q15" s="1313"/>
      <c r="R15" s="1314"/>
      <c r="S15" s="1315"/>
      <c r="T15" s="1314"/>
      <c r="U15" s="1315"/>
      <c r="V15" s="1314"/>
      <c r="W15" s="1315"/>
      <c r="X15" s="1308"/>
      <c r="Y15" s="3594"/>
      <c r="Z15" s="1316"/>
      <c r="AA15" s="1317">
        <v>1</v>
      </c>
      <c r="AB15" s="1317">
        <v>1</v>
      </c>
      <c r="AC15" s="1317">
        <v>1</v>
      </c>
    </row>
    <row r="16" spans="1:29" ht="54">
      <c r="A16" s="764"/>
      <c r="B16" s="1345" t="s">
        <v>2657</v>
      </c>
      <c r="C16" s="156" t="str">
        <f>IF(B1="工业",估价对象房地状况!G5,估价对象房地状况!C7)</f>
        <v>估价对象所在区域公共配套设施齐备较齐备</v>
      </c>
      <c r="D16" s="791">
        <v>100</v>
      </c>
      <c r="E16" s="105"/>
      <c r="F16" s="794">
        <f>SUMIF(63:63,E17,64:64)-SUMIF(63:63,C17,64:64)+100</f>
        <v>100</v>
      </c>
      <c r="G16" s="106"/>
      <c r="H16" s="791">
        <f>SUMIF(63:63,G17,64:64)-SUMIF(63:63,C17,64:64)+100</f>
        <v>100</v>
      </c>
      <c r="I16" s="105"/>
      <c r="J16" s="791">
        <f>SUMIF(63:63,I17,64:64)-SUMIF(63:63,C17,64:64)+100</f>
        <v>100</v>
      </c>
      <c r="K16" s="949"/>
      <c r="L16" s="2339"/>
      <c r="M16" s="2330"/>
      <c r="N16" s="2330"/>
      <c r="O16" s="2338"/>
      <c r="P16" s="3594"/>
      <c r="Q16" s="1313" t="str">
        <f>B16</f>
        <v>公共配套设施</v>
      </c>
      <c r="R16" s="1314" t="s">
        <v>65</v>
      </c>
      <c r="S16" s="1315">
        <f>F16</f>
        <v>100</v>
      </c>
      <c r="T16" s="1314" t="s">
        <v>65</v>
      </c>
      <c r="U16" s="1315">
        <f>H16</f>
        <v>100</v>
      </c>
      <c r="V16" s="1314" t="s">
        <v>65</v>
      </c>
      <c r="W16" s="1315">
        <f>J16</f>
        <v>100</v>
      </c>
      <c r="X16" s="1308"/>
      <c r="Y16" s="3594"/>
      <c r="Z16" s="1316" t="str">
        <f>Q16</f>
        <v>公共配套设施</v>
      </c>
      <c r="AA16" s="1317">
        <f t="shared" si="3"/>
        <v>1</v>
      </c>
      <c r="AB16" s="1317">
        <f t="shared" si="4"/>
        <v>1</v>
      </c>
      <c r="AC16" s="1317">
        <f t="shared" si="5"/>
        <v>1</v>
      </c>
    </row>
    <row r="17" spans="1:29" ht="15">
      <c r="A17" s="764"/>
      <c r="B17" s="792"/>
      <c r="C17" s="102"/>
      <c r="D17" s="784"/>
      <c r="E17" s="783"/>
      <c r="F17" s="785"/>
      <c r="G17" s="783"/>
      <c r="H17" s="784"/>
      <c r="I17" s="783"/>
      <c r="J17" s="784"/>
      <c r="K17" s="950"/>
      <c r="L17" s="2339"/>
      <c r="M17" s="2330"/>
      <c r="N17" s="2330"/>
      <c r="O17" s="2338"/>
      <c r="P17" s="3594"/>
      <c r="Q17" s="1313"/>
      <c r="R17" s="1314"/>
      <c r="S17" s="1315"/>
      <c r="T17" s="1314"/>
      <c r="U17" s="1315"/>
      <c r="V17" s="1314"/>
      <c r="W17" s="1315"/>
      <c r="X17" s="1308"/>
      <c r="Y17" s="3594"/>
      <c r="Z17" s="1316"/>
      <c r="AA17" s="1317">
        <v>1</v>
      </c>
      <c r="AB17" s="1317">
        <v>1</v>
      </c>
      <c r="AC17" s="1317">
        <v>1</v>
      </c>
    </row>
    <row r="18" spans="1:29" ht="27">
      <c r="A18" s="764"/>
      <c r="B18" s="1401" t="s">
        <v>2659</v>
      </c>
      <c r="C18" s="156" t="str">
        <f>IF(B1="工业",估价对象房地状况!G6,估价对象房地状况!C8)</f>
        <v>区域基础设施水平达七通</v>
      </c>
      <c r="D18" s="791">
        <v>100</v>
      </c>
      <c r="E18" s="100"/>
      <c r="F18" s="794">
        <f>SUMIF(65:65,E19,66:66)-SUMIF(65:65,C19,66:66)+100</f>
        <v>100</v>
      </c>
      <c r="G18" s="101"/>
      <c r="H18" s="791">
        <f>SUMIF(65:65,G19,66:66)-SUMIF(65:65,C19,66:66)+100</f>
        <v>100</v>
      </c>
      <c r="I18" s="105"/>
      <c r="J18" s="791">
        <f>SUMIF(65:65,I19,66:66)-SUMIF(65:65,C19,66:66)+100</f>
        <v>100</v>
      </c>
      <c r="K18" s="949"/>
      <c r="L18" s="2339"/>
      <c r="M18" s="2330"/>
      <c r="N18" s="2330"/>
      <c r="O18" s="2338"/>
      <c r="P18" s="3594"/>
      <c r="Q18" s="2730" t="str">
        <f>B18</f>
        <v>基础设施水平</v>
      </c>
      <c r="R18" s="1314" t="s">
        <v>65</v>
      </c>
      <c r="S18" s="1315">
        <f>F18</f>
        <v>100</v>
      </c>
      <c r="T18" s="1314" t="s">
        <v>65</v>
      </c>
      <c r="U18" s="1315">
        <f>H18</f>
        <v>100</v>
      </c>
      <c r="V18" s="1314" t="s">
        <v>65</v>
      </c>
      <c r="W18" s="1315">
        <f>J18</f>
        <v>100</v>
      </c>
      <c r="X18" s="2732"/>
      <c r="Y18" s="3594"/>
      <c r="Z18" s="2731" t="str">
        <f>Q18</f>
        <v>基础设施水平</v>
      </c>
      <c r="AA18" s="1317">
        <f t="shared" ref="AA18" si="8">D18/F18</f>
        <v>1</v>
      </c>
      <c r="AB18" s="1317">
        <f t="shared" ref="AB18" si="9">D18/H18</f>
        <v>1</v>
      </c>
      <c r="AC18" s="1317">
        <f t="shared" ref="AC18" si="10">D18/J18</f>
        <v>1</v>
      </c>
    </row>
    <row r="19" spans="1:29" ht="15">
      <c r="A19" s="764"/>
      <c r="B19" s="2750"/>
      <c r="C19" s="102"/>
      <c r="D19" s="786"/>
      <c r="E19" s="102"/>
      <c r="F19" s="789"/>
      <c r="G19" s="102"/>
      <c r="H19" s="784"/>
      <c r="I19" s="97"/>
      <c r="J19" s="784"/>
      <c r="K19" s="2748"/>
      <c r="L19" s="2339"/>
      <c r="M19" s="2330"/>
      <c r="N19" s="2330"/>
      <c r="O19" s="2338"/>
      <c r="P19" s="3594"/>
      <c r="Q19" s="2730"/>
      <c r="R19" s="1314"/>
      <c r="S19" s="1315"/>
      <c r="T19" s="1314"/>
      <c r="U19" s="1315"/>
      <c r="V19" s="1314"/>
      <c r="W19" s="1315"/>
      <c r="X19" s="2732"/>
      <c r="Y19" s="3594"/>
      <c r="Z19" s="2731"/>
      <c r="AA19" s="1317">
        <v>1</v>
      </c>
      <c r="AB19" s="1317">
        <v>1</v>
      </c>
      <c r="AC19" s="1317">
        <v>1</v>
      </c>
    </row>
    <row r="20" spans="1:29" ht="67.5">
      <c r="A20" s="764"/>
      <c r="B20" s="787" t="s">
        <v>454</v>
      </c>
      <c r="C20" s="156" t="str">
        <f>IF(B1="工业",估价对象房地状况!G7,估价对象房地状况!C9)</f>
        <v>周边有北京广播电视大学、康庄公园；综合评价环境状况较好</v>
      </c>
      <c r="D20" s="791">
        <v>100</v>
      </c>
      <c r="E20" s="105"/>
      <c r="F20" s="794">
        <f>SUMIF(67:67,E21,68:68)-SUMIF(67:67,C21,68:68)+100</f>
        <v>100</v>
      </c>
      <c r="G20" s="106"/>
      <c r="H20" s="786">
        <f>SUMIF(67:67,G21,68:68)-SUMIF(67:67,C21,68:68)+100</f>
        <v>100</v>
      </c>
      <c r="I20" s="100"/>
      <c r="J20" s="786">
        <f>SUMIF(67:67,I21,68:68)-SUMIF(67:67,C21,68:68)+100</f>
        <v>100</v>
      </c>
      <c r="K20" s="949"/>
      <c r="L20" s="2339"/>
      <c r="M20" s="2330"/>
      <c r="N20" s="2330"/>
      <c r="O20" s="2338"/>
      <c r="P20" s="3594"/>
      <c r="Q20" s="1313" t="str">
        <f>B20</f>
        <v>自然及人文环境</v>
      </c>
      <c r="R20" s="1314" t="s">
        <v>65</v>
      </c>
      <c r="S20" s="1315">
        <f>F20</f>
        <v>100</v>
      </c>
      <c r="T20" s="1314" t="s">
        <v>65</v>
      </c>
      <c r="U20" s="1315">
        <f>H20</f>
        <v>100</v>
      </c>
      <c r="V20" s="1314" t="s">
        <v>65</v>
      </c>
      <c r="W20" s="1315">
        <f>J20</f>
        <v>100</v>
      </c>
      <c r="X20" s="1308"/>
      <c r="Y20" s="3594"/>
      <c r="Z20" s="1316" t="str">
        <f>Q20</f>
        <v>自然及人文环境</v>
      </c>
      <c r="AA20" s="1317">
        <f t="shared" si="3"/>
        <v>1</v>
      </c>
      <c r="AB20" s="1317">
        <f t="shared" si="4"/>
        <v>1</v>
      </c>
      <c r="AC20" s="1317">
        <f t="shared" si="5"/>
        <v>1</v>
      </c>
    </row>
    <row r="21" spans="1:29" ht="15">
      <c r="A21" s="764"/>
      <c r="B21" s="792"/>
      <c r="C21" s="783"/>
      <c r="D21" s="784"/>
      <c r="E21" s="783"/>
      <c r="F21" s="785"/>
      <c r="G21" s="783"/>
      <c r="H21" s="784"/>
      <c r="I21" s="783"/>
      <c r="J21" s="784"/>
      <c r="K21" s="950"/>
      <c r="L21" s="2339"/>
      <c r="M21" s="2330"/>
      <c r="N21" s="2330"/>
      <c r="O21" s="2338"/>
      <c r="P21" s="3594"/>
      <c r="Q21" s="1313"/>
      <c r="R21" s="1314"/>
      <c r="S21" s="1315"/>
      <c r="T21" s="1314"/>
      <c r="U21" s="1315"/>
      <c r="V21" s="1314"/>
      <c r="W21" s="1315"/>
      <c r="X21" s="1308"/>
      <c r="Y21" s="3594"/>
      <c r="Z21" s="1316"/>
      <c r="AA21" s="1317">
        <v>1</v>
      </c>
      <c r="AB21" s="1317">
        <v>1</v>
      </c>
      <c r="AC21" s="1317">
        <v>1</v>
      </c>
    </row>
    <row r="22" spans="1:29" ht="15">
      <c r="A22" s="764"/>
      <c r="B22" s="787" t="s">
        <v>455</v>
      </c>
      <c r="C22" s="951"/>
      <c r="D22" s="786">
        <v>100</v>
      </c>
      <c r="E22" s="951"/>
      <c r="F22" s="797">
        <f>SUMIF(69:69,E22,70:70)-SUMIF(69:69,C22,70:70)+100</f>
        <v>100</v>
      </c>
      <c r="G22" s="951"/>
      <c r="H22" s="771">
        <f>SUMIF(69:69,G22,70:70)-SUMIF(69:69,C22,70:70)+100</f>
        <v>100</v>
      </c>
      <c r="I22" s="951"/>
      <c r="J22" s="771">
        <f>SUMIF(69:69,I22,70:70)-SUMIF(69:69,C22,70:70)+100</f>
        <v>100</v>
      </c>
      <c r="K22" s="947"/>
      <c r="L22" s="2339"/>
      <c r="M22" s="2330"/>
      <c r="N22" s="2330"/>
      <c r="O22" s="2338"/>
      <c r="P22" s="3594"/>
      <c r="Q22" s="1313" t="str">
        <f>B22</f>
        <v>楼层</v>
      </c>
      <c r="R22" s="1314" t="s">
        <v>65</v>
      </c>
      <c r="S22" s="1315">
        <f>F22</f>
        <v>100</v>
      </c>
      <c r="T22" s="1314" t="s">
        <v>65</v>
      </c>
      <c r="U22" s="1315">
        <f>H22</f>
        <v>100</v>
      </c>
      <c r="V22" s="1314" t="s">
        <v>65</v>
      </c>
      <c r="W22" s="1315">
        <f>J22</f>
        <v>100</v>
      </c>
      <c r="X22" s="1308"/>
      <c r="Y22" s="3594"/>
      <c r="Z22" s="1316" t="str">
        <f>Q22</f>
        <v>楼层</v>
      </c>
      <c r="AA22" s="1317">
        <f t="shared" si="3"/>
        <v>1</v>
      </c>
      <c r="AB22" s="1317">
        <f t="shared" si="4"/>
        <v>1</v>
      </c>
      <c r="AC22" s="1317">
        <f t="shared" si="5"/>
        <v>1</v>
      </c>
    </row>
    <row r="23" spans="1:29" ht="15">
      <c r="A23" s="743"/>
      <c r="B23" s="1021">
        <v>111</v>
      </c>
      <c r="C23" s="1016"/>
      <c r="D23" s="771">
        <v>100</v>
      </c>
      <c r="E23" s="93"/>
      <c r="F23" s="797">
        <f>SUMIF(71:71,E23,72:72)-SUMIF(71:71,C23,72:72)+100</f>
        <v>100</v>
      </c>
      <c r="G23" s="93"/>
      <c r="H23" s="771">
        <f>SUMIF(71:71,G23,72:72)-SUMIF(71:71,C23,72:72)+100</f>
        <v>100</v>
      </c>
      <c r="I23" s="93"/>
      <c r="J23" s="771">
        <f>SUMIF(71:71,I23,72:72)-SUMIF(71:71,C23,72:72)+100</f>
        <v>100</v>
      </c>
      <c r="K23" s="948"/>
      <c r="L23" s="2339"/>
      <c r="M23" s="2330"/>
      <c r="N23" s="2330"/>
      <c r="O23" s="2338"/>
      <c r="P23" s="3594"/>
      <c r="Q23" s="1313">
        <f>B23</f>
        <v>111</v>
      </c>
      <c r="R23" s="1314" t="s">
        <v>65</v>
      </c>
      <c r="S23" s="1315">
        <f>F23</f>
        <v>100</v>
      </c>
      <c r="T23" s="1314" t="s">
        <v>65</v>
      </c>
      <c r="U23" s="1315">
        <f>H23</f>
        <v>100</v>
      </c>
      <c r="V23" s="1314" t="s">
        <v>65</v>
      </c>
      <c r="W23" s="1315">
        <f>J23</f>
        <v>100</v>
      </c>
      <c r="X23" s="1308"/>
      <c r="Y23" s="3594"/>
      <c r="Z23" s="1316">
        <f>Q23</f>
        <v>111</v>
      </c>
      <c r="AA23" s="1317">
        <f t="shared" si="3"/>
        <v>1</v>
      </c>
      <c r="AB23" s="1317">
        <f t="shared" si="4"/>
        <v>1</v>
      </c>
      <c r="AC23" s="1317">
        <f t="shared" si="5"/>
        <v>1</v>
      </c>
    </row>
    <row r="24" spans="1:29" ht="15">
      <c r="A24" s="764"/>
      <c r="B24" s="1021">
        <v>111</v>
      </c>
      <c r="C24" s="1016"/>
      <c r="D24" s="771">
        <v>100</v>
      </c>
      <c r="E24" s="93"/>
      <c r="F24" s="797">
        <f>SUMIF(73:73,E24,74:74)-SUMIF(73:73,C24,74:74)+100</f>
        <v>100</v>
      </c>
      <c r="G24" s="93"/>
      <c r="H24" s="771">
        <f>SUMIF(73:73,G24,74:74)-SUMIF(73:73,C24,74:74)+100</f>
        <v>100</v>
      </c>
      <c r="I24" s="93"/>
      <c r="J24" s="771">
        <f>SUMIF(73:73,I24,74:74)-SUMIF(73:73,C24,74:74)+100</f>
        <v>100</v>
      </c>
      <c r="K24" s="948"/>
      <c r="L24" s="2339"/>
      <c r="M24" s="2330"/>
      <c r="N24" s="2330"/>
      <c r="O24" s="2338"/>
      <c r="P24" s="3594"/>
      <c r="Q24" s="1313">
        <f t="shared" ref="Q24:Q34" si="11">B24</f>
        <v>111</v>
      </c>
      <c r="R24" s="1314" t="s">
        <v>65</v>
      </c>
      <c r="S24" s="1315">
        <f>F24</f>
        <v>100</v>
      </c>
      <c r="T24" s="1314" t="s">
        <v>65</v>
      </c>
      <c r="U24" s="1315">
        <f>H24</f>
        <v>100</v>
      </c>
      <c r="V24" s="1314" t="s">
        <v>65</v>
      </c>
      <c r="W24" s="1315">
        <f>J24</f>
        <v>100</v>
      </c>
      <c r="X24" s="1308"/>
      <c r="Y24" s="3594"/>
      <c r="Z24" s="1316">
        <f>Q24</f>
        <v>111</v>
      </c>
      <c r="AA24" s="1317">
        <f t="shared" si="3"/>
        <v>1</v>
      </c>
      <c r="AB24" s="1317">
        <f t="shared" si="4"/>
        <v>1</v>
      </c>
      <c r="AC24" s="1317">
        <f t="shared" si="5"/>
        <v>1</v>
      </c>
    </row>
    <row r="25" spans="1:29" s="404" customFormat="1" ht="15.75" thickBot="1">
      <c r="A25" s="767"/>
      <c r="B25" s="1021">
        <v>111</v>
      </c>
      <c r="C25" s="200"/>
      <c r="D25" s="1000">
        <v>100</v>
      </c>
      <c r="E25" s="200"/>
      <c r="F25" s="1001">
        <f>SUMIF(75:75,E25,76:76)-SUMIF(75:75,C25,76:76)+100</f>
        <v>100</v>
      </c>
      <c r="G25" s="200"/>
      <c r="H25" s="1000">
        <f>SUMIF(75:75,G25,76:76)-SUMIF(75:75,C25,76:76)+100</f>
        <v>100</v>
      </c>
      <c r="I25" s="200"/>
      <c r="J25" s="1000">
        <f>SUMIF(75:75,I25,76:76)-SUMIF(75:75,C25,76:76)+100</f>
        <v>100</v>
      </c>
      <c r="K25" s="948"/>
      <c r="L25" s="2331"/>
      <c r="M25" s="2332"/>
      <c r="N25" s="2332"/>
      <c r="O25" s="2333"/>
      <c r="P25" s="3594"/>
      <c r="Q25" s="294">
        <f t="shared" si="11"/>
        <v>111</v>
      </c>
      <c r="R25" s="1309" t="s">
        <v>65</v>
      </c>
      <c r="S25" s="1310">
        <f>F25</f>
        <v>100</v>
      </c>
      <c r="T25" s="1309" t="s">
        <v>65</v>
      </c>
      <c r="U25" s="1310">
        <f>H25</f>
        <v>100</v>
      </c>
      <c r="V25" s="1309" t="s">
        <v>65</v>
      </c>
      <c r="W25" s="1310">
        <f>J25</f>
        <v>100</v>
      </c>
      <c r="X25" s="1311"/>
      <c r="Y25" s="3594"/>
      <c r="Z25" s="342">
        <f>Q25</f>
        <v>111</v>
      </c>
      <c r="AA25" s="1317">
        <f>D25/F25</f>
        <v>1</v>
      </c>
      <c r="AB25" s="1317">
        <f>D25/H25</f>
        <v>1</v>
      </c>
      <c r="AC25" s="1317">
        <f>D25/J25</f>
        <v>1</v>
      </c>
    </row>
    <row r="26" spans="1:29" ht="15">
      <c r="A26" s="801" t="s">
        <v>405</v>
      </c>
      <c r="B26" s="359" t="s">
        <v>458</v>
      </c>
      <c r="C26" s="195"/>
      <c r="D26" s="802">
        <v>100</v>
      </c>
      <c r="E26" s="195"/>
      <c r="F26" s="1002">
        <f>SUMIF(77:77,E26,78:78)-SUMIF(77:77,C26,78:78)+100</f>
        <v>100</v>
      </c>
      <c r="G26" s="195"/>
      <c r="H26" s="802">
        <f>SUMIF(77:77,G26,78:78)-SUMIF(77:77,C26,78:78)+100</f>
        <v>100</v>
      </c>
      <c r="I26" s="195"/>
      <c r="J26" s="802">
        <f>SUMIF(77:77,I26,78:78)-SUMIF(77:77,C26,78:78)+100</f>
        <v>100</v>
      </c>
      <c r="K26" s="947"/>
      <c r="L26" s="2339"/>
      <c r="M26" s="2330"/>
      <c r="N26" s="2330"/>
      <c r="O26" s="2338"/>
      <c r="P26" s="3595" t="s">
        <v>471</v>
      </c>
      <c r="Q26" s="1313" t="str">
        <f t="shared" si="11"/>
        <v>公共部分装修</v>
      </c>
      <c r="R26" s="1314" t="s">
        <v>65</v>
      </c>
      <c r="S26" s="1315">
        <f t="shared" ref="S26:S34" si="12">F26</f>
        <v>100</v>
      </c>
      <c r="T26" s="1314" t="s">
        <v>65</v>
      </c>
      <c r="U26" s="1315">
        <f t="shared" ref="U26:U34" si="13">H26</f>
        <v>100</v>
      </c>
      <c r="V26" s="1314" t="s">
        <v>65</v>
      </c>
      <c r="W26" s="1315">
        <f t="shared" ref="W26:W34" si="14">J26</f>
        <v>100</v>
      </c>
      <c r="X26" s="1308"/>
      <c r="Y26" s="3596" t="s">
        <v>471</v>
      </c>
      <c r="Z26" s="1316" t="str">
        <f t="shared" ref="Z26:Z34" si="15">Q26</f>
        <v>公共部分装修</v>
      </c>
      <c r="AA26" s="1317">
        <f t="shared" si="3"/>
        <v>1</v>
      </c>
      <c r="AB26" s="1317">
        <f t="shared" si="4"/>
        <v>1</v>
      </c>
      <c r="AC26" s="1317">
        <f t="shared" si="5"/>
        <v>1</v>
      </c>
    </row>
    <row r="27" spans="1:29" s="806" customFormat="1" ht="15">
      <c r="A27" s="803"/>
      <c r="B27" s="759" t="s">
        <v>459</v>
      </c>
      <c r="C27" s="809"/>
      <c r="D27" s="422">
        <v>100</v>
      </c>
      <c r="E27" s="810"/>
      <c r="F27" s="797" t="e">
        <f>LOOKUP(E27,80:80,81:81)-LOOKUP(C27,80:80,81:81)+100</f>
        <v>#N/A</v>
      </c>
      <c r="G27" s="811"/>
      <c r="H27" s="771" t="e">
        <f>LOOKUP(G27,80:80,81:81)-LOOKUP(C27,80:80,81:81)+100</f>
        <v>#N/A</v>
      </c>
      <c r="I27" s="811"/>
      <c r="J27" s="771" t="e">
        <f>LOOKUP(I27,80:80,81:81)-LOOKUP(C27,80:80,81:81)+100</f>
        <v>#N/A</v>
      </c>
      <c r="K27" s="947"/>
      <c r="L27" s="2337"/>
      <c r="M27" s="2340"/>
      <c r="N27" s="2340"/>
      <c r="O27" s="2341"/>
      <c r="P27" s="3596"/>
      <c r="Q27" s="1318" t="str">
        <f t="shared" si="11"/>
        <v>成新率</v>
      </c>
      <c r="R27" s="1319" t="s">
        <v>65</v>
      </c>
      <c r="S27" s="1320" t="e">
        <f t="shared" si="12"/>
        <v>#N/A</v>
      </c>
      <c r="T27" s="1319" t="s">
        <v>65</v>
      </c>
      <c r="U27" s="1320" t="e">
        <f t="shared" si="13"/>
        <v>#N/A</v>
      </c>
      <c r="V27" s="1319" t="s">
        <v>65</v>
      </c>
      <c r="W27" s="1320" t="e">
        <f t="shared" si="14"/>
        <v>#N/A</v>
      </c>
      <c r="X27" s="1321"/>
      <c r="Y27" s="3596"/>
      <c r="Z27" s="1322" t="str">
        <f t="shared" si="15"/>
        <v>成新率</v>
      </c>
      <c r="AA27" s="1317" t="e">
        <f t="shared" si="3"/>
        <v>#N/A</v>
      </c>
      <c r="AB27" s="1317" t="e">
        <f t="shared" si="4"/>
        <v>#N/A</v>
      </c>
      <c r="AC27" s="1317" t="e">
        <f t="shared" si="5"/>
        <v>#N/A</v>
      </c>
    </row>
    <row r="28" spans="1:29" ht="15">
      <c r="A28" s="807"/>
      <c r="B28" s="759" t="s">
        <v>460</v>
      </c>
      <c r="C28" s="107"/>
      <c r="D28" s="771">
        <v>100</v>
      </c>
      <c r="E28" s="107"/>
      <c r="F28" s="797">
        <f>SUMIF(82:82,E28,83:83)-SUMIF(82:82,C28,83:83)+100</f>
        <v>100</v>
      </c>
      <c r="G28" s="107"/>
      <c r="H28" s="771">
        <f>SUMIF(82:82,G28,83:83)-SUMIF(82:82,C28,83:83)+100</f>
        <v>100</v>
      </c>
      <c r="I28" s="107"/>
      <c r="J28" s="771">
        <f>SUMIF(82:82,I28,83:83)-SUMIF(82:82,C28,83:83)+100</f>
        <v>100</v>
      </c>
      <c r="K28" s="947"/>
      <c r="L28" s="2339"/>
      <c r="M28" s="2330"/>
      <c r="N28" s="2330"/>
      <c r="O28" s="2338"/>
      <c r="P28" s="3596"/>
      <c r="Q28" s="1313" t="str">
        <f t="shared" si="11"/>
        <v>物业等级</v>
      </c>
      <c r="R28" s="1314" t="s">
        <v>65</v>
      </c>
      <c r="S28" s="1315">
        <f t="shared" si="12"/>
        <v>100</v>
      </c>
      <c r="T28" s="1314" t="s">
        <v>65</v>
      </c>
      <c r="U28" s="1315">
        <f t="shared" si="13"/>
        <v>100</v>
      </c>
      <c r="V28" s="1314" t="s">
        <v>65</v>
      </c>
      <c r="W28" s="1315">
        <f t="shared" si="14"/>
        <v>100</v>
      </c>
      <c r="X28" s="1308"/>
      <c r="Y28" s="3596"/>
      <c r="Z28" s="1316" t="str">
        <f t="shared" si="15"/>
        <v>物业等级</v>
      </c>
      <c r="AA28" s="1317">
        <f t="shared" si="3"/>
        <v>1</v>
      </c>
      <c r="AB28" s="1317">
        <f t="shared" si="4"/>
        <v>1</v>
      </c>
      <c r="AC28" s="1317">
        <f t="shared" si="5"/>
        <v>1</v>
      </c>
    </row>
    <row r="29" spans="1:29" ht="15">
      <c r="A29" s="807"/>
      <c r="B29" s="759" t="s">
        <v>472</v>
      </c>
      <c r="C29" s="1402"/>
      <c r="D29" s="771">
        <v>100</v>
      </c>
      <c r="E29" s="1402"/>
      <c r="F29" s="797">
        <f>SUMIF(84:84,E29,85:85)-SUMIF(84:84,C29,85:85)+100</f>
        <v>100</v>
      </c>
      <c r="G29" s="1402"/>
      <c r="H29" s="771">
        <f>SUMIF(84:84,G29,85:85)-SUMIF(84:84,C29,85:85)+100</f>
        <v>100</v>
      </c>
      <c r="I29" s="1402"/>
      <c r="J29" s="771">
        <f>SUMIF(84:84,I29,85:85)-SUMIF(84:84,C29,85:85)+100</f>
        <v>100</v>
      </c>
      <c r="K29" s="947"/>
      <c r="L29" s="2339"/>
      <c r="M29" s="2330"/>
      <c r="N29" s="2330"/>
      <c r="O29" s="2338"/>
      <c r="P29" s="3596"/>
      <c r="Q29" s="1313" t="str">
        <f t="shared" si="11"/>
        <v>有无电梯</v>
      </c>
      <c r="R29" s="1314" t="s">
        <v>65</v>
      </c>
      <c r="S29" s="1315">
        <f t="shared" si="12"/>
        <v>100</v>
      </c>
      <c r="T29" s="1314" t="s">
        <v>65</v>
      </c>
      <c r="U29" s="1315">
        <f t="shared" si="13"/>
        <v>100</v>
      </c>
      <c r="V29" s="1314" t="s">
        <v>65</v>
      </c>
      <c r="W29" s="1315">
        <f t="shared" si="14"/>
        <v>100</v>
      </c>
      <c r="X29" s="1308"/>
      <c r="Y29" s="3596"/>
      <c r="Z29" s="1316" t="str">
        <f t="shared" si="15"/>
        <v>有无电梯</v>
      </c>
      <c r="AA29" s="1317">
        <f t="shared" si="3"/>
        <v>1</v>
      </c>
      <c r="AB29" s="1317">
        <f t="shared" si="4"/>
        <v>1</v>
      </c>
      <c r="AC29" s="1317">
        <f t="shared" si="5"/>
        <v>1</v>
      </c>
    </row>
    <row r="30" spans="1:29" ht="15">
      <c r="A30" s="807"/>
      <c r="B30" s="759" t="s">
        <v>473</v>
      </c>
      <c r="C30" s="804"/>
      <c r="D30" s="771">
        <v>100</v>
      </c>
      <c r="E30" s="804"/>
      <c r="F30" s="797" t="e">
        <f>LOOKUP(E30,87:87,88:88)-LOOKUP(C30,87:87,88:88)+100</f>
        <v>#N/A</v>
      </c>
      <c r="G30" s="804"/>
      <c r="H30" s="771" t="e">
        <f>LOOKUP(G30,87:87,88:88)-LOOKUP(C30,87:87,88:88)+100</f>
        <v>#N/A</v>
      </c>
      <c r="I30" s="804"/>
      <c r="J30" s="771" t="e">
        <f>LOOKUP(I30,87:87,88:88)-LOOKUP(C30,87:87,88:88)+100</f>
        <v>#N/A</v>
      </c>
      <c r="K30" s="948"/>
      <c r="L30" s="2339"/>
      <c r="M30" s="2330"/>
      <c r="N30" s="2330"/>
      <c r="O30" s="2338"/>
      <c r="P30" s="3596"/>
      <c r="Q30" s="1313" t="str">
        <f t="shared" si="11"/>
        <v>建筑面积</v>
      </c>
      <c r="R30" s="1314" t="s">
        <v>65</v>
      </c>
      <c r="S30" s="1315" t="e">
        <f t="shared" si="12"/>
        <v>#N/A</v>
      </c>
      <c r="T30" s="1314" t="s">
        <v>65</v>
      </c>
      <c r="U30" s="1315" t="e">
        <f t="shared" si="13"/>
        <v>#N/A</v>
      </c>
      <c r="V30" s="1314" t="s">
        <v>65</v>
      </c>
      <c r="W30" s="1315" t="e">
        <f t="shared" si="14"/>
        <v>#N/A</v>
      </c>
      <c r="X30" s="1308"/>
      <c r="Y30" s="3596"/>
      <c r="Z30" s="1316" t="str">
        <f t="shared" si="15"/>
        <v>建筑面积</v>
      </c>
      <c r="AA30" s="1317" t="e">
        <f t="shared" si="3"/>
        <v>#N/A</v>
      </c>
      <c r="AB30" s="1317" t="e">
        <f t="shared" si="4"/>
        <v>#N/A</v>
      </c>
      <c r="AC30" s="1317" t="e">
        <f t="shared" si="5"/>
        <v>#N/A</v>
      </c>
    </row>
    <row r="31" spans="1:29" s="404" customFormat="1" ht="15">
      <c r="A31" s="808"/>
      <c r="B31" s="759" t="s">
        <v>474</v>
      </c>
      <c r="C31" s="1402"/>
      <c r="D31" s="422">
        <v>100</v>
      </c>
      <c r="E31" s="1402"/>
      <c r="F31" s="797">
        <f>SUMIF(89:89,E31,90:90)-SUMIF(89:89,C31,90:90)+100</f>
        <v>100</v>
      </c>
      <c r="G31" s="1402"/>
      <c r="H31" s="771">
        <f>SUMIF(89:89,G31,90:90)-SUMIF(89:89,C31,90:90)+100</f>
        <v>100</v>
      </c>
      <c r="I31" s="1402"/>
      <c r="J31" s="771">
        <f>SUMIF(89:89,I31,90:90)-SUMIF(89:89,C31,90:90)+100</f>
        <v>100</v>
      </c>
      <c r="K31" s="947"/>
      <c r="L31" s="2331"/>
      <c r="M31" s="2332"/>
      <c r="N31" s="2332"/>
      <c r="O31" s="2333"/>
      <c r="P31" s="3596"/>
      <c r="Q31" s="294" t="str">
        <f t="shared" si="11"/>
        <v>是否封闭</v>
      </c>
      <c r="R31" s="1309" t="s">
        <v>65</v>
      </c>
      <c r="S31" s="1310">
        <f t="shared" si="12"/>
        <v>100</v>
      </c>
      <c r="T31" s="1309" t="s">
        <v>65</v>
      </c>
      <c r="U31" s="1310">
        <f t="shared" si="13"/>
        <v>100</v>
      </c>
      <c r="V31" s="1309" t="s">
        <v>65</v>
      </c>
      <c r="W31" s="1310">
        <f t="shared" si="14"/>
        <v>100</v>
      </c>
      <c r="X31" s="1311"/>
      <c r="Y31" s="3596"/>
      <c r="Z31" s="342" t="str">
        <f t="shared" si="15"/>
        <v>是否封闭</v>
      </c>
      <c r="AA31" s="1312">
        <f t="shared" si="3"/>
        <v>1</v>
      </c>
      <c r="AB31" s="1312">
        <f t="shared" si="4"/>
        <v>1</v>
      </c>
      <c r="AC31" s="1312">
        <f t="shared" si="5"/>
        <v>1</v>
      </c>
    </row>
    <row r="32" spans="1:29" ht="15">
      <c r="A32" s="807"/>
      <c r="B32" s="1021">
        <v>111</v>
      </c>
      <c r="C32" s="1016"/>
      <c r="D32" s="771">
        <v>100</v>
      </c>
      <c r="E32" s="1347"/>
      <c r="F32" s="797">
        <f>SUMIF(91:91,E32,92:92)-SUMIF(91:91,C32,92:92)+100</f>
        <v>100</v>
      </c>
      <c r="G32" s="1347"/>
      <c r="H32" s="771">
        <f>SUMIF(91:91,G32,92:92)-SUMIF(91:91,C32,92:92)+100</f>
        <v>100</v>
      </c>
      <c r="I32" s="1347"/>
      <c r="J32" s="771">
        <f>SUMIF(91:91,I32,92:92)-SUMIF(91:91,C32,92:92)+100</f>
        <v>100</v>
      </c>
      <c r="K32" s="948"/>
      <c r="L32" s="2339"/>
      <c r="M32" s="2330"/>
      <c r="N32" s="2330"/>
      <c r="O32" s="2338"/>
      <c r="P32" s="3596" t="s">
        <v>406</v>
      </c>
      <c r="Q32" s="1313">
        <f t="shared" si="11"/>
        <v>111</v>
      </c>
      <c r="R32" s="1314" t="s">
        <v>65</v>
      </c>
      <c r="S32" s="1315">
        <f t="shared" si="12"/>
        <v>100</v>
      </c>
      <c r="T32" s="1314" t="s">
        <v>65</v>
      </c>
      <c r="U32" s="1315">
        <f t="shared" si="13"/>
        <v>100</v>
      </c>
      <c r="V32" s="1314" t="s">
        <v>65</v>
      </c>
      <c r="W32" s="1315">
        <f t="shared" si="14"/>
        <v>100</v>
      </c>
      <c r="X32" s="1308"/>
      <c r="Y32" s="3596" t="s">
        <v>406</v>
      </c>
      <c r="Z32" s="1316">
        <f t="shared" si="15"/>
        <v>111</v>
      </c>
      <c r="AA32" s="1317">
        <f t="shared" si="3"/>
        <v>1</v>
      </c>
      <c r="AB32" s="1317">
        <f t="shared" si="4"/>
        <v>1</v>
      </c>
      <c r="AC32" s="1317">
        <f t="shared" si="5"/>
        <v>1</v>
      </c>
    </row>
    <row r="33" spans="1:29" ht="15">
      <c r="A33" s="807"/>
      <c r="B33" s="1021">
        <v>111</v>
      </c>
      <c r="C33" s="1016"/>
      <c r="D33" s="771">
        <v>100</v>
      </c>
      <c r="E33" s="1347"/>
      <c r="F33" s="797">
        <f>SUMIF(93:93,E33,94:94)-SUMIF(93:93,C33,94:94)+100</f>
        <v>100</v>
      </c>
      <c r="G33" s="1347"/>
      <c r="H33" s="771">
        <f>SUMIF(93:93,G33,94:94)-SUMIF(93:93,C33,94:94)+100</f>
        <v>100</v>
      </c>
      <c r="I33" s="1347"/>
      <c r="J33" s="771">
        <f>SUMIF(93:93,I33,94:94)-SUMIF(93:93,C33,94:94)+100</f>
        <v>100</v>
      </c>
      <c r="K33" s="948"/>
      <c r="L33" s="2339"/>
      <c r="M33" s="2330"/>
      <c r="N33" s="2330"/>
      <c r="O33" s="2338"/>
      <c r="P33" s="3596"/>
      <c r="Q33" s="1313">
        <f t="shared" si="11"/>
        <v>111</v>
      </c>
      <c r="R33" s="1314" t="s">
        <v>65</v>
      </c>
      <c r="S33" s="1315">
        <f t="shared" si="12"/>
        <v>100</v>
      </c>
      <c r="T33" s="1314" t="s">
        <v>65</v>
      </c>
      <c r="U33" s="1315">
        <f t="shared" si="13"/>
        <v>100</v>
      </c>
      <c r="V33" s="1314" t="s">
        <v>65</v>
      </c>
      <c r="W33" s="1315">
        <f t="shared" si="14"/>
        <v>100</v>
      </c>
      <c r="X33" s="1308"/>
      <c r="Y33" s="3596"/>
      <c r="Z33" s="1316">
        <f t="shared" si="15"/>
        <v>111</v>
      </c>
      <c r="AA33" s="1317">
        <f t="shared" si="3"/>
        <v>1</v>
      </c>
      <c r="AB33" s="1317">
        <f t="shared" si="4"/>
        <v>1</v>
      </c>
      <c r="AC33" s="1317">
        <f t="shared" si="5"/>
        <v>1</v>
      </c>
    </row>
    <row r="34" spans="1:29" ht="15.75" thickBot="1">
      <c r="A34" s="813"/>
      <c r="B34" s="1022">
        <v>111</v>
      </c>
      <c r="C34" s="94"/>
      <c r="D34" s="774">
        <v>100</v>
      </c>
      <c r="E34" s="1403"/>
      <c r="F34" s="775">
        <f>SUMIF(95:95,E34,96:96)-SUMIF(95:95,C34,96:96)+100</f>
        <v>100</v>
      </c>
      <c r="G34" s="1403"/>
      <c r="H34" s="774">
        <f>SUMIF(95:95,G34,96:96)-SUMIF(95:95,C34,96:96)+100</f>
        <v>100</v>
      </c>
      <c r="I34" s="1403"/>
      <c r="J34" s="774">
        <f>SUMIF(95:95,I34,96:96)-SUMIF(95:95,C34,96:96)+100</f>
        <v>100</v>
      </c>
      <c r="K34" s="948"/>
      <c r="L34" s="2339"/>
      <c r="M34" s="2330"/>
      <c r="N34" s="2330"/>
      <c r="O34" s="2338"/>
      <c r="P34" s="3596"/>
      <c r="Q34" s="1313">
        <f t="shared" si="11"/>
        <v>111</v>
      </c>
      <c r="R34" s="1314" t="s">
        <v>65</v>
      </c>
      <c r="S34" s="1315">
        <f t="shared" si="12"/>
        <v>100</v>
      </c>
      <c r="T34" s="1314" t="s">
        <v>65</v>
      </c>
      <c r="U34" s="1315">
        <f t="shared" si="13"/>
        <v>100</v>
      </c>
      <c r="V34" s="1314" t="s">
        <v>65</v>
      </c>
      <c r="W34" s="1315">
        <f t="shared" si="14"/>
        <v>100</v>
      </c>
      <c r="X34" s="1308"/>
      <c r="Y34" s="3596"/>
      <c r="Z34" s="1316">
        <f t="shared" si="15"/>
        <v>111</v>
      </c>
      <c r="AA34" s="1317">
        <f t="shared" si="3"/>
        <v>1</v>
      </c>
      <c r="AB34" s="1317">
        <f t="shared" si="4"/>
        <v>1</v>
      </c>
      <c r="AC34" s="1317">
        <f t="shared" si="5"/>
        <v>1</v>
      </c>
    </row>
    <row r="35" spans="1:29" ht="15">
      <c r="A35" s="814" t="s">
        <v>407</v>
      </c>
      <c r="B35" s="815"/>
      <c r="C35" s="2814" t="s">
        <v>23</v>
      </c>
      <c r="D35" s="2815"/>
      <c r="E35" s="2816"/>
      <c r="F35" s="2817"/>
      <c r="G35" s="2818"/>
      <c r="H35" s="2819"/>
      <c r="I35" s="2816"/>
      <c r="J35" s="2819"/>
      <c r="K35" s="1389"/>
      <c r="L35" s="2342"/>
      <c r="M35" s="2343"/>
      <c r="N35" s="2330"/>
      <c r="O35" s="2343"/>
      <c r="P35" s="3592" t="str">
        <f>A35</f>
        <v>成交单价（元/平方米）</v>
      </c>
      <c r="Q35" s="3592"/>
      <c r="R35" s="3723">
        <f>E35</f>
        <v>0</v>
      </c>
      <c r="S35" s="3723"/>
      <c r="T35" s="3723">
        <f>G35</f>
        <v>0</v>
      </c>
      <c r="U35" s="3723"/>
      <c r="V35" s="3723">
        <f>I35</f>
        <v>0</v>
      </c>
      <c r="W35" s="3723"/>
      <c r="X35" s="1297"/>
      <c r="Y35" s="1323"/>
      <c r="Z35" s="1297"/>
      <c r="AA35" s="1297"/>
      <c r="AB35" s="1297"/>
      <c r="AC35" s="1297"/>
    </row>
    <row r="36" spans="1:29" ht="15.75" thickBot="1">
      <c r="A36" s="821" t="s">
        <v>408</v>
      </c>
      <c r="B36" s="822"/>
      <c r="C36" s="2820" t="e">
        <f>R37</f>
        <v>#DIV/0!</v>
      </c>
      <c r="D36" s="2821"/>
      <c r="E36" s="2822" t="e">
        <f>R36</f>
        <v>#DIV/0!</v>
      </c>
      <c r="F36" s="2822"/>
      <c r="G36" s="2820" t="e">
        <f>T36</f>
        <v>#DIV/0!</v>
      </c>
      <c r="H36" s="2821"/>
      <c r="I36" s="2822" t="e">
        <f>V36</f>
        <v>#DIV/0!</v>
      </c>
      <c r="J36" s="2821"/>
      <c r="K36" s="1390"/>
      <c r="L36" s="2342"/>
      <c r="M36" s="2343"/>
      <c r="N36" s="2330"/>
      <c r="O36" s="2343"/>
      <c r="P36" s="3592" t="str">
        <f>A36</f>
        <v>比较价值（元/平方米）</v>
      </c>
      <c r="Q36" s="359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1297"/>
      <c r="Y36" s="1297"/>
      <c r="Z36" s="1297"/>
      <c r="AA36" s="1297"/>
      <c r="AB36" s="1297"/>
      <c r="AC36" s="1297"/>
    </row>
    <row r="37" spans="1:29" ht="15.75" thickBot="1">
      <c r="A37" s="113" t="s">
        <v>3009</v>
      </c>
      <c r="B37" s="828"/>
      <c r="C37" s="2824" t="e">
        <f>R37</f>
        <v>#DIV/0!</v>
      </c>
      <c r="D37" s="2824"/>
      <c r="E37" s="2824"/>
      <c r="F37" s="2824"/>
      <c r="G37" s="2824"/>
      <c r="H37" s="2824"/>
      <c r="I37" s="2824"/>
      <c r="J37" s="2824"/>
      <c r="K37" s="1391"/>
      <c r="L37" s="2342"/>
      <c r="M37" s="2343"/>
      <c r="N37" s="2343"/>
      <c r="O37" s="2343"/>
      <c r="P37" s="3584" t="str">
        <f>A37</f>
        <v>估价对象XX用房的比较价值（楼面单价，元/平方米）</v>
      </c>
      <c r="Q37" s="3585"/>
      <c r="R37" s="3724" t="e">
        <f>IF(F1="售价",ROUND(AVERAGE(R36:V36),0),ROUND(AVERAGE(R36:V36),1))</f>
        <v>#DIV/0!</v>
      </c>
      <c r="S37" s="3724"/>
      <c r="T37" s="3724"/>
      <c r="U37" s="3724"/>
      <c r="V37" s="3724"/>
      <c r="W37" s="3724"/>
      <c r="X37" s="1297"/>
      <c r="Y37" s="1297"/>
      <c r="Z37" s="1297"/>
      <c r="AA37" s="1297"/>
      <c r="AB37" s="1297"/>
      <c r="AC37" s="1297"/>
    </row>
    <row r="38" spans="1:29">
      <c r="A38" s="2343"/>
      <c r="B38" s="2343"/>
      <c r="C38" s="2343"/>
      <c r="D38" s="2343"/>
      <c r="E38" s="2343"/>
      <c r="F38" s="2343"/>
      <c r="G38" s="2346"/>
      <c r="H38" s="2343"/>
      <c r="I38" s="2343"/>
      <c r="J38" s="2343"/>
      <c r="K38" s="2169"/>
      <c r="L38" s="2170"/>
      <c r="M38" s="2343"/>
      <c r="N38" s="2343"/>
      <c r="O38" s="2343"/>
    </row>
    <row r="39" spans="1:29">
      <c r="A39" s="2343"/>
      <c r="B39" s="2343"/>
      <c r="C39" s="2343"/>
      <c r="D39" s="2343"/>
      <c r="E39" s="2343"/>
      <c r="F39" s="2343"/>
      <c r="G39" s="2343"/>
      <c r="H39" s="2343"/>
      <c r="I39" s="2343"/>
      <c r="J39" s="2343"/>
      <c r="K39" s="2169"/>
      <c r="L39" s="2170"/>
      <c r="M39" s="2343"/>
      <c r="N39" s="2343"/>
      <c r="O39" s="2343"/>
    </row>
    <row r="40" spans="1:29" ht="13.5" customHeight="1">
      <c r="A40" s="2343"/>
      <c r="B40" s="2343"/>
      <c r="C40" s="832" t="s">
        <v>409</v>
      </c>
      <c r="D40" s="833"/>
      <c r="E40" s="834" t="e">
        <f>IF(E35&lt;E36,E36/E35-1,E35/E36-1)</f>
        <v>#DIV/0!</v>
      </c>
      <c r="F40" s="835" t="e">
        <f>IF(OR(E40&gt;=0.3,E40&lt;=-0.3),"超过30%","")</f>
        <v>#DIV/0!</v>
      </c>
      <c r="G40" s="834" t="e">
        <f>IF(G35&lt;G36,G36/G35-1,G35/G36-1)</f>
        <v>#DIV/0!</v>
      </c>
      <c r="H40" s="835" t="e">
        <f>IF(OR(G40&gt;=0.3,G40&lt;=-0.3),"超过30%","")</f>
        <v>#DIV/0!</v>
      </c>
      <c r="I40" s="834" t="e">
        <f>IF(I35&lt;I36,I36/I35-1,I35/I36-1)</f>
        <v>#DIV/0!</v>
      </c>
      <c r="J40" s="835" t="e">
        <f>IF(OR(I40&gt;=0.3,I40&lt;=-0.3),"超过30%","")</f>
        <v>#DIV/0!</v>
      </c>
      <c r="K40" s="2169"/>
      <c r="L40" s="2170"/>
      <c r="M40" s="2343"/>
      <c r="N40" s="2343"/>
      <c r="O40" s="2343"/>
    </row>
    <row r="41" spans="1:29" ht="13.5" customHeight="1">
      <c r="A41" s="2343"/>
      <c r="B41" s="2343"/>
      <c r="C41" s="832" t="s">
        <v>410</v>
      </c>
      <c r="D41" s="836"/>
      <c r="E41" s="834" t="e">
        <f>IF(E36&lt;G36,G36/E36-1,E36/G36-1)</f>
        <v>#DIV/0!</v>
      </c>
      <c r="F41" s="835" t="e">
        <f>IF(OR(E41&gt;=0.2,E41&lt;=-0.2),"超过20%","")</f>
        <v>#DIV/0!</v>
      </c>
      <c r="G41" s="834" t="e">
        <f>IF(G36&lt;I36,I36/G36-1,G36/I36-1)</f>
        <v>#DIV/0!</v>
      </c>
      <c r="H41" s="835" t="e">
        <f>IF(OR(G41&gt;=0.2,G41&lt;=-0.2),"超过20%","")</f>
        <v>#DIV/0!</v>
      </c>
      <c r="I41" s="834" t="e">
        <f>IF(I36&lt;E36,E36/I36-1,I36/E36-1)</f>
        <v>#DIV/0!</v>
      </c>
      <c r="J41" s="835" t="e">
        <f>IF(OR(I41&gt;=0.2,I41&lt;=-0.2),"超过20%","")</f>
        <v>#DIV/0!</v>
      </c>
      <c r="K41" s="2169"/>
      <c r="L41" s="2170"/>
      <c r="M41" s="2343"/>
      <c r="N41" s="2343"/>
      <c r="O41" s="2343"/>
    </row>
    <row r="42" spans="1:29" s="837" customFormat="1" ht="13.5" customHeight="1">
      <c r="A42" s="2344"/>
      <c r="B42" s="2344"/>
      <c r="C42" s="832" t="s">
        <v>411</v>
      </c>
      <c r="D42" s="836"/>
      <c r="E42" s="834" t="e">
        <f>IF(E35&lt;G35,G35/E35-1,E35/G35-1)</f>
        <v>#DIV/0!</v>
      </c>
      <c r="F42" s="835" t="e">
        <f>IF(OR(E42&gt;=0.3,E42&lt;=-0.3),"超过30%","")</f>
        <v>#DIV/0!</v>
      </c>
      <c r="G42" s="834" t="e">
        <f>IF(G35&lt;I35,I35/G35-1,G35/I35-1)</f>
        <v>#DIV/0!</v>
      </c>
      <c r="H42" s="835" t="e">
        <f>IF(OR(G42&gt;=0.3,G42&lt;=-0.3),"超过30%","")</f>
        <v>#DIV/0!</v>
      </c>
      <c r="I42" s="834" t="e">
        <f>IF(I35&lt;E35,E35/I35-1,I35/E35-1)</f>
        <v>#DIV/0!</v>
      </c>
      <c r="J42" s="835" t="e">
        <f>IF(OR(I42&gt;=0.3,I42&lt;=-0.3),"超过30%","")</f>
        <v>#DIV/0!</v>
      </c>
      <c r="K42" s="2347"/>
      <c r="L42" s="2348"/>
      <c r="M42" s="2344"/>
      <c r="N42" s="2344"/>
      <c r="O42" s="2344"/>
    </row>
    <row r="43" spans="1:29" s="837" customFormat="1">
      <c r="A43" s="2344"/>
      <c r="B43" s="2345"/>
      <c r="C43" s="2349"/>
      <c r="D43" s="2344"/>
      <c r="E43" s="2344"/>
      <c r="F43" s="2344"/>
      <c r="G43" s="2344"/>
      <c r="H43" s="2344"/>
      <c r="I43" s="2344"/>
      <c r="J43" s="2344"/>
      <c r="K43" s="2347"/>
      <c r="L43" s="2348"/>
      <c r="M43" s="2344"/>
      <c r="N43" s="2344"/>
      <c r="O43" s="2344"/>
    </row>
    <row r="44" spans="1:29">
      <c r="A44" s="2343"/>
      <c r="B44" s="2345"/>
      <c r="C44" s="2349"/>
      <c r="D44" s="2343"/>
      <c r="E44" s="2343"/>
      <c r="F44" s="2343"/>
      <c r="G44" s="2343"/>
      <c r="H44" s="2343"/>
      <c r="I44" s="2343"/>
      <c r="J44" s="2343"/>
      <c r="K44" s="2169"/>
      <c r="L44" s="2170"/>
      <c r="M44" s="2343"/>
      <c r="N44" s="2343"/>
      <c r="O44" s="2343"/>
    </row>
    <row r="45" spans="1:29" ht="21.75" thickBot="1">
      <c r="A45" s="1301" t="s">
        <v>412</v>
      </c>
      <c r="B45" s="1297"/>
      <c r="C45" s="1302"/>
      <c r="D45" s="1302"/>
      <c r="E45" s="1302"/>
      <c r="F45" s="1303"/>
      <c r="G45" s="1303"/>
      <c r="H45" s="1302"/>
      <c r="I45" s="1302"/>
      <c r="J45" s="1302"/>
      <c r="K45" s="1304"/>
      <c r="L45" s="1305"/>
      <c r="M45" s="1302"/>
      <c r="N45" s="1302"/>
      <c r="O45" s="1302"/>
      <c r="P45" s="838"/>
      <c r="Q45" s="839"/>
    </row>
    <row r="46" spans="1:29" s="843" customFormat="1" ht="15">
      <c r="A46" s="840" t="s">
        <v>395</v>
      </c>
      <c r="B46" s="841"/>
      <c r="C46" s="3022" t="str">
        <f>YEAR(C7)&amp;"-"&amp;MONTH(C7)</f>
        <v>2017-9</v>
      </c>
      <c r="D46" s="3023">
        <f>EDATE(C46,-1)</f>
        <v>42948</v>
      </c>
      <c r="E46" s="3023">
        <f t="shared" ref="E46:O46" si="16">EDATE(D46,-1)</f>
        <v>42917</v>
      </c>
      <c r="F46" s="3023">
        <f t="shared" si="16"/>
        <v>42887</v>
      </c>
      <c r="G46" s="3023">
        <f t="shared" si="16"/>
        <v>42856</v>
      </c>
      <c r="H46" s="3023">
        <f t="shared" si="16"/>
        <v>42826</v>
      </c>
      <c r="I46" s="3023">
        <f t="shared" si="16"/>
        <v>42795</v>
      </c>
      <c r="J46" s="3023">
        <f t="shared" si="16"/>
        <v>42767</v>
      </c>
      <c r="K46" s="3023">
        <f t="shared" si="16"/>
        <v>42736</v>
      </c>
      <c r="L46" s="3023">
        <f t="shared" si="16"/>
        <v>42705</v>
      </c>
      <c r="M46" s="3023">
        <f t="shared" si="16"/>
        <v>42675</v>
      </c>
      <c r="N46" s="3023">
        <f t="shared" si="16"/>
        <v>42644</v>
      </c>
      <c r="O46" s="3023">
        <f t="shared" si="16"/>
        <v>42614</v>
      </c>
      <c r="P46" s="842"/>
    </row>
    <row r="47" spans="1:29" s="404" customFormat="1" ht="15">
      <c r="A47" s="844"/>
      <c r="B47" s="845"/>
      <c r="C47" s="3020">
        <v>100</v>
      </c>
      <c r="D47" s="847"/>
      <c r="E47" s="847"/>
      <c r="F47" s="847"/>
      <c r="G47" s="847"/>
      <c r="H47" s="847"/>
      <c r="I47" s="847"/>
      <c r="J47" s="847"/>
      <c r="K47" s="847"/>
      <c r="L47" s="847"/>
      <c r="M47" s="848"/>
      <c r="N47" s="847"/>
      <c r="O47" s="849"/>
      <c r="P47" s="839"/>
    </row>
    <row r="48" spans="1:29" s="404" customFormat="1" ht="15.75" thickBot="1">
      <c r="A48" s="850" t="s">
        <v>413</v>
      </c>
      <c r="B48" s="851"/>
      <c r="C48" s="852"/>
      <c r="D48" s="853"/>
      <c r="E48" s="853"/>
      <c r="F48" s="853"/>
      <c r="G48" s="853"/>
      <c r="H48" s="853"/>
      <c r="I48" s="853"/>
      <c r="J48" s="853"/>
      <c r="K48" s="853"/>
      <c r="L48" s="853"/>
      <c r="M48" s="854"/>
      <c r="N48" s="853"/>
      <c r="O48" s="855"/>
      <c r="P48" s="839"/>
      <c r="Q48" s="839"/>
    </row>
    <row r="49" spans="1:17" s="404" customFormat="1" ht="15">
      <c r="A49" s="856" t="s">
        <v>397</v>
      </c>
      <c r="B49" s="845"/>
      <c r="C49" s="857" t="s">
        <v>414</v>
      </c>
      <c r="D49" s="138"/>
      <c r="E49" s="138"/>
      <c r="F49" s="138"/>
      <c r="G49" s="138"/>
      <c r="H49" s="138"/>
      <c r="I49" s="138"/>
      <c r="J49" s="138"/>
      <c r="K49" s="138"/>
      <c r="L49" s="139"/>
      <c r="M49" s="1041"/>
      <c r="N49" s="2350"/>
      <c r="O49" s="2350"/>
      <c r="P49" s="861"/>
      <c r="Q49" s="839"/>
    </row>
    <row r="50" spans="1:17" s="404" customFormat="1" ht="15.75" thickBot="1">
      <c r="A50" s="856"/>
      <c r="B50" s="845"/>
      <c r="C50" s="974">
        <v>100</v>
      </c>
      <c r="D50" s="847"/>
      <c r="E50" s="847"/>
      <c r="F50" s="847"/>
      <c r="G50" s="847"/>
      <c r="H50" s="847"/>
      <c r="I50" s="847"/>
      <c r="J50" s="847"/>
      <c r="K50" s="847"/>
      <c r="L50" s="847"/>
      <c r="M50" s="849"/>
      <c r="N50" s="2350"/>
      <c r="O50" s="2350"/>
      <c r="P50" s="839"/>
      <c r="Q50" s="839"/>
    </row>
    <row r="51" spans="1:17">
      <c r="A51" s="862" t="s">
        <v>415</v>
      </c>
      <c r="B51" s="863" t="s">
        <v>416</v>
      </c>
      <c r="C51" s="864">
        <f>C9</f>
        <v>0</v>
      </c>
      <c r="D51" s="120"/>
      <c r="E51" s="120"/>
      <c r="F51" s="120"/>
      <c r="G51" s="120"/>
      <c r="H51" s="120"/>
      <c r="I51" s="120"/>
      <c r="J51" s="120"/>
      <c r="K51" s="121"/>
      <c r="L51" s="122"/>
      <c r="M51" s="123"/>
      <c r="N51" s="2351"/>
      <c r="O51" s="2351"/>
      <c r="P51" s="332"/>
      <c r="Q51" s="839"/>
    </row>
    <row r="52" spans="1:17" ht="15.75" thickBot="1">
      <c r="A52" s="869"/>
      <c r="B52" s="870"/>
      <c r="C52" s="871">
        <v>100</v>
      </c>
      <c r="D52" s="871"/>
      <c r="E52" s="871"/>
      <c r="F52" s="871"/>
      <c r="G52" s="871"/>
      <c r="H52" s="871"/>
      <c r="I52" s="871"/>
      <c r="J52" s="871"/>
      <c r="K52" s="871"/>
      <c r="L52" s="871"/>
      <c r="M52" s="872"/>
      <c r="N52" s="2352"/>
      <c r="O52" s="2352"/>
      <c r="P52" s="332"/>
      <c r="Q52" s="839"/>
    </row>
    <row r="53" spans="1:17" ht="27.75" thickTop="1">
      <c r="A53" s="869"/>
      <c r="B53" s="873" t="s">
        <v>401</v>
      </c>
      <c r="C53" s="874" t="s">
        <v>417</v>
      </c>
      <c r="D53" s="874" t="s">
        <v>418</v>
      </c>
      <c r="E53" s="874" t="s">
        <v>419</v>
      </c>
      <c r="F53" s="874" t="s">
        <v>420</v>
      </c>
      <c r="G53" s="874" t="s">
        <v>435</v>
      </c>
      <c r="H53" s="874" t="s">
        <v>436</v>
      </c>
      <c r="I53" s="874" t="s">
        <v>437</v>
      </c>
      <c r="J53" s="874"/>
      <c r="K53" s="875"/>
      <c r="L53" s="876"/>
      <c r="M53" s="877"/>
      <c r="N53" s="2351"/>
      <c r="O53" s="2351"/>
      <c r="P53" s="332"/>
      <c r="Q53" s="839"/>
    </row>
    <row r="54" spans="1:17" ht="15.75" thickBot="1">
      <c r="A54" s="869"/>
      <c r="B54" s="878"/>
      <c r="C54" s="879" t="s">
        <v>138</v>
      </c>
      <c r="D54" s="879" t="s">
        <v>139</v>
      </c>
      <c r="E54" s="879">
        <v>100</v>
      </c>
      <c r="F54" s="879">
        <f>E54-$K10</f>
        <v>100</v>
      </c>
      <c r="G54" s="879">
        <f>F54-$K10</f>
        <v>100</v>
      </c>
      <c r="H54" s="879">
        <f>G54-$K10</f>
        <v>100</v>
      </c>
      <c r="I54" s="879">
        <f>H54-$K10</f>
        <v>100</v>
      </c>
      <c r="J54" s="879"/>
      <c r="K54" s="879"/>
      <c r="L54" s="879"/>
      <c r="M54" s="880"/>
      <c r="N54" s="2352"/>
      <c r="O54" s="2352"/>
      <c r="P54" s="332"/>
      <c r="Q54" s="839"/>
    </row>
    <row r="55" spans="1:17" ht="15.75" thickTop="1">
      <c r="A55" s="869"/>
      <c r="B55" s="211">
        <f>B11</f>
        <v>111</v>
      </c>
      <c r="C55" s="124"/>
      <c r="D55" s="124"/>
      <c r="E55" s="124"/>
      <c r="F55" s="124"/>
      <c r="G55" s="124"/>
      <c r="H55" s="124"/>
      <c r="I55" s="124"/>
      <c r="J55" s="124"/>
      <c r="K55" s="125"/>
      <c r="L55" s="126"/>
      <c r="M55" s="127"/>
      <c r="N55" s="2351"/>
      <c r="O55" s="2351"/>
      <c r="P55" s="332"/>
      <c r="Q55" s="839"/>
    </row>
    <row r="56" spans="1:17" ht="15.75" thickBot="1">
      <c r="A56" s="869"/>
      <c r="B56" s="1043"/>
      <c r="C56" s="895"/>
      <c r="D56" s="871"/>
      <c r="E56" s="871"/>
      <c r="F56" s="871"/>
      <c r="G56" s="871"/>
      <c r="H56" s="871"/>
      <c r="I56" s="871"/>
      <c r="J56" s="871"/>
      <c r="K56" s="871"/>
      <c r="L56" s="871"/>
      <c r="M56" s="872"/>
      <c r="N56" s="2352"/>
      <c r="O56" s="2352"/>
      <c r="P56" s="332"/>
      <c r="Q56" s="839"/>
    </row>
    <row r="57" spans="1:17" s="806" customFormat="1" ht="15.75" thickTop="1">
      <c r="A57" s="888"/>
      <c r="B57" s="1044">
        <f>B12</f>
        <v>111</v>
      </c>
      <c r="C57" s="124"/>
      <c r="D57" s="124"/>
      <c r="E57" s="124"/>
      <c r="F57" s="124"/>
      <c r="G57" s="137"/>
      <c r="H57" s="1049"/>
      <c r="I57" s="1049"/>
      <c r="J57" s="1049"/>
      <c r="K57" s="1049"/>
      <c r="L57" s="1050"/>
      <c r="M57" s="1051"/>
      <c r="N57" s="2353"/>
      <c r="O57" s="2353"/>
      <c r="P57" s="893"/>
      <c r="Q57" s="894"/>
    </row>
    <row r="58" spans="1:17" s="806" customFormat="1" ht="15.75" thickBot="1">
      <c r="A58" s="888"/>
      <c r="B58" s="1045"/>
      <c r="C58" s="895"/>
      <c r="D58" s="871"/>
      <c r="E58" s="871"/>
      <c r="F58" s="871"/>
      <c r="G58" s="871"/>
      <c r="H58" s="871"/>
      <c r="I58" s="871"/>
      <c r="J58" s="871"/>
      <c r="K58" s="871"/>
      <c r="L58" s="871"/>
      <c r="M58" s="872"/>
      <c r="N58" s="2352"/>
      <c r="O58" s="2352"/>
      <c r="P58" s="893"/>
      <c r="Q58" s="894"/>
    </row>
    <row r="59" spans="1:17" s="806" customFormat="1" ht="15.75" thickTop="1">
      <c r="A59" s="888"/>
      <c r="B59" s="1044">
        <f>B13</f>
        <v>111</v>
      </c>
      <c r="C59" s="124"/>
      <c r="D59" s="124"/>
      <c r="E59" s="124"/>
      <c r="F59" s="124"/>
      <c r="G59" s="137"/>
      <c r="H59" s="1049"/>
      <c r="I59" s="1049"/>
      <c r="J59" s="1049"/>
      <c r="K59" s="1049"/>
      <c r="L59" s="1050"/>
      <c r="M59" s="1051"/>
      <c r="N59" s="2353"/>
      <c r="O59" s="2353"/>
      <c r="P59" s="805"/>
      <c r="Q59" s="896"/>
    </row>
    <row r="60" spans="1:17" s="806" customFormat="1" ht="15.75" thickBot="1">
      <c r="A60" s="888"/>
      <c r="B60" s="1045"/>
      <c r="C60" s="895"/>
      <c r="D60" s="895"/>
      <c r="E60" s="895"/>
      <c r="F60" s="895"/>
      <c r="G60" s="895"/>
      <c r="H60" s="897"/>
      <c r="I60" s="897"/>
      <c r="J60" s="897"/>
      <c r="K60" s="897"/>
      <c r="L60" s="897"/>
      <c r="M60" s="898"/>
      <c r="N60" s="2353"/>
      <c r="O60" s="2353"/>
      <c r="P60" s="893"/>
      <c r="Q60" s="894"/>
    </row>
    <row r="61" spans="1:17" ht="15" thickTop="1">
      <c r="A61" s="862" t="s">
        <v>403</v>
      </c>
      <c r="B61" s="863" t="s">
        <v>427</v>
      </c>
      <c r="C61" s="908" t="s">
        <v>422</v>
      </c>
      <c r="D61" s="908" t="s">
        <v>423</v>
      </c>
      <c r="E61" s="908" t="s">
        <v>424</v>
      </c>
      <c r="F61" s="908" t="s">
        <v>425</v>
      </c>
      <c r="G61" s="908" t="s">
        <v>426</v>
      </c>
      <c r="H61" s="864"/>
      <c r="I61" s="864"/>
      <c r="J61" s="864"/>
      <c r="K61" s="909"/>
      <c r="L61" s="910"/>
      <c r="M61" s="911"/>
      <c r="N61" s="2351"/>
      <c r="O61" s="2351"/>
      <c r="P61" s="912"/>
      <c r="Q61" s="839"/>
    </row>
    <row r="62" spans="1:17" ht="15.75" thickBot="1">
      <c r="A62" s="869"/>
      <c r="B62" s="878"/>
      <c r="C62" s="879">
        <v>100</v>
      </c>
      <c r="D62" s="879">
        <f>C62-$K14</f>
        <v>100</v>
      </c>
      <c r="E62" s="879">
        <f>D62-$K14</f>
        <v>100</v>
      </c>
      <c r="F62" s="879">
        <f>E62-$K14</f>
        <v>100</v>
      </c>
      <c r="G62" s="879">
        <f>F62-$K14</f>
        <v>100</v>
      </c>
      <c r="H62" s="879"/>
      <c r="I62" s="879"/>
      <c r="J62" s="879"/>
      <c r="K62" s="879"/>
      <c r="L62" s="879"/>
      <c r="M62" s="880"/>
      <c r="N62" s="2352"/>
      <c r="O62" s="2352"/>
      <c r="P62" s="332"/>
      <c r="Q62" s="839"/>
    </row>
    <row r="63" spans="1:17" ht="27.75" thickTop="1">
      <c r="A63" s="869"/>
      <c r="B63" s="873" t="s">
        <v>428</v>
      </c>
      <c r="C63" s="913" t="s">
        <v>422</v>
      </c>
      <c r="D63" s="913" t="s">
        <v>423</v>
      </c>
      <c r="E63" s="913" t="s">
        <v>424</v>
      </c>
      <c r="F63" s="913" t="s">
        <v>425</v>
      </c>
      <c r="G63" s="913" t="s">
        <v>426</v>
      </c>
      <c r="H63" s="874"/>
      <c r="I63" s="874"/>
      <c r="J63" s="874"/>
      <c r="K63" s="875"/>
      <c r="L63" s="876"/>
      <c r="M63" s="877"/>
      <c r="N63" s="2351"/>
      <c r="O63" s="2351"/>
      <c r="P63" s="332"/>
      <c r="Q63" s="839"/>
    </row>
    <row r="64" spans="1:17" ht="15.75" thickBot="1">
      <c r="A64" s="869"/>
      <c r="B64" s="878"/>
      <c r="C64" s="879">
        <v>100</v>
      </c>
      <c r="D64" s="879">
        <f>C64-$K16</f>
        <v>100</v>
      </c>
      <c r="E64" s="879">
        <f>D64-$K16</f>
        <v>100</v>
      </c>
      <c r="F64" s="879">
        <f>E64-$K16</f>
        <v>100</v>
      </c>
      <c r="G64" s="879">
        <f>F64-$K16</f>
        <v>100</v>
      </c>
      <c r="H64" s="879"/>
      <c r="I64" s="879"/>
      <c r="J64" s="879"/>
      <c r="K64" s="879"/>
      <c r="L64" s="879"/>
      <c r="M64" s="880"/>
      <c r="N64" s="2352"/>
      <c r="O64" s="2352"/>
      <c r="P64" s="332"/>
      <c r="Q64" s="839"/>
    </row>
    <row r="65" spans="1:17" ht="15.75" thickTop="1">
      <c r="A65" s="869"/>
      <c r="B65" s="1046" t="s">
        <v>2658</v>
      </c>
      <c r="C65" s="211" t="s">
        <v>2648</v>
      </c>
      <c r="D65" s="211" t="s">
        <v>2649</v>
      </c>
      <c r="E65" s="211" t="s">
        <v>2650</v>
      </c>
      <c r="F65" s="211" t="s">
        <v>2651</v>
      </c>
      <c r="G65" s="211" t="s">
        <v>2652</v>
      </c>
      <c r="H65" s="874"/>
      <c r="I65" s="874"/>
      <c r="J65" s="874"/>
      <c r="K65" s="874"/>
      <c r="L65" s="874"/>
      <c r="M65" s="2746"/>
      <c r="N65" s="2352"/>
      <c r="O65" s="2352"/>
      <c r="P65" s="332"/>
      <c r="Q65" s="839"/>
    </row>
    <row r="66" spans="1:17" ht="15.75" thickBot="1">
      <c r="A66" s="869"/>
      <c r="B66" s="881"/>
      <c r="C66" s="879">
        <v>100</v>
      </c>
      <c r="D66" s="879">
        <f>C66-$K18</f>
        <v>100</v>
      </c>
      <c r="E66" s="879">
        <f>D66-$K18</f>
        <v>100</v>
      </c>
      <c r="F66" s="879">
        <f>E66-$K18</f>
        <v>100</v>
      </c>
      <c r="G66" s="879">
        <f>F66-$K18</f>
        <v>100</v>
      </c>
      <c r="H66" s="995"/>
      <c r="I66" s="995"/>
      <c r="J66" s="995"/>
      <c r="K66" s="995"/>
      <c r="L66" s="995"/>
      <c r="M66" s="786"/>
      <c r="N66" s="2352"/>
      <c r="O66" s="2352"/>
      <c r="P66" s="332"/>
      <c r="Q66" s="839"/>
    </row>
    <row r="67" spans="1:17" ht="15.75" thickTop="1">
      <c r="A67" s="869"/>
      <c r="B67" s="873" t="s">
        <v>429</v>
      </c>
      <c r="C67" s="913" t="s">
        <v>422</v>
      </c>
      <c r="D67" s="913" t="s">
        <v>423</v>
      </c>
      <c r="E67" s="913" t="s">
        <v>424</v>
      </c>
      <c r="F67" s="913" t="s">
        <v>425</v>
      </c>
      <c r="G67" s="913" t="s">
        <v>426</v>
      </c>
      <c r="H67" s="874"/>
      <c r="I67" s="874"/>
      <c r="J67" s="874"/>
      <c r="K67" s="875"/>
      <c r="L67" s="876"/>
      <c r="M67" s="877"/>
      <c r="N67" s="2351"/>
      <c r="O67" s="2351"/>
      <c r="P67" s="332"/>
      <c r="Q67" s="839"/>
    </row>
    <row r="68" spans="1:17" ht="15.75" thickBot="1">
      <c r="A68" s="869"/>
      <c r="B68" s="878"/>
      <c r="C68" s="879">
        <v>100</v>
      </c>
      <c r="D68" s="879">
        <f>C68-$K20</f>
        <v>100</v>
      </c>
      <c r="E68" s="879">
        <f>D68-$K20</f>
        <v>100</v>
      </c>
      <c r="F68" s="879">
        <f>E68-$K20</f>
        <v>100</v>
      </c>
      <c r="G68" s="879">
        <f>F68-$K20</f>
        <v>100</v>
      </c>
      <c r="H68" s="879"/>
      <c r="I68" s="879"/>
      <c r="J68" s="879"/>
      <c r="K68" s="879"/>
      <c r="L68" s="879"/>
      <c r="M68" s="880"/>
      <c r="N68" s="2352"/>
      <c r="O68" s="2352"/>
      <c r="P68" s="332"/>
      <c r="Q68" s="839"/>
    </row>
    <row r="69" spans="1:17" ht="15.75" thickTop="1">
      <c r="A69" s="869"/>
      <c r="B69" s="873" t="s">
        <v>430</v>
      </c>
      <c r="C69" s="137"/>
      <c r="D69" s="137"/>
      <c r="E69" s="137"/>
      <c r="F69" s="137"/>
      <c r="G69" s="137"/>
      <c r="H69" s="129"/>
      <c r="I69" s="129"/>
      <c r="J69" s="129"/>
      <c r="K69" s="130"/>
      <c r="L69" s="131"/>
      <c r="M69" s="132"/>
      <c r="N69" s="2351"/>
      <c r="O69" s="2351"/>
      <c r="P69" s="332"/>
      <c r="Q69" s="839"/>
    </row>
    <row r="70" spans="1:17" ht="15.75" thickBot="1">
      <c r="A70" s="869"/>
      <c r="B70" s="878"/>
      <c r="C70" s="879">
        <v>100</v>
      </c>
      <c r="D70" s="879">
        <f>C70-$K22</f>
        <v>100</v>
      </c>
      <c r="E70" s="879"/>
      <c r="F70" s="879"/>
      <c r="G70" s="879"/>
      <c r="H70" s="879"/>
      <c r="I70" s="879"/>
      <c r="J70" s="879"/>
      <c r="K70" s="879"/>
      <c r="L70" s="879"/>
      <c r="M70" s="880"/>
      <c r="N70" s="2352"/>
      <c r="O70" s="2352"/>
      <c r="P70" s="332"/>
      <c r="Q70" s="839"/>
    </row>
    <row r="71" spans="1:17" s="404" customFormat="1" ht="15.75" thickTop="1">
      <c r="A71" s="914"/>
      <c r="B71" s="1044">
        <f>B23</f>
        <v>111</v>
      </c>
      <c r="C71" s="124"/>
      <c r="D71" s="124"/>
      <c r="E71" s="124"/>
      <c r="F71" s="124"/>
      <c r="G71" s="137"/>
      <c r="H71" s="137"/>
      <c r="I71" s="137"/>
      <c r="J71" s="137"/>
      <c r="K71" s="137"/>
      <c r="L71" s="1373"/>
      <c r="M71" s="1374"/>
      <c r="N71" s="2350"/>
      <c r="O71" s="2350"/>
      <c r="P71" s="332"/>
      <c r="Q71" s="839"/>
    </row>
    <row r="72" spans="1:17" s="404" customFormat="1" ht="15.75" thickBot="1">
      <c r="A72" s="914"/>
      <c r="B72" s="1045"/>
      <c r="C72" s="895"/>
      <c r="D72" s="871"/>
      <c r="E72" s="871"/>
      <c r="F72" s="871"/>
      <c r="G72" s="871"/>
      <c r="H72" s="871"/>
      <c r="I72" s="871"/>
      <c r="J72" s="871"/>
      <c r="K72" s="871"/>
      <c r="L72" s="871"/>
      <c r="M72" s="872"/>
      <c r="N72" s="2352"/>
      <c r="O72" s="2352"/>
      <c r="P72" s="332"/>
      <c r="Q72" s="839"/>
    </row>
    <row r="73" spans="1:17" s="404" customFormat="1" ht="15.75" thickTop="1">
      <c r="A73" s="914"/>
      <c r="B73" s="1044">
        <f>B24</f>
        <v>111</v>
      </c>
      <c r="C73" s="124"/>
      <c r="D73" s="124"/>
      <c r="E73" s="124"/>
      <c r="F73" s="124"/>
      <c r="G73" s="137"/>
      <c r="H73" s="137"/>
      <c r="I73" s="137"/>
      <c r="J73" s="137"/>
      <c r="K73" s="137"/>
      <c r="L73" s="137"/>
      <c r="M73" s="1374"/>
      <c r="N73" s="2350"/>
      <c r="O73" s="2350"/>
      <c r="P73" s="332"/>
      <c r="Q73" s="839"/>
    </row>
    <row r="74" spans="1:17" s="404" customFormat="1" ht="15.75" thickBot="1">
      <c r="A74" s="914"/>
      <c r="B74" s="1045"/>
      <c r="C74" s="895"/>
      <c r="D74" s="871"/>
      <c r="E74" s="871"/>
      <c r="F74" s="871"/>
      <c r="G74" s="871"/>
      <c r="H74" s="871"/>
      <c r="I74" s="871"/>
      <c r="J74" s="871"/>
      <c r="K74" s="871"/>
      <c r="L74" s="871"/>
      <c r="M74" s="872"/>
      <c r="N74" s="2352"/>
      <c r="O74" s="2352"/>
      <c r="P74" s="332"/>
      <c r="Q74" s="839"/>
    </row>
    <row r="75" spans="1:17" s="806" customFormat="1" ht="15.75" thickTop="1">
      <c r="A75" s="888"/>
      <c r="B75" s="1044">
        <f>B25</f>
        <v>111</v>
      </c>
      <c r="C75" s="124"/>
      <c r="D75" s="124"/>
      <c r="E75" s="124"/>
      <c r="F75" s="124"/>
      <c r="G75" s="137"/>
      <c r="H75" s="1049"/>
      <c r="I75" s="1049"/>
      <c r="J75" s="1049"/>
      <c r="K75" s="1049"/>
      <c r="L75" s="1050"/>
      <c r="M75" s="1051"/>
      <c r="N75" s="2353"/>
      <c r="O75" s="2353"/>
      <c r="P75" s="893"/>
      <c r="Q75" s="894"/>
    </row>
    <row r="76" spans="1:17" s="806" customFormat="1" ht="15.75" thickBot="1">
      <c r="A76" s="888"/>
      <c r="B76" s="1045"/>
      <c r="C76" s="895"/>
      <c r="D76" s="895"/>
      <c r="E76" s="895"/>
      <c r="F76" s="895"/>
      <c r="G76" s="871"/>
      <c r="H76" s="871"/>
      <c r="I76" s="871"/>
      <c r="J76" s="871"/>
      <c r="K76" s="871"/>
      <c r="L76" s="871"/>
      <c r="M76" s="872"/>
      <c r="N76" s="2353"/>
      <c r="O76" s="2353"/>
      <c r="P76" s="893"/>
      <c r="Q76" s="894"/>
    </row>
    <row r="77" spans="1:17" ht="15" thickTop="1">
      <c r="A77" s="862" t="s">
        <v>405</v>
      </c>
      <c r="B77" s="863" t="s">
        <v>431</v>
      </c>
      <c r="C77" s="137"/>
      <c r="D77" s="137"/>
      <c r="E77" s="120"/>
      <c r="F77" s="120"/>
      <c r="G77" s="120"/>
      <c r="H77" s="120"/>
      <c r="I77" s="120"/>
      <c r="J77" s="120"/>
      <c r="K77" s="121"/>
      <c r="L77" s="122"/>
      <c r="M77" s="123"/>
      <c r="N77" s="2351"/>
      <c r="O77" s="2351"/>
      <c r="P77" s="332"/>
      <c r="Q77" s="839"/>
    </row>
    <row r="78" spans="1:17" ht="15.75" thickBot="1">
      <c r="A78" s="869"/>
      <c r="B78" s="878"/>
      <c r="C78" s="879">
        <v>100</v>
      </c>
      <c r="D78" s="879">
        <f t="shared" ref="D78:M78" si="17">C78-$K26</f>
        <v>100</v>
      </c>
      <c r="E78" s="879">
        <f t="shared" si="17"/>
        <v>100</v>
      </c>
      <c r="F78" s="879">
        <f t="shared" si="17"/>
        <v>100</v>
      </c>
      <c r="G78" s="879">
        <f t="shared" si="17"/>
        <v>100</v>
      </c>
      <c r="H78" s="879">
        <f t="shared" si="17"/>
        <v>100</v>
      </c>
      <c r="I78" s="879">
        <f t="shared" si="17"/>
        <v>100</v>
      </c>
      <c r="J78" s="879">
        <f t="shared" si="17"/>
        <v>100</v>
      </c>
      <c r="K78" s="879">
        <f t="shared" si="17"/>
        <v>100</v>
      </c>
      <c r="L78" s="879">
        <f t="shared" si="17"/>
        <v>100</v>
      </c>
      <c r="M78" s="880">
        <f t="shared" si="17"/>
        <v>100</v>
      </c>
      <c r="N78" s="2352"/>
      <c r="O78" s="2352"/>
      <c r="P78" s="332"/>
      <c r="Q78" s="839"/>
    </row>
    <row r="79" spans="1:17" ht="15.75" thickTop="1">
      <c r="A79" s="869"/>
      <c r="B79" s="873" t="s">
        <v>466</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74"/>
      <c r="J79" s="874"/>
      <c r="K79" s="875"/>
      <c r="L79" s="876"/>
      <c r="M79" s="877"/>
      <c r="N79" s="2350"/>
      <c r="O79" s="2350"/>
      <c r="P79" s="332"/>
      <c r="Q79" s="839"/>
    </row>
    <row r="80" spans="1:17" ht="15">
      <c r="A80" s="869"/>
      <c r="B80" s="881"/>
      <c r="C80" s="938">
        <v>0.5</v>
      </c>
      <c r="D80" s="938">
        <v>0.6</v>
      </c>
      <c r="E80" s="938">
        <v>0.7</v>
      </c>
      <c r="F80" s="938">
        <v>0.8</v>
      </c>
      <c r="G80" s="938">
        <v>0.9</v>
      </c>
      <c r="H80" s="938">
        <v>1.0001</v>
      </c>
      <c r="I80" s="995"/>
      <c r="J80" s="995"/>
      <c r="K80" s="1003"/>
      <c r="L80" s="1004"/>
      <c r="M80" s="1005"/>
      <c r="N80" s="2350"/>
      <c r="O80" s="2350"/>
      <c r="P80" s="332"/>
      <c r="Q80" s="839"/>
    </row>
    <row r="81" spans="1:17" s="806" customFormat="1" ht="15.75" thickBot="1">
      <c r="A81" s="888"/>
      <c r="B81" s="878"/>
      <c r="C81" s="917">
        <v>100</v>
      </c>
      <c r="D81" s="879">
        <f t="shared" ref="D81:M81" si="18">C81+$K27</f>
        <v>100</v>
      </c>
      <c r="E81" s="879">
        <f t="shared" si="18"/>
        <v>100</v>
      </c>
      <c r="F81" s="879">
        <f t="shared" si="18"/>
        <v>100</v>
      </c>
      <c r="G81" s="879">
        <f t="shared" si="18"/>
        <v>100</v>
      </c>
      <c r="H81" s="879">
        <f t="shared" si="18"/>
        <v>100</v>
      </c>
      <c r="I81" s="879">
        <f t="shared" si="18"/>
        <v>100</v>
      </c>
      <c r="J81" s="879">
        <f t="shared" si="18"/>
        <v>100</v>
      </c>
      <c r="K81" s="879">
        <f t="shared" si="18"/>
        <v>100</v>
      </c>
      <c r="L81" s="879">
        <f t="shared" si="18"/>
        <v>100</v>
      </c>
      <c r="M81" s="879">
        <f t="shared" si="18"/>
        <v>100</v>
      </c>
      <c r="N81" s="2352"/>
      <c r="O81" s="2352"/>
      <c r="P81" s="893"/>
      <c r="Q81" s="894"/>
    </row>
    <row r="82" spans="1:17" ht="15" thickTop="1">
      <c r="A82" s="934"/>
      <c r="B82" s="881" t="s">
        <v>467</v>
      </c>
      <c r="C82" s="137"/>
      <c r="D82" s="137"/>
      <c r="E82" s="129"/>
      <c r="F82" s="129"/>
      <c r="G82" s="129"/>
      <c r="H82" s="129"/>
      <c r="I82" s="129"/>
      <c r="J82" s="129"/>
      <c r="K82" s="130"/>
      <c r="L82" s="131"/>
      <c r="M82" s="132"/>
      <c r="N82" s="2351"/>
      <c r="O82" s="2351"/>
      <c r="P82" s="332"/>
      <c r="Q82" s="839"/>
    </row>
    <row r="83" spans="1:17" ht="15.75" thickBot="1">
      <c r="A83" s="869"/>
      <c r="B83" s="878"/>
      <c r="C83" s="879">
        <v>100</v>
      </c>
      <c r="D83" s="879">
        <f t="shared" ref="D83:M83" si="19">C83-$K28</f>
        <v>100</v>
      </c>
      <c r="E83" s="879">
        <f t="shared" si="19"/>
        <v>100</v>
      </c>
      <c r="F83" s="879">
        <f t="shared" si="19"/>
        <v>100</v>
      </c>
      <c r="G83" s="879">
        <f t="shared" si="19"/>
        <v>100</v>
      </c>
      <c r="H83" s="879">
        <f t="shared" si="19"/>
        <v>100</v>
      </c>
      <c r="I83" s="879">
        <f t="shared" si="19"/>
        <v>100</v>
      </c>
      <c r="J83" s="879">
        <f t="shared" si="19"/>
        <v>100</v>
      </c>
      <c r="K83" s="879">
        <f t="shared" si="19"/>
        <v>100</v>
      </c>
      <c r="L83" s="879">
        <f t="shared" si="19"/>
        <v>100</v>
      </c>
      <c r="M83" s="880">
        <f t="shared" si="19"/>
        <v>100</v>
      </c>
      <c r="N83" s="2352"/>
      <c r="O83" s="2352"/>
      <c r="P83" s="332"/>
      <c r="Q83" s="839"/>
    </row>
    <row r="84" spans="1:17" ht="15" thickTop="1">
      <c r="A84" s="934"/>
      <c r="B84" s="873" t="s">
        <v>475</v>
      </c>
      <c r="C84" s="137"/>
      <c r="D84" s="137"/>
      <c r="E84" s="137"/>
      <c r="F84" s="137"/>
      <c r="G84" s="137"/>
      <c r="H84" s="137"/>
      <c r="I84" s="129"/>
      <c r="J84" s="129"/>
      <c r="K84" s="130"/>
      <c r="L84" s="131"/>
      <c r="M84" s="132"/>
      <c r="N84" s="2351"/>
      <c r="O84" s="2351"/>
      <c r="P84" s="332"/>
      <c r="Q84" s="839"/>
    </row>
    <row r="85" spans="1:17" ht="15.75" thickBot="1">
      <c r="A85" s="869"/>
      <c r="B85" s="878"/>
      <c r="C85" s="917">
        <v>100</v>
      </c>
      <c r="D85" s="879">
        <f t="shared" ref="D85:M85" si="20">C85+$K29</f>
        <v>100</v>
      </c>
      <c r="E85" s="879">
        <f t="shared" si="20"/>
        <v>100</v>
      </c>
      <c r="F85" s="879">
        <f t="shared" si="20"/>
        <v>100</v>
      </c>
      <c r="G85" s="879">
        <f t="shared" si="20"/>
        <v>100</v>
      </c>
      <c r="H85" s="879">
        <f t="shared" si="20"/>
        <v>100</v>
      </c>
      <c r="I85" s="879">
        <f t="shared" si="20"/>
        <v>100</v>
      </c>
      <c r="J85" s="879">
        <f t="shared" si="20"/>
        <v>100</v>
      </c>
      <c r="K85" s="879">
        <f t="shared" si="20"/>
        <v>100</v>
      </c>
      <c r="L85" s="879">
        <f t="shared" si="20"/>
        <v>100</v>
      </c>
      <c r="M85" s="879">
        <f t="shared" si="20"/>
        <v>100</v>
      </c>
      <c r="N85" s="2352"/>
      <c r="O85" s="2352"/>
      <c r="P85" s="332"/>
      <c r="Q85" s="839"/>
    </row>
    <row r="86" spans="1:17" ht="15" thickTop="1">
      <c r="A86" s="934"/>
      <c r="B86" s="881" t="s">
        <v>476</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2351"/>
      <c r="O86" s="2351"/>
      <c r="P86" s="332"/>
      <c r="Q86" s="839"/>
    </row>
    <row r="87" spans="1:17">
      <c r="A87" s="934"/>
      <c r="B87" s="881"/>
      <c r="C87" s="930"/>
      <c r="D87" s="930"/>
      <c r="E87" s="930"/>
      <c r="F87" s="930"/>
      <c r="G87" s="930"/>
      <c r="H87" s="930"/>
      <c r="I87" s="930"/>
      <c r="J87" s="931"/>
      <c r="K87" s="931"/>
      <c r="L87" s="932"/>
      <c r="M87" s="933"/>
      <c r="N87" s="2351"/>
      <c r="O87" s="2351"/>
      <c r="P87" s="332"/>
      <c r="Q87" s="839"/>
    </row>
    <row r="88" spans="1:17" ht="15.75" thickBot="1">
      <c r="A88" s="869"/>
      <c r="B88" s="878"/>
      <c r="C88" s="895"/>
      <c r="D88" s="871"/>
      <c r="E88" s="871"/>
      <c r="F88" s="871"/>
      <c r="G88" s="871"/>
      <c r="H88" s="871"/>
      <c r="I88" s="871"/>
      <c r="J88" s="871"/>
      <c r="K88" s="871"/>
      <c r="L88" s="871"/>
      <c r="M88" s="871"/>
      <c r="N88" s="2352"/>
      <c r="O88" s="2352"/>
      <c r="P88" s="332"/>
      <c r="Q88" s="839"/>
    </row>
    <row r="89" spans="1:17" s="806" customFormat="1" ht="15" thickTop="1">
      <c r="A89" s="928"/>
      <c r="B89" s="873" t="s">
        <v>477</v>
      </c>
      <c r="C89" s="137"/>
      <c r="D89" s="137"/>
      <c r="E89" s="137"/>
      <c r="F89" s="137"/>
      <c r="G89" s="137"/>
      <c r="H89" s="137"/>
      <c r="I89" s="137"/>
      <c r="J89" s="137"/>
      <c r="K89" s="137"/>
      <c r="L89" s="137"/>
      <c r="M89" s="1374"/>
      <c r="N89" s="2353"/>
      <c r="O89" s="2353"/>
      <c r="P89" s="893"/>
      <c r="Q89" s="894"/>
    </row>
    <row r="90" spans="1:17" s="806" customFormat="1" ht="15.75" thickBot="1">
      <c r="A90" s="888"/>
      <c r="B90" s="878"/>
      <c r="C90" s="895"/>
      <c r="D90" s="871"/>
      <c r="E90" s="871"/>
      <c r="F90" s="871"/>
      <c r="G90" s="871"/>
      <c r="H90" s="871"/>
      <c r="I90" s="871"/>
      <c r="J90" s="871"/>
      <c r="K90" s="871"/>
      <c r="L90" s="871"/>
      <c r="M90" s="872"/>
      <c r="N90" s="2353"/>
      <c r="O90" s="2353"/>
      <c r="P90" s="893"/>
      <c r="Q90" s="894"/>
    </row>
    <row r="91" spans="1:17" ht="15" thickTop="1">
      <c r="A91" s="934"/>
      <c r="B91" s="1044">
        <f>B32</f>
        <v>111</v>
      </c>
      <c r="C91" s="124"/>
      <c r="D91" s="124"/>
      <c r="E91" s="124"/>
      <c r="F91" s="124"/>
      <c r="G91" s="137"/>
      <c r="H91" s="1049"/>
      <c r="I91" s="1049"/>
      <c r="J91" s="1049"/>
      <c r="K91" s="1049"/>
      <c r="L91" s="1050"/>
      <c r="M91" s="1051"/>
      <c r="N91" s="2351"/>
      <c r="O91" s="2351"/>
      <c r="P91" s="332"/>
      <c r="Q91" s="839"/>
    </row>
    <row r="92" spans="1:17" ht="15.75" thickBot="1">
      <c r="A92" s="869"/>
      <c r="B92" s="1045"/>
      <c r="C92" s="895"/>
      <c r="D92" s="871"/>
      <c r="E92" s="871"/>
      <c r="F92" s="871"/>
      <c r="G92" s="895"/>
      <c r="H92" s="897"/>
      <c r="I92" s="897"/>
      <c r="J92" s="897"/>
      <c r="K92" s="897"/>
      <c r="L92" s="897"/>
      <c r="M92" s="898"/>
      <c r="N92" s="2352"/>
      <c r="O92" s="2352"/>
      <c r="P92" s="332"/>
      <c r="Q92" s="839"/>
    </row>
    <row r="93" spans="1:17" ht="15" thickTop="1">
      <c r="A93" s="934"/>
      <c r="B93" s="1044">
        <f>B33</f>
        <v>111</v>
      </c>
      <c r="C93" s="124"/>
      <c r="D93" s="124"/>
      <c r="E93" s="124"/>
      <c r="F93" s="124"/>
      <c r="G93" s="137"/>
      <c r="H93" s="1049"/>
      <c r="I93" s="1049"/>
      <c r="J93" s="1049"/>
      <c r="K93" s="1049"/>
      <c r="L93" s="1050"/>
      <c r="M93" s="1051"/>
      <c r="N93" s="2351"/>
      <c r="O93" s="2351"/>
      <c r="P93" s="332"/>
      <c r="Q93" s="839"/>
    </row>
    <row r="94" spans="1:17" ht="15.75" thickBot="1">
      <c r="A94" s="869"/>
      <c r="B94" s="1045"/>
      <c r="C94" s="895"/>
      <c r="D94" s="871"/>
      <c r="E94" s="871"/>
      <c r="F94" s="871"/>
      <c r="G94" s="895"/>
      <c r="H94" s="897"/>
      <c r="I94" s="897"/>
      <c r="J94" s="897"/>
      <c r="K94" s="897"/>
      <c r="L94" s="897"/>
      <c r="M94" s="898"/>
      <c r="N94" s="2352"/>
      <c r="O94" s="2352"/>
      <c r="P94" s="332"/>
      <c r="Q94" s="839"/>
    </row>
    <row r="95" spans="1:17" ht="15" thickTop="1">
      <c r="A95" s="934"/>
      <c r="B95" s="209">
        <f>B34</f>
        <v>111</v>
      </c>
      <c r="C95" s="124"/>
      <c r="D95" s="124"/>
      <c r="E95" s="124"/>
      <c r="F95" s="124"/>
      <c r="G95" s="137"/>
      <c r="H95" s="1049"/>
      <c r="I95" s="1049"/>
      <c r="J95" s="1049"/>
      <c r="K95" s="1049"/>
      <c r="L95" s="1050"/>
      <c r="M95" s="1051"/>
      <c r="N95" s="2352"/>
      <c r="O95" s="2352"/>
      <c r="P95" s="972"/>
      <c r="Q95" s="973"/>
    </row>
    <row r="96" spans="1:17" ht="15.75" thickBot="1">
      <c r="A96" s="869"/>
      <c r="B96" s="1045"/>
      <c r="C96" s="895"/>
      <c r="D96" s="895"/>
      <c r="E96" s="895"/>
      <c r="F96" s="895"/>
      <c r="G96" s="895"/>
      <c r="H96" s="897"/>
      <c r="I96" s="897"/>
      <c r="J96" s="897"/>
      <c r="K96" s="897"/>
      <c r="L96" s="897"/>
      <c r="M96" s="898"/>
      <c r="N96" s="2352"/>
      <c r="O96" s="2352"/>
      <c r="P96" s="332"/>
      <c r="Q96" s="839"/>
    </row>
    <row r="97" spans="1:20" ht="15" thickTop="1"/>
    <row r="98" spans="1:20">
      <c r="A98" s="2354"/>
      <c r="B98" s="2354"/>
      <c r="C98" s="2354"/>
      <c r="D98" s="2354"/>
      <c r="E98" s="2354"/>
      <c r="F98" s="2354"/>
      <c r="G98" s="2354"/>
      <c r="H98" s="2354"/>
      <c r="I98" s="2354"/>
      <c r="J98" s="2354"/>
      <c r="K98" s="2355"/>
      <c r="L98" s="2356"/>
      <c r="M98" s="2354"/>
      <c r="N98" s="2354"/>
      <c r="O98" s="2354"/>
      <c r="P98" s="2354"/>
      <c r="Q98" s="2354"/>
      <c r="R98" s="2354"/>
      <c r="S98" s="2354"/>
      <c r="T98" s="2354"/>
    </row>
    <row r="99" spans="1:20">
      <c r="A99" s="2354"/>
      <c r="B99" s="2354"/>
      <c r="C99" s="2354"/>
      <c r="D99" s="2354"/>
      <c r="E99" s="2354"/>
      <c r="F99" s="2354"/>
      <c r="G99" s="2354"/>
      <c r="H99" s="2354"/>
      <c r="I99" s="2354"/>
      <c r="J99" s="2354"/>
      <c r="K99" s="2355"/>
      <c r="L99" s="2356"/>
      <c r="M99" s="2354"/>
      <c r="N99" s="2354"/>
      <c r="O99" s="2354"/>
      <c r="P99" s="2354"/>
      <c r="Q99" s="2354"/>
      <c r="R99" s="2354"/>
      <c r="S99" s="2354"/>
      <c r="T99" s="2354"/>
    </row>
    <row r="100" spans="1:20">
      <c r="A100" s="2354"/>
      <c r="B100" s="2354"/>
      <c r="C100" s="2354"/>
      <c r="D100" s="2354"/>
      <c r="E100" s="2354"/>
      <c r="F100" s="2354"/>
      <c r="G100" s="2354"/>
      <c r="H100" s="2354"/>
      <c r="I100" s="2354"/>
      <c r="J100" s="2354"/>
      <c r="K100" s="2355"/>
      <c r="L100" s="2356"/>
      <c r="M100" s="2354"/>
      <c r="N100" s="2354"/>
      <c r="O100" s="2354"/>
      <c r="P100" s="2354"/>
      <c r="Q100" s="2354"/>
      <c r="R100" s="2354"/>
      <c r="S100" s="2354"/>
      <c r="T100" s="2354"/>
    </row>
    <row r="101" spans="1:20">
      <c r="A101" s="2354"/>
      <c r="B101" s="2354"/>
      <c r="C101" s="2354"/>
      <c r="D101" s="2354"/>
      <c r="E101" s="2354"/>
      <c r="F101" s="2354"/>
      <c r="G101" s="2354"/>
      <c r="H101" s="2354"/>
      <c r="I101" s="2354"/>
      <c r="J101" s="2354"/>
      <c r="K101" s="2355"/>
      <c r="L101" s="2356"/>
      <c r="M101" s="2354"/>
      <c r="N101" s="2354"/>
      <c r="O101" s="2354"/>
      <c r="P101" s="2354"/>
      <c r="Q101" s="2354"/>
      <c r="R101" s="2354"/>
      <c r="S101" s="2354"/>
      <c r="T101" s="2354"/>
    </row>
    <row r="102" spans="1:20">
      <c r="A102" s="2354"/>
      <c r="B102" s="2354"/>
      <c r="C102" s="2354"/>
      <c r="D102" s="2354"/>
      <c r="E102" s="2354"/>
      <c r="F102" s="2354"/>
      <c r="G102" s="2354"/>
      <c r="H102" s="2354"/>
      <c r="I102" s="2354"/>
      <c r="J102" s="2354"/>
      <c r="K102" s="2355"/>
      <c r="L102" s="2356"/>
      <c r="M102" s="2354"/>
      <c r="N102" s="2354"/>
      <c r="O102" s="2354"/>
      <c r="P102" s="2354"/>
      <c r="Q102" s="2354"/>
      <c r="R102" s="2354"/>
      <c r="S102" s="2354"/>
      <c r="T102" s="2354"/>
    </row>
    <row r="103" spans="1:20">
      <c r="A103" s="2354"/>
      <c r="B103" s="2354"/>
      <c r="C103" s="2354"/>
      <c r="D103" s="2354"/>
      <c r="E103" s="2354"/>
      <c r="F103" s="2354"/>
      <c r="G103" s="2354"/>
      <c r="H103" s="2354"/>
      <c r="I103" s="2354"/>
      <c r="J103" s="2354"/>
      <c r="K103" s="2355"/>
      <c r="L103" s="2356"/>
      <c r="M103" s="2354"/>
      <c r="N103" s="2354"/>
      <c r="O103" s="2354"/>
      <c r="P103" s="2354"/>
      <c r="Q103" s="2354"/>
      <c r="R103" s="2354"/>
      <c r="S103" s="2354"/>
      <c r="T103" s="2354"/>
    </row>
    <row r="104" spans="1:20">
      <c r="A104" s="2354"/>
      <c r="B104" s="2354"/>
      <c r="C104" s="2354"/>
      <c r="D104" s="2354"/>
      <c r="E104" s="2354"/>
      <c r="F104" s="2354"/>
      <c r="G104" s="2354"/>
      <c r="H104" s="2354"/>
      <c r="I104" s="2354"/>
      <c r="J104" s="2354"/>
      <c r="K104" s="2355"/>
      <c r="L104" s="2356"/>
      <c r="M104" s="2354"/>
      <c r="N104" s="2354"/>
      <c r="O104" s="2354"/>
      <c r="P104" s="2354"/>
      <c r="Q104" s="2354"/>
      <c r="R104" s="2354"/>
      <c r="S104" s="2354"/>
      <c r="T104" s="2354"/>
    </row>
    <row r="105" spans="1:20">
      <c r="A105" s="2354"/>
      <c r="B105" s="2354"/>
      <c r="C105" s="2354"/>
      <c r="D105" s="2354"/>
      <c r="E105" s="2354"/>
      <c r="F105" s="2354"/>
      <c r="G105" s="2354"/>
      <c r="H105" s="2354"/>
      <c r="I105" s="2354"/>
      <c r="J105" s="2354"/>
      <c r="K105" s="2355"/>
      <c r="L105" s="2356"/>
      <c r="M105" s="2354"/>
      <c r="N105" s="2354"/>
      <c r="O105" s="2354"/>
      <c r="P105" s="2354"/>
      <c r="Q105" s="2354"/>
      <c r="R105" s="2354"/>
      <c r="S105" s="2354"/>
      <c r="T105" s="2354"/>
    </row>
    <row r="106" spans="1:20">
      <c r="A106" s="2354"/>
      <c r="B106" s="2354"/>
      <c r="C106" s="2354"/>
      <c r="D106" s="2354"/>
      <c r="E106" s="2354"/>
      <c r="F106" s="2354"/>
      <c r="G106" s="2354"/>
      <c r="H106" s="2354"/>
      <c r="I106" s="2354"/>
      <c r="J106" s="2354"/>
      <c r="K106" s="2355"/>
      <c r="L106" s="2356"/>
      <c r="M106" s="2354"/>
      <c r="N106" s="2354"/>
      <c r="O106" s="2354"/>
      <c r="P106" s="2354"/>
      <c r="Q106" s="2354"/>
      <c r="R106" s="2354"/>
      <c r="S106" s="2354"/>
      <c r="T106" s="2354"/>
    </row>
    <row r="107" spans="1:20">
      <c r="A107" s="2354"/>
      <c r="B107" s="2354"/>
      <c r="C107" s="2354"/>
      <c r="D107" s="2354"/>
      <c r="E107" s="2354"/>
      <c r="F107" s="2354"/>
      <c r="G107" s="2354"/>
      <c r="H107" s="2354"/>
      <c r="I107" s="2354"/>
      <c r="J107" s="2354"/>
      <c r="K107" s="2355"/>
      <c r="L107" s="2356"/>
      <c r="M107" s="2354"/>
      <c r="N107" s="2354"/>
      <c r="O107" s="2354"/>
      <c r="P107" s="2354"/>
      <c r="Q107" s="2354"/>
      <c r="R107" s="2354"/>
      <c r="S107" s="2354"/>
      <c r="T107" s="2354"/>
    </row>
    <row r="108" spans="1:20">
      <c r="A108" s="2354"/>
      <c r="B108" s="2354"/>
      <c r="C108" s="2354"/>
      <c r="D108" s="2354"/>
      <c r="E108" s="2354"/>
      <c r="F108" s="2354"/>
      <c r="G108" s="2354"/>
      <c r="H108" s="2354"/>
      <c r="I108" s="2354"/>
      <c r="J108" s="2354"/>
      <c r="K108" s="2355"/>
      <c r="L108" s="2356"/>
      <c r="M108" s="2354"/>
      <c r="N108" s="2354"/>
      <c r="O108" s="2354"/>
      <c r="P108" s="2354"/>
      <c r="Q108" s="2354"/>
      <c r="R108" s="2354"/>
      <c r="S108" s="2354"/>
      <c r="T108" s="2354"/>
    </row>
    <row r="109" spans="1:20">
      <c r="A109" s="2354"/>
      <c r="B109" s="2354"/>
      <c r="C109" s="2354"/>
      <c r="D109" s="2354"/>
      <c r="E109" s="2354"/>
      <c r="F109" s="2354"/>
      <c r="G109" s="2354"/>
      <c r="H109" s="2354"/>
      <c r="I109" s="2354"/>
      <c r="J109" s="2354"/>
      <c r="K109" s="2355"/>
      <c r="L109" s="2356"/>
      <c r="M109" s="2354"/>
      <c r="N109" s="2354"/>
      <c r="O109" s="2354"/>
      <c r="P109" s="2354"/>
      <c r="Q109" s="2354"/>
      <c r="R109" s="2354"/>
      <c r="S109" s="2354"/>
      <c r="T109" s="2354"/>
    </row>
    <row r="110" spans="1:20">
      <c r="A110" s="2354"/>
      <c r="B110" s="2354"/>
      <c r="C110" s="2354"/>
      <c r="D110" s="2354"/>
      <c r="E110" s="2354"/>
      <c r="F110" s="2354"/>
      <c r="G110" s="2354"/>
      <c r="H110" s="2354"/>
      <c r="I110" s="2354"/>
      <c r="J110" s="2354"/>
      <c r="K110" s="2355"/>
      <c r="L110" s="2356"/>
      <c r="M110" s="2354"/>
      <c r="N110" s="2354"/>
      <c r="O110" s="2354"/>
      <c r="P110" s="2354"/>
      <c r="Q110" s="2354"/>
      <c r="R110" s="2354"/>
      <c r="S110" s="2354"/>
      <c r="T110" s="2354"/>
    </row>
    <row r="111" spans="1:20">
      <c r="A111" s="2354"/>
      <c r="B111" s="2354"/>
      <c r="C111" s="2354"/>
      <c r="D111" s="2354"/>
      <c r="E111" s="2354"/>
      <c r="F111" s="2354"/>
      <c r="G111" s="2354"/>
      <c r="H111" s="2354"/>
      <c r="I111" s="2354"/>
      <c r="J111" s="2354"/>
      <c r="K111" s="2355"/>
      <c r="L111" s="2356"/>
      <c r="M111" s="2354"/>
      <c r="N111" s="2354"/>
      <c r="O111" s="2354"/>
      <c r="P111" s="2354"/>
      <c r="Q111" s="2354"/>
      <c r="R111" s="2354"/>
      <c r="S111" s="2354"/>
      <c r="T111" s="2354"/>
    </row>
    <row r="112" spans="1:20">
      <c r="A112" s="2354"/>
      <c r="B112" s="2354"/>
      <c r="C112" s="2354"/>
      <c r="D112" s="2354"/>
      <c r="E112" s="2354"/>
      <c r="F112" s="2354"/>
      <c r="G112" s="2354"/>
      <c r="H112" s="2354"/>
      <c r="I112" s="2354"/>
      <c r="J112" s="2354"/>
      <c r="K112" s="2355"/>
      <c r="L112" s="2356"/>
      <c r="M112" s="2354"/>
      <c r="N112" s="2354"/>
      <c r="O112" s="2354"/>
      <c r="P112" s="2354"/>
      <c r="Q112" s="2354"/>
      <c r="R112" s="2354"/>
      <c r="S112" s="2354"/>
      <c r="T112" s="2354"/>
    </row>
    <row r="113" spans="1:20">
      <c r="A113" s="2354"/>
      <c r="B113" s="2354"/>
      <c r="C113" s="2354"/>
      <c r="D113" s="2354"/>
      <c r="E113" s="2354"/>
      <c r="F113" s="2354"/>
      <c r="G113" s="2354"/>
      <c r="H113" s="2354"/>
      <c r="I113" s="2354"/>
      <c r="J113" s="2354"/>
      <c r="K113" s="2355"/>
      <c r="L113" s="2356"/>
      <c r="M113" s="2354"/>
      <c r="N113" s="2354"/>
      <c r="O113" s="2354"/>
      <c r="P113" s="2354"/>
      <c r="Q113" s="2354"/>
      <c r="R113" s="2354"/>
      <c r="S113" s="2354"/>
      <c r="T113" s="2354"/>
    </row>
    <row r="114" spans="1:20">
      <c r="A114" s="2354"/>
      <c r="B114" s="2354"/>
      <c r="C114" s="2354"/>
      <c r="D114" s="2354"/>
      <c r="E114" s="2354"/>
      <c r="F114" s="2354"/>
      <c r="G114" s="2354"/>
      <c r="H114" s="2354"/>
      <c r="I114" s="2354"/>
      <c r="J114" s="2354"/>
      <c r="K114" s="2355"/>
      <c r="L114" s="2356"/>
      <c r="M114" s="2354"/>
      <c r="N114" s="2354"/>
      <c r="O114" s="2354"/>
      <c r="P114" s="2354"/>
      <c r="Q114" s="2354"/>
      <c r="R114" s="2354"/>
      <c r="S114" s="2354"/>
      <c r="T114" s="2354"/>
    </row>
    <row r="115" spans="1:20">
      <c r="A115" s="2354"/>
      <c r="B115" s="2354"/>
      <c r="C115" s="2354"/>
      <c r="D115" s="2354"/>
      <c r="E115" s="2354"/>
      <c r="F115" s="2354"/>
      <c r="G115" s="2354"/>
      <c r="H115" s="2354"/>
      <c r="I115" s="2354"/>
      <c r="J115" s="2354"/>
      <c r="K115" s="2355"/>
      <c r="L115" s="2356"/>
      <c r="M115" s="2354"/>
      <c r="N115" s="2354"/>
      <c r="O115" s="2354"/>
      <c r="P115" s="2354"/>
      <c r="Q115" s="2354"/>
      <c r="R115" s="2354"/>
      <c r="S115" s="2354"/>
      <c r="T115" s="2354"/>
    </row>
    <row r="116" spans="1:20">
      <c r="A116" s="2354"/>
      <c r="B116" s="2354"/>
      <c r="C116" s="2354"/>
      <c r="D116" s="2354"/>
      <c r="E116" s="2354"/>
      <c r="F116" s="2354"/>
      <c r="G116" s="2354"/>
      <c r="H116" s="2354"/>
      <c r="I116" s="2354"/>
      <c r="J116" s="2354"/>
      <c r="K116" s="2355"/>
      <c r="L116" s="2356"/>
      <c r="M116" s="2354"/>
      <c r="N116" s="2354"/>
      <c r="O116" s="2354"/>
      <c r="P116" s="2354"/>
      <c r="Q116" s="2354"/>
      <c r="R116" s="2354"/>
      <c r="S116" s="2354"/>
      <c r="T116" s="2354"/>
    </row>
    <row r="117" spans="1:20">
      <c r="A117" s="2354"/>
      <c r="B117" s="2354"/>
      <c r="C117" s="2354"/>
      <c r="D117" s="2354"/>
      <c r="E117" s="2354"/>
      <c r="F117" s="2354"/>
      <c r="G117" s="2354"/>
      <c r="H117" s="2354"/>
      <c r="I117" s="2354"/>
      <c r="J117" s="2354"/>
      <c r="K117" s="2355"/>
      <c r="L117" s="2356"/>
      <c r="M117" s="2354"/>
      <c r="N117" s="2354"/>
      <c r="O117" s="2354"/>
      <c r="P117" s="2354"/>
      <c r="Q117" s="2354"/>
      <c r="R117" s="2354"/>
      <c r="S117" s="2354"/>
      <c r="T117" s="2354"/>
    </row>
    <row r="118" spans="1:20">
      <c r="A118" s="2354"/>
      <c r="B118" s="2354"/>
      <c r="C118" s="2354"/>
      <c r="D118" s="2354"/>
      <c r="E118" s="2354"/>
      <c r="F118" s="2354"/>
      <c r="G118" s="2354"/>
      <c r="H118" s="2354"/>
      <c r="I118" s="2354"/>
      <c r="J118" s="2354"/>
      <c r="K118" s="2355"/>
      <c r="L118" s="2356"/>
      <c r="M118" s="2354"/>
      <c r="N118" s="2354"/>
      <c r="O118" s="2354"/>
      <c r="P118" s="2354"/>
      <c r="Q118" s="2354"/>
      <c r="R118" s="2354"/>
      <c r="S118" s="2354"/>
      <c r="T118" s="2354"/>
    </row>
    <row r="119" spans="1:20">
      <c r="A119" s="2354"/>
      <c r="B119" s="2354"/>
      <c r="C119" s="2354"/>
      <c r="D119" s="2354"/>
      <c r="E119" s="2354"/>
      <c r="F119" s="2354"/>
      <c r="G119" s="2354"/>
      <c r="H119" s="2354"/>
      <c r="I119" s="2354"/>
      <c r="J119" s="2354"/>
      <c r="K119" s="2355"/>
      <c r="L119" s="2356"/>
      <c r="M119" s="2354"/>
      <c r="N119" s="2354"/>
      <c r="O119" s="2354"/>
      <c r="P119" s="2354"/>
      <c r="Q119" s="2354"/>
      <c r="R119" s="2354"/>
      <c r="S119" s="2354"/>
      <c r="T119" s="2354"/>
    </row>
    <row r="120" spans="1:20">
      <c r="A120" s="2354"/>
      <c r="B120" s="2354"/>
      <c r="C120" s="2354"/>
      <c r="D120" s="2354"/>
      <c r="E120" s="2354"/>
      <c r="F120" s="2354"/>
      <c r="G120" s="2354"/>
      <c r="H120" s="2354"/>
      <c r="I120" s="2354"/>
      <c r="J120" s="2354"/>
      <c r="K120" s="2355"/>
      <c r="L120" s="2356"/>
      <c r="M120" s="2354"/>
      <c r="N120" s="2354"/>
      <c r="O120" s="2354"/>
      <c r="P120" s="2354"/>
      <c r="Q120" s="2354"/>
      <c r="R120" s="2354"/>
      <c r="S120" s="2354"/>
      <c r="T120" s="2354"/>
    </row>
    <row r="121" spans="1:20">
      <c r="A121" s="2354"/>
      <c r="B121" s="2354"/>
      <c r="C121" s="2354"/>
      <c r="D121" s="2354"/>
      <c r="E121" s="2354"/>
      <c r="F121" s="2354"/>
      <c r="G121" s="2354"/>
      <c r="H121" s="2354"/>
      <c r="I121" s="2354"/>
      <c r="J121" s="2354"/>
      <c r="K121" s="2355"/>
      <c r="L121" s="2356"/>
      <c r="M121" s="2354"/>
      <c r="N121" s="2354"/>
      <c r="O121" s="2354"/>
      <c r="P121" s="2354"/>
      <c r="Q121" s="2354"/>
      <c r="R121" s="2354"/>
      <c r="S121" s="2354"/>
      <c r="T121" s="2354"/>
    </row>
    <row r="122" spans="1:20">
      <c r="A122" s="2354"/>
      <c r="B122" s="2354"/>
      <c r="C122" s="2354"/>
      <c r="D122" s="2354"/>
      <c r="E122" s="2354"/>
      <c r="F122" s="2354"/>
      <c r="G122" s="2354"/>
      <c r="H122" s="2354"/>
      <c r="I122" s="2354"/>
      <c r="J122" s="2354"/>
      <c r="K122" s="2355"/>
      <c r="L122" s="2356"/>
      <c r="M122" s="2354"/>
      <c r="N122" s="2354"/>
      <c r="O122" s="2354"/>
      <c r="P122" s="2354"/>
      <c r="Q122" s="2354"/>
      <c r="R122" s="2354"/>
      <c r="S122" s="2354"/>
      <c r="T122" s="2354"/>
    </row>
    <row r="123" spans="1:20">
      <c r="A123" s="2354"/>
      <c r="B123" s="2354"/>
      <c r="C123" s="2354"/>
      <c r="D123" s="2354"/>
      <c r="E123" s="2354"/>
      <c r="F123" s="2354"/>
      <c r="G123" s="2354"/>
      <c r="H123" s="2354"/>
      <c r="I123" s="2354"/>
      <c r="J123" s="2354"/>
      <c r="K123" s="2355"/>
      <c r="L123" s="2356"/>
      <c r="M123" s="2354"/>
      <c r="N123" s="2354"/>
      <c r="O123" s="2354"/>
      <c r="P123" s="2354"/>
      <c r="Q123" s="2354"/>
      <c r="R123" s="2354"/>
      <c r="S123" s="2354"/>
      <c r="T123" s="2354"/>
    </row>
    <row r="124" spans="1:20">
      <c r="A124" s="2354"/>
      <c r="B124" s="2354"/>
      <c r="C124" s="2354"/>
      <c r="D124" s="2354"/>
      <c r="E124" s="2354"/>
      <c r="F124" s="2354"/>
      <c r="G124" s="2354"/>
      <c r="H124" s="2354"/>
      <c r="I124" s="2354"/>
      <c r="J124" s="2354"/>
      <c r="K124" s="2355"/>
      <c r="L124" s="2356"/>
      <c r="M124" s="2354"/>
      <c r="N124" s="2354"/>
      <c r="O124" s="2354"/>
      <c r="P124" s="2354"/>
      <c r="Q124" s="2354"/>
      <c r="R124" s="2354"/>
      <c r="S124" s="2354"/>
      <c r="T124" s="2354"/>
    </row>
    <row r="125" spans="1:20">
      <c r="A125" s="2354"/>
      <c r="B125" s="2354"/>
      <c r="C125" s="2354"/>
      <c r="D125" s="2354"/>
      <c r="E125" s="2354"/>
      <c r="F125" s="2354"/>
      <c r="G125" s="2354"/>
      <c r="H125" s="2354"/>
      <c r="I125" s="2354"/>
      <c r="J125" s="2354"/>
      <c r="K125" s="2355"/>
      <c r="L125" s="2356"/>
      <c r="M125" s="2354"/>
      <c r="N125" s="2354"/>
      <c r="O125" s="2354"/>
      <c r="P125" s="2354"/>
      <c r="Q125" s="2354"/>
      <c r="R125" s="2354"/>
      <c r="S125" s="2354"/>
      <c r="T125" s="2354"/>
    </row>
    <row r="126" spans="1:20">
      <c r="A126" s="2354"/>
      <c r="B126" s="2354"/>
      <c r="C126" s="2354"/>
      <c r="D126" s="2354"/>
      <c r="E126" s="2354"/>
      <c r="F126" s="2354"/>
      <c r="G126" s="2354"/>
      <c r="H126" s="2354"/>
      <c r="I126" s="2354"/>
      <c r="J126" s="2354"/>
      <c r="K126" s="2355"/>
      <c r="L126" s="2356"/>
      <c r="M126" s="2354"/>
      <c r="N126" s="2354"/>
      <c r="O126" s="2354"/>
      <c r="P126" s="2354"/>
      <c r="Q126" s="2354"/>
      <c r="R126" s="2354"/>
      <c r="S126" s="2354"/>
      <c r="T126" s="2354"/>
    </row>
    <row r="127" spans="1:20">
      <c r="A127" s="2354"/>
      <c r="B127" s="2354"/>
      <c r="C127" s="2354"/>
      <c r="D127" s="2354"/>
      <c r="E127" s="2354"/>
      <c r="F127" s="2354"/>
      <c r="G127" s="2354"/>
      <c r="H127" s="2354"/>
      <c r="I127" s="2354"/>
      <c r="J127" s="2354"/>
      <c r="K127" s="2355"/>
      <c r="L127" s="2356"/>
      <c r="M127" s="2354"/>
      <c r="N127" s="2354"/>
      <c r="O127" s="2354"/>
      <c r="P127" s="2354"/>
      <c r="Q127" s="2354"/>
      <c r="R127" s="2354"/>
      <c r="S127" s="2354"/>
      <c r="T127" s="2354"/>
    </row>
    <row r="128" spans="1:20">
      <c r="A128" s="2354"/>
      <c r="B128" s="2354"/>
      <c r="C128" s="2354"/>
      <c r="D128" s="2354"/>
      <c r="E128" s="2354"/>
      <c r="F128" s="2354"/>
      <c r="G128" s="2354"/>
      <c r="H128" s="2354"/>
      <c r="I128" s="2354"/>
      <c r="J128" s="2354"/>
      <c r="K128" s="2355"/>
      <c r="L128" s="2356"/>
      <c r="M128" s="2354"/>
      <c r="N128" s="2354"/>
      <c r="O128" s="2354"/>
      <c r="P128" s="2354"/>
      <c r="Q128" s="2354"/>
      <c r="R128" s="2354"/>
      <c r="S128" s="2354"/>
      <c r="T128" s="2354"/>
    </row>
    <row r="129" spans="1:20">
      <c r="A129" s="2354"/>
      <c r="B129" s="2354"/>
      <c r="C129" s="2354"/>
      <c r="D129" s="2354"/>
      <c r="E129" s="2354"/>
      <c r="F129" s="2354"/>
      <c r="G129" s="2354"/>
      <c r="H129" s="2354"/>
      <c r="I129" s="2354"/>
      <c r="J129" s="2354"/>
      <c r="K129" s="2355"/>
      <c r="L129" s="2356"/>
      <c r="M129" s="2354"/>
      <c r="N129" s="2354"/>
      <c r="O129" s="2354"/>
      <c r="P129" s="2354"/>
      <c r="Q129" s="2354"/>
      <c r="R129" s="2354"/>
      <c r="S129" s="2354"/>
      <c r="T129" s="2354"/>
    </row>
    <row r="130" spans="1:20">
      <c r="A130" s="2354"/>
      <c r="B130" s="2354"/>
      <c r="C130" s="2354"/>
      <c r="D130" s="2354"/>
      <c r="E130" s="2354"/>
      <c r="F130" s="2354"/>
      <c r="G130" s="2354"/>
      <c r="H130" s="2354"/>
      <c r="I130" s="2354"/>
      <c r="J130" s="2354"/>
      <c r="K130" s="2355"/>
      <c r="L130" s="2356"/>
      <c r="M130" s="2354"/>
      <c r="N130" s="2354"/>
      <c r="O130" s="2354"/>
      <c r="P130" s="2354"/>
      <c r="Q130" s="2354"/>
      <c r="R130" s="2354"/>
      <c r="S130" s="2354"/>
      <c r="T130" s="2354"/>
    </row>
    <row r="131" spans="1:20">
      <c r="A131" s="2354"/>
      <c r="B131" s="2354"/>
      <c r="C131" s="2354"/>
      <c r="D131" s="2354"/>
      <c r="E131" s="2354"/>
      <c r="F131" s="2354"/>
      <c r="G131" s="2354"/>
      <c r="H131" s="2354"/>
      <c r="I131" s="2354"/>
      <c r="J131" s="2354"/>
      <c r="K131" s="2355"/>
      <c r="L131" s="2356"/>
      <c r="M131" s="2354"/>
      <c r="N131" s="2354"/>
      <c r="O131" s="2354"/>
      <c r="P131" s="2354"/>
      <c r="Q131" s="2354"/>
      <c r="R131" s="2354"/>
      <c r="S131" s="2354"/>
      <c r="T131" s="2354"/>
    </row>
    <row r="132" spans="1:20">
      <c r="A132" s="2354"/>
      <c r="B132" s="2354"/>
      <c r="C132" s="2354"/>
      <c r="D132" s="2354"/>
      <c r="E132" s="2354"/>
      <c r="F132" s="2354"/>
      <c r="G132" s="2354"/>
      <c r="H132" s="2354"/>
      <c r="I132" s="2354"/>
      <c r="J132" s="2354"/>
      <c r="K132" s="2355"/>
      <c r="L132" s="2356"/>
      <c r="M132" s="2354"/>
      <c r="N132" s="2354"/>
      <c r="O132" s="2354"/>
      <c r="P132" s="2354"/>
      <c r="Q132" s="2354"/>
      <c r="R132" s="2354"/>
      <c r="S132" s="2354"/>
      <c r="T132" s="2354"/>
    </row>
    <row r="133" spans="1:20">
      <c r="A133" s="2354"/>
      <c r="B133" s="2354"/>
      <c r="C133" s="2354"/>
      <c r="D133" s="2354"/>
      <c r="E133" s="2354"/>
      <c r="F133" s="2354"/>
      <c r="G133" s="2354"/>
      <c r="H133" s="2354"/>
      <c r="I133" s="2354"/>
      <c r="J133" s="2354"/>
      <c r="K133" s="2355"/>
      <c r="L133" s="2356"/>
      <c r="M133" s="2354"/>
      <c r="N133" s="2354"/>
      <c r="O133" s="2354"/>
      <c r="P133" s="2354"/>
      <c r="Q133" s="2354"/>
      <c r="R133" s="2354"/>
      <c r="S133" s="2354"/>
      <c r="T133" s="2354"/>
    </row>
    <row r="134" spans="1:20">
      <c r="A134" s="2354"/>
      <c r="B134" s="2354"/>
      <c r="C134" s="2354"/>
      <c r="D134" s="2354"/>
      <c r="E134" s="2354"/>
      <c r="F134" s="2354"/>
      <c r="G134" s="2354"/>
      <c r="H134" s="2354"/>
      <c r="I134" s="2354"/>
      <c r="J134" s="2354"/>
      <c r="K134" s="2355"/>
      <c r="L134" s="2356"/>
      <c r="M134" s="2354"/>
      <c r="N134" s="2354"/>
      <c r="O134" s="2354"/>
      <c r="P134" s="2354"/>
      <c r="Q134" s="2354"/>
      <c r="R134" s="2354"/>
      <c r="S134" s="2354"/>
      <c r="T134" s="2354"/>
    </row>
    <row r="135" spans="1:20">
      <c r="A135" s="2354"/>
      <c r="B135" s="2354"/>
      <c r="C135" s="2354"/>
      <c r="D135" s="2354"/>
      <c r="E135" s="2354"/>
      <c r="F135" s="2354"/>
      <c r="G135" s="2354"/>
      <c r="H135" s="2354"/>
      <c r="I135" s="2354"/>
      <c r="J135" s="2354"/>
      <c r="K135" s="2355"/>
      <c r="L135" s="2356"/>
      <c r="M135" s="2354"/>
      <c r="N135" s="2354"/>
      <c r="O135" s="2354"/>
      <c r="P135" s="2354"/>
      <c r="Q135" s="2354"/>
      <c r="R135" s="2354"/>
      <c r="S135" s="2354"/>
      <c r="T135" s="2354"/>
    </row>
    <row r="136" spans="1:20">
      <c r="A136" s="2354"/>
      <c r="B136" s="2354"/>
      <c r="C136" s="2354"/>
      <c r="D136" s="2354"/>
      <c r="E136" s="2354"/>
      <c r="F136" s="2354"/>
      <c r="G136" s="2354"/>
      <c r="H136" s="2354"/>
      <c r="I136" s="2354"/>
      <c r="J136" s="2354"/>
      <c r="K136" s="2355"/>
      <c r="L136" s="2356"/>
      <c r="M136" s="2354"/>
      <c r="N136" s="2354"/>
      <c r="O136" s="2354"/>
      <c r="P136" s="2354"/>
      <c r="Q136" s="2354"/>
      <c r="R136" s="2354"/>
      <c r="S136" s="2354"/>
      <c r="T136" s="2354"/>
    </row>
    <row r="137" spans="1:20">
      <c r="A137" s="2354"/>
      <c r="B137" s="2354"/>
      <c r="C137" s="2354"/>
      <c r="D137" s="2354"/>
      <c r="E137" s="2354"/>
      <c r="F137" s="2354"/>
      <c r="G137" s="2354"/>
      <c r="H137" s="2354"/>
      <c r="I137" s="2354"/>
      <c r="J137" s="2354"/>
      <c r="K137" s="2355"/>
      <c r="L137" s="2356"/>
      <c r="M137" s="2354"/>
      <c r="N137" s="2354"/>
      <c r="O137" s="2354"/>
      <c r="P137" s="2354"/>
      <c r="Q137" s="2354"/>
      <c r="R137" s="2354"/>
      <c r="S137" s="2354"/>
      <c r="T137" s="2354"/>
    </row>
    <row r="138" spans="1:20">
      <c r="A138" s="2354"/>
      <c r="B138" s="2354"/>
      <c r="C138" s="2354"/>
      <c r="D138" s="2354"/>
      <c r="E138" s="2354"/>
      <c r="F138" s="2354"/>
      <c r="G138" s="2354"/>
      <c r="H138" s="2354"/>
      <c r="I138" s="2354"/>
      <c r="J138" s="2354"/>
      <c r="K138" s="2355"/>
      <c r="L138" s="2356"/>
      <c r="M138" s="2354"/>
      <c r="N138" s="2354"/>
      <c r="O138" s="2354"/>
      <c r="P138" s="2354"/>
      <c r="Q138" s="2354"/>
      <c r="R138" s="2354"/>
      <c r="S138" s="2354"/>
      <c r="T138" s="2354"/>
    </row>
    <row r="139" spans="1:20">
      <c r="A139" s="2354"/>
      <c r="B139" s="2354"/>
      <c r="C139" s="2354"/>
      <c r="D139" s="2354"/>
      <c r="E139" s="2354"/>
      <c r="F139" s="2354"/>
      <c r="G139" s="2354"/>
      <c r="H139" s="2354"/>
      <c r="I139" s="2354"/>
      <c r="J139" s="2354"/>
      <c r="K139" s="2355"/>
      <c r="L139" s="2356"/>
      <c r="M139" s="2354"/>
      <c r="N139" s="2354"/>
      <c r="O139" s="2354"/>
      <c r="P139" s="2354"/>
      <c r="Q139" s="2354"/>
      <c r="R139" s="2354"/>
      <c r="S139" s="2354"/>
      <c r="T139" s="2354"/>
    </row>
    <row r="140" spans="1:20">
      <c r="A140" s="2354"/>
      <c r="B140" s="2354"/>
      <c r="C140" s="2354"/>
      <c r="D140" s="2354"/>
      <c r="E140" s="2354"/>
      <c r="F140" s="2354"/>
      <c r="G140" s="2354"/>
      <c r="H140" s="2354"/>
      <c r="I140" s="2354"/>
      <c r="J140" s="2354"/>
      <c r="K140" s="2355"/>
      <c r="L140" s="2356"/>
      <c r="M140" s="2354"/>
      <c r="N140" s="2354"/>
      <c r="O140" s="2354"/>
      <c r="P140" s="2354"/>
      <c r="Q140" s="2354"/>
      <c r="R140" s="2354"/>
      <c r="S140" s="2354"/>
      <c r="T140" s="2354"/>
    </row>
    <row r="141" spans="1:20">
      <c r="A141" s="2354"/>
      <c r="B141" s="2354"/>
      <c r="C141" s="2354"/>
      <c r="D141" s="2354"/>
      <c r="E141" s="2354"/>
      <c r="F141" s="2354"/>
      <c r="G141" s="2354"/>
      <c r="H141" s="2354"/>
      <c r="I141" s="2354"/>
      <c r="J141" s="2354"/>
      <c r="K141" s="2355"/>
      <c r="L141" s="2356"/>
      <c r="M141" s="2354"/>
      <c r="N141" s="2354"/>
      <c r="O141" s="2354"/>
      <c r="P141" s="2354"/>
      <c r="Q141" s="2354"/>
      <c r="R141" s="2354"/>
      <c r="S141" s="2354"/>
      <c r="T141" s="2354"/>
    </row>
    <row r="142" spans="1:20">
      <c r="A142" s="2354"/>
      <c r="B142" s="2354"/>
      <c r="C142" s="2354"/>
      <c r="D142" s="2354"/>
      <c r="E142" s="2354"/>
      <c r="F142" s="2354"/>
      <c r="G142" s="2354"/>
      <c r="H142" s="2354"/>
      <c r="I142" s="2354"/>
      <c r="J142" s="2354"/>
      <c r="K142" s="2355"/>
      <c r="L142" s="2356"/>
      <c r="M142" s="2354"/>
      <c r="N142" s="2354"/>
      <c r="O142" s="2354"/>
      <c r="P142" s="2354"/>
      <c r="Q142" s="2354"/>
      <c r="R142" s="2354"/>
      <c r="S142" s="2354"/>
      <c r="T142" s="2354"/>
    </row>
    <row r="143" spans="1:20">
      <c r="A143" s="2354"/>
      <c r="B143" s="2354"/>
      <c r="C143" s="2354"/>
      <c r="D143" s="2354"/>
      <c r="E143" s="2354"/>
      <c r="F143" s="2354"/>
      <c r="G143" s="2354"/>
      <c r="H143" s="2354"/>
      <c r="I143" s="2354"/>
      <c r="J143" s="2354"/>
      <c r="K143" s="2355"/>
      <c r="L143" s="2356"/>
      <c r="M143" s="2354"/>
      <c r="N143" s="2354"/>
      <c r="O143" s="2354"/>
      <c r="P143" s="2354"/>
      <c r="Q143" s="2354"/>
      <c r="R143" s="2354"/>
      <c r="S143" s="2354"/>
      <c r="T143" s="2354"/>
    </row>
    <row r="144" spans="1:20">
      <c r="A144" s="2354"/>
      <c r="B144" s="2354"/>
      <c r="C144" s="2354"/>
      <c r="D144" s="2354"/>
      <c r="E144" s="2354"/>
      <c r="F144" s="2354"/>
      <c r="G144" s="2354"/>
      <c r="H144" s="2354"/>
      <c r="I144" s="2354"/>
      <c r="J144" s="2354"/>
      <c r="K144" s="2355"/>
      <c r="L144" s="2356"/>
      <c r="M144" s="2354"/>
      <c r="N144" s="2354"/>
      <c r="O144" s="2354"/>
      <c r="P144" s="2354"/>
      <c r="Q144" s="2354"/>
      <c r="R144" s="2354"/>
      <c r="S144" s="2354"/>
      <c r="T144" s="2354"/>
    </row>
    <row r="145" spans="1:20">
      <c r="A145" s="2354"/>
      <c r="B145" s="2354"/>
      <c r="C145" s="2354"/>
      <c r="D145" s="2354"/>
      <c r="E145" s="2354"/>
      <c r="F145" s="2354"/>
      <c r="G145" s="2354"/>
      <c r="H145" s="2354"/>
      <c r="I145" s="2354"/>
      <c r="J145" s="2354"/>
      <c r="K145" s="2355"/>
      <c r="L145" s="2356"/>
      <c r="M145" s="2354"/>
      <c r="N145" s="2354"/>
      <c r="O145" s="2354"/>
      <c r="P145" s="2354"/>
      <c r="Q145" s="2354"/>
      <c r="R145" s="2354"/>
      <c r="S145" s="2354"/>
      <c r="T145" s="2354"/>
    </row>
    <row r="146" spans="1:20">
      <c r="A146" s="2354"/>
      <c r="B146" s="2354"/>
      <c r="C146" s="2354"/>
      <c r="D146" s="2354"/>
      <c r="E146" s="2354"/>
      <c r="F146" s="2354"/>
      <c r="G146" s="2354"/>
      <c r="H146" s="2354"/>
      <c r="I146" s="2354"/>
      <c r="J146" s="2354"/>
      <c r="K146" s="2355"/>
      <c r="L146" s="2356"/>
      <c r="M146" s="2354"/>
      <c r="N146" s="2354"/>
      <c r="O146" s="2354"/>
      <c r="P146" s="2354"/>
      <c r="Q146" s="2354"/>
      <c r="R146" s="2354"/>
      <c r="S146" s="2354"/>
      <c r="T146" s="2354"/>
    </row>
    <row r="147" spans="1:20">
      <c r="A147" s="2354"/>
      <c r="B147" s="2354"/>
      <c r="C147" s="2354"/>
      <c r="D147" s="2354"/>
      <c r="E147" s="2354"/>
      <c r="F147" s="2354"/>
      <c r="G147" s="2354"/>
      <c r="H147" s="2354"/>
      <c r="I147" s="2354"/>
      <c r="J147" s="2354"/>
      <c r="K147" s="2355"/>
      <c r="L147" s="2356"/>
      <c r="M147" s="2354"/>
      <c r="N147" s="2354"/>
      <c r="O147" s="2354"/>
      <c r="P147" s="2354"/>
      <c r="Q147" s="2354"/>
      <c r="R147" s="2354"/>
      <c r="S147" s="2354"/>
      <c r="T147" s="2354"/>
    </row>
    <row r="148" spans="1:20">
      <c r="A148" s="2354"/>
      <c r="B148" s="2354"/>
      <c r="C148" s="2354"/>
      <c r="D148" s="2354"/>
      <c r="E148" s="2354"/>
      <c r="F148" s="2354"/>
      <c r="G148" s="2354"/>
      <c r="H148" s="2354"/>
      <c r="I148" s="2354"/>
      <c r="J148" s="2354"/>
      <c r="K148" s="2355"/>
      <c r="L148" s="2356"/>
      <c r="M148" s="2354"/>
      <c r="N148" s="2354"/>
      <c r="O148" s="2354"/>
      <c r="P148" s="2354"/>
      <c r="Q148" s="2354"/>
      <c r="R148" s="2354"/>
      <c r="S148" s="2354"/>
      <c r="T148" s="2354"/>
    </row>
    <row r="149" spans="1:20">
      <c r="A149" s="2354"/>
      <c r="B149" s="2354"/>
      <c r="C149" s="2354"/>
      <c r="D149" s="2354"/>
      <c r="E149" s="2354"/>
      <c r="F149" s="2354"/>
      <c r="G149" s="2354"/>
      <c r="H149" s="2354"/>
      <c r="I149" s="2354"/>
      <c r="J149" s="2354"/>
      <c r="K149" s="2355"/>
      <c r="L149" s="2356"/>
      <c r="M149" s="2354"/>
      <c r="N149" s="2354"/>
      <c r="O149" s="2354"/>
      <c r="P149" s="2354"/>
      <c r="Q149" s="2354"/>
      <c r="R149" s="2354"/>
      <c r="S149" s="2354"/>
      <c r="T149" s="2354"/>
    </row>
    <row r="150" spans="1:20">
      <c r="A150" s="2354"/>
      <c r="B150" s="2354"/>
      <c r="C150" s="2354"/>
      <c r="D150" s="2354"/>
      <c r="E150" s="2354"/>
      <c r="F150" s="2354"/>
      <c r="G150" s="2354"/>
      <c r="H150" s="2354"/>
      <c r="I150" s="2354"/>
      <c r="J150" s="2354"/>
      <c r="K150" s="2355"/>
      <c r="L150" s="2356"/>
      <c r="M150" s="2354"/>
      <c r="N150" s="2354"/>
      <c r="O150" s="2354"/>
      <c r="P150" s="2354"/>
      <c r="Q150" s="2354"/>
      <c r="R150" s="2354"/>
      <c r="S150" s="2354"/>
      <c r="T150" s="2354"/>
    </row>
    <row r="151" spans="1:20">
      <c r="A151" s="2354"/>
      <c r="B151" s="2354"/>
      <c r="C151" s="2354"/>
      <c r="D151" s="2354"/>
      <c r="E151" s="2354"/>
      <c r="F151" s="2354"/>
      <c r="G151" s="2354"/>
      <c r="H151" s="2354"/>
      <c r="I151" s="2354"/>
      <c r="J151" s="2354"/>
      <c r="K151" s="2355"/>
      <c r="L151" s="2356"/>
      <c r="M151" s="2354"/>
      <c r="N151" s="2354"/>
      <c r="O151" s="2354"/>
      <c r="P151" s="2354"/>
      <c r="Q151" s="2354"/>
      <c r="R151" s="2354"/>
      <c r="S151" s="2354"/>
      <c r="T151" s="2354"/>
    </row>
    <row r="152" spans="1:20">
      <c r="A152" s="2354"/>
      <c r="B152" s="2354"/>
      <c r="C152" s="2354"/>
      <c r="D152" s="2354"/>
      <c r="E152" s="2354"/>
      <c r="F152" s="2354"/>
      <c r="G152" s="2354"/>
      <c r="H152" s="2354"/>
      <c r="I152" s="2354"/>
      <c r="J152" s="2354"/>
      <c r="K152" s="2355"/>
      <c r="L152" s="2356"/>
      <c r="M152" s="2354"/>
      <c r="N152" s="2354"/>
      <c r="O152" s="2354"/>
      <c r="P152" s="2354"/>
      <c r="Q152" s="2354"/>
      <c r="R152" s="2354"/>
      <c r="S152" s="2354"/>
      <c r="T152" s="2354"/>
    </row>
    <row r="153" spans="1:20">
      <c r="A153" s="2354"/>
      <c r="B153" s="2354"/>
      <c r="C153" s="2354"/>
      <c r="D153" s="2354"/>
      <c r="E153" s="2354"/>
      <c r="F153" s="2354"/>
      <c r="G153" s="2354"/>
      <c r="H153" s="2354"/>
      <c r="I153" s="2354"/>
      <c r="J153" s="2354"/>
      <c r="K153" s="2355"/>
      <c r="L153" s="2356"/>
      <c r="M153" s="2354"/>
      <c r="N153" s="2354"/>
      <c r="O153" s="2354"/>
      <c r="P153" s="2354"/>
      <c r="Q153" s="2354"/>
      <c r="R153" s="2354"/>
      <c r="S153" s="2354"/>
      <c r="T153" s="2354"/>
    </row>
    <row r="154" spans="1:20">
      <c r="A154" s="2354"/>
      <c r="B154" s="2354"/>
      <c r="C154" s="2354"/>
      <c r="D154" s="2354"/>
      <c r="E154" s="2354"/>
      <c r="F154" s="2354"/>
      <c r="G154" s="2354"/>
      <c r="H154" s="2354"/>
      <c r="I154" s="2354"/>
      <c r="J154" s="2354"/>
      <c r="K154" s="2355"/>
      <c r="L154" s="2356"/>
      <c r="M154" s="2354"/>
      <c r="N154" s="2354"/>
      <c r="O154" s="2354"/>
      <c r="P154" s="2354"/>
      <c r="Q154" s="2354"/>
      <c r="R154" s="2354"/>
      <c r="S154" s="2354"/>
      <c r="T154" s="2354"/>
    </row>
    <row r="155" spans="1:20">
      <c r="A155" s="2354"/>
      <c r="B155" s="2354"/>
      <c r="C155" s="2354"/>
      <c r="D155" s="2354"/>
      <c r="E155" s="2354"/>
      <c r="F155" s="2354"/>
      <c r="G155" s="2354"/>
      <c r="H155" s="2354"/>
      <c r="I155" s="2354"/>
      <c r="J155" s="2354"/>
      <c r="K155" s="2355"/>
      <c r="L155" s="2356"/>
      <c r="M155" s="2354"/>
      <c r="N155" s="2354"/>
      <c r="O155" s="2354"/>
      <c r="P155" s="2354"/>
      <c r="Q155" s="2354"/>
      <c r="R155" s="2354"/>
      <c r="S155" s="2354"/>
      <c r="T155" s="2354"/>
    </row>
    <row r="156" spans="1:20">
      <c r="A156" s="2354"/>
      <c r="B156" s="2354"/>
      <c r="C156" s="2354"/>
      <c r="D156" s="2354"/>
      <c r="E156" s="2354"/>
      <c r="F156" s="2354"/>
      <c r="G156" s="2354"/>
      <c r="H156" s="2354"/>
      <c r="I156" s="2354"/>
      <c r="J156" s="2354"/>
      <c r="K156" s="2355"/>
      <c r="L156" s="2356"/>
      <c r="M156" s="2354"/>
      <c r="N156" s="2354"/>
      <c r="O156" s="2354"/>
      <c r="P156" s="2354"/>
      <c r="Q156" s="2354"/>
      <c r="R156" s="2354"/>
      <c r="S156" s="2354"/>
      <c r="T156" s="2354"/>
    </row>
    <row r="157" spans="1:20">
      <c r="A157" s="2354"/>
      <c r="B157" s="2354"/>
      <c r="C157" s="2354"/>
      <c r="D157" s="2354"/>
      <c r="E157" s="2354"/>
      <c r="F157" s="2354"/>
      <c r="G157" s="2354"/>
      <c r="H157" s="2354"/>
      <c r="I157" s="2354"/>
      <c r="J157" s="2354"/>
      <c r="K157" s="2355"/>
      <c r="L157" s="2356"/>
      <c r="M157" s="2354"/>
      <c r="N157" s="2354"/>
      <c r="O157" s="2354"/>
      <c r="P157" s="2354"/>
      <c r="Q157" s="2354"/>
      <c r="R157" s="2354"/>
      <c r="S157" s="2354"/>
      <c r="T157" s="2354"/>
    </row>
    <row r="158" spans="1:20">
      <c r="A158" s="2354"/>
      <c r="B158" s="2354"/>
      <c r="C158" s="2354"/>
      <c r="D158" s="2354"/>
      <c r="E158" s="2354"/>
      <c r="F158" s="2354"/>
      <c r="G158" s="2354"/>
      <c r="H158" s="2354"/>
      <c r="I158" s="2354"/>
      <c r="J158" s="2354"/>
      <c r="K158" s="2355"/>
      <c r="L158" s="2356"/>
      <c r="M158" s="2354"/>
      <c r="N158" s="2354"/>
      <c r="O158" s="2354"/>
      <c r="P158" s="2354"/>
      <c r="Q158" s="2354"/>
      <c r="R158" s="2354"/>
      <c r="S158" s="2354"/>
      <c r="T158" s="2354"/>
    </row>
    <row r="159" spans="1:20">
      <c r="A159" s="2354"/>
      <c r="B159" s="2354"/>
      <c r="C159" s="2354"/>
      <c r="D159" s="2354"/>
      <c r="E159" s="2354"/>
      <c r="F159" s="2354"/>
      <c r="G159" s="2354"/>
      <c r="H159" s="2354"/>
      <c r="I159" s="2354"/>
      <c r="J159" s="2354"/>
      <c r="K159" s="2355"/>
      <c r="L159" s="2356"/>
      <c r="M159" s="2354"/>
      <c r="N159" s="2354"/>
      <c r="O159" s="2354"/>
      <c r="P159" s="2354"/>
      <c r="Q159" s="2354"/>
      <c r="R159" s="2354"/>
      <c r="S159" s="2354"/>
      <c r="T159" s="2354"/>
    </row>
    <row r="160" spans="1:20">
      <c r="A160" s="2354"/>
      <c r="B160" s="2354"/>
      <c r="C160" s="2354"/>
      <c r="D160" s="2354"/>
      <c r="E160" s="2354"/>
      <c r="F160" s="2354"/>
      <c r="G160" s="2354"/>
      <c r="H160" s="2354"/>
      <c r="I160" s="2354"/>
      <c r="J160" s="2354"/>
      <c r="K160" s="2355"/>
      <c r="L160" s="2356"/>
      <c r="M160" s="2354"/>
      <c r="N160" s="2354"/>
      <c r="O160" s="2354"/>
      <c r="P160" s="2354"/>
      <c r="Q160" s="2354"/>
      <c r="R160" s="2354"/>
      <c r="S160" s="2354"/>
      <c r="T160" s="2354"/>
    </row>
    <row r="161" spans="1:20">
      <c r="A161" s="2354"/>
      <c r="B161" s="2354"/>
      <c r="C161" s="2354"/>
      <c r="D161" s="2354"/>
      <c r="E161" s="2354"/>
      <c r="F161" s="2354"/>
      <c r="G161" s="2354"/>
      <c r="H161" s="2354"/>
      <c r="I161" s="2354"/>
      <c r="J161" s="2354"/>
      <c r="K161" s="2355"/>
      <c r="L161" s="2356"/>
      <c r="M161" s="2354"/>
      <c r="N161" s="2354"/>
      <c r="O161" s="2354"/>
      <c r="P161" s="2354"/>
      <c r="Q161" s="2354"/>
      <c r="R161" s="2354"/>
      <c r="S161" s="2354"/>
      <c r="T161" s="2354"/>
    </row>
    <row r="162" spans="1:20">
      <c r="A162" s="2354"/>
      <c r="B162" s="2354"/>
      <c r="C162" s="2354"/>
      <c r="D162" s="2354"/>
      <c r="E162" s="2354"/>
      <c r="F162" s="2354"/>
      <c r="G162" s="2354"/>
      <c r="H162" s="2354"/>
      <c r="I162" s="2354"/>
      <c r="J162" s="2354"/>
      <c r="K162" s="2355"/>
      <c r="L162" s="2356"/>
      <c r="M162" s="2354"/>
      <c r="N162" s="2354"/>
      <c r="O162" s="2354"/>
      <c r="P162" s="2354"/>
      <c r="Q162" s="2354"/>
      <c r="R162" s="2354"/>
      <c r="S162" s="2354"/>
      <c r="T162" s="2354"/>
    </row>
    <row r="163" spans="1:20">
      <c r="A163" s="2354"/>
      <c r="B163" s="2354"/>
      <c r="C163" s="2354"/>
      <c r="D163" s="2354"/>
      <c r="E163" s="2354"/>
      <c r="F163" s="2354"/>
      <c r="G163" s="2354"/>
      <c r="H163" s="2354"/>
      <c r="I163" s="2354"/>
      <c r="J163" s="2354"/>
      <c r="K163" s="2355"/>
      <c r="L163" s="2356"/>
      <c r="M163" s="2354"/>
      <c r="N163" s="2354"/>
      <c r="O163" s="2354"/>
      <c r="P163" s="2354"/>
      <c r="Q163" s="2354"/>
      <c r="R163" s="2354"/>
      <c r="S163" s="2354"/>
      <c r="T163" s="2354"/>
    </row>
    <row r="164" spans="1:20">
      <c r="A164" s="2354"/>
      <c r="B164" s="2354"/>
      <c r="C164" s="2354"/>
      <c r="D164" s="2354"/>
      <c r="E164" s="2354"/>
      <c r="F164" s="2354"/>
      <c r="G164" s="2354"/>
      <c r="H164" s="2354"/>
      <c r="I164" s="2354"/>
      <c r="J164" s="2354"/>
      <c r="K164" s="2355"/>
      <c r="L164" s="2356"/>
      <c r="M164" s="2354"/>
      <c r="N164" s="2354"/>
      <c r="O164" s="2354"/>
      <c r="P164" s="2354"/>
      <c r="Q164" s="2354"/>
      <c r="R164" s="2354"/>
      <c r="S164" s="2354"/>
      <c r="T164" s="2354"/>
    </row>
    <row r="165" spans="1:20">
      <c r="A165" s="2354"/>
      <c r="B165" s="2354"/>
      <c r="C165" s="2354"/>
      <c r="D165" s="2354"/>
      <c r="E165" s="2354"/>
      <c r="F165" s="2354"/>
      <c r="G165" s="2354"/>
      <c r="H165" s="2354"/>
      <c r="I165" s="2354"/>
      <c r="J165" s="2354"/>
      <c r="K165" s="2355"/>
      <c r="L165" s="2356"/>
      <c r="M165" s="2354"/>
      <c r="N165" s="2354"/>
      <c r="O165" s="2354"/>
      <c r="P165" s="2354"/>
      <c r="Q165" s="2354"/>
      <c r="R165" s="2354"/>
      <c r="S165" s="2354"/>
      <c r="T165" s="2354"/>
    </row>
    <row r="166" spans="1:20">
      <c r="A166" s="2354"/>
      <c r="B166" s="2354"/>
      <c r="C166" s="2354"/>
      <c r="D166" s="2354"/>
      <c r="E166" s="2354"/>
      <c r="F166" s="2354"/>
      <c r="G166" s="2354"/>
      <c r="H166" s="2354"/>
      <c r="I166" s="2354"/>
      <c r="J166" s="2354"/>
      <c r="K166" s="2355"/>
      <c r="L166" s="2356"/>
      <c r="M166" s="2354"/>
      <c r="N166" s="2354"/>
      <c r="O166" s="2354"/>
      <c r="P166" s="2354"/>
      <c r="Q166" s="2354"/>
      <c r="R166" s="2354"/>
      <c r="S166" s="2354"/>
      <c r="T166" s="2354"/>
    </row>
    <row r="167" spans="1:20">
      <c r="A167" s="2354"/>
      <c r="B167" s="2354"/>
      <c r="C167" s="2354"/>
      <c r="D167" s="2354"/>
      <c r="E167" s="2354"/>
      <c r="F167" s="2354"/>
      <c r="G167" s="2354"/>
      <c r="H167" s="2354"/>
      <c r="I167" s="2354"/>
      <c r="J167" s="2354"/>
      <c r="K167" s="2355"/>
      <c r="L167" s="2356"/>
      <c r="M167" s="2354"/>
      <c r="N167" s="2354"/>
      <c r="O167" s="2354"/>
      <c r="P167" s="2354"/>
      <c r="Q167" s="2354"/>
      <c r="R167" s="2354"/>
      <c r="S167" s="2354"/>
      <c r="T167" s="2354"/>
    </row>
    <row r="168" spans="1:20">
      <c r="A168" s="2354"/>
      <c r="B168" s="2354"/>
      <c r="C168" s="2354"/>
      <c r="D168" s="2354"/>
      <c r="E168" s="2354"/>
      <c r="F168" s="2354"/>
      <c r="G168" s="2354"/>
      <c r="H168" s="2354"/>
      <c r="I168" s="2354"/>
      <c r="J168" s="2354"/>
      <c r="K168" s="2355"/>
      <c r="L168" s="2356"/>
      <c r="M168" s="2354"/>
      <c r="N168" s="2354"/>
      <c r="O168" s="2354"/>
      <c r="P168" s="2354"/>
      <c r="Q168" s="2354"/>
      <c r="R168" s="2354"/>
      <c r="S168" s="2354"/>
      <c r="T168" s="2354"/>
    </row>
    <row r="169" spans="1:20">
      <c r="A169" s="2354"/>
      <c r="B169" s="2354"/>
      <c r="C169" s="2354"/>
      <c r="D169" s="2354"/>
      <c r="E169" s="2354"/>
      <c r="F169" s="2354"/>
      <c r="G169" s="2354"/>
      <c r="H169" s="2354"/>
      <c r="I169" s="2354"/>
      <c r="J169" s="2354"/>
      <c r="K169" s="2355"/>
      <c r="L169" s="2356"/>
      <c r="M169" s="2354"/>
      <c r="N169" s="2354"/>
      <c r="O169" s="2354"/>
      <c r="P169" s="2354"/>
      <c r="Q169" s="2354"/>
      <c r="R169" s="2354"/>
      <c r="S169" s="2354"/>
      <c r="T169" s="2354"/>
    </row>
    <row r="170" spans="1:20">
      <c r="A170" s="2354"/>
      <c r="B170" s="2354"/>
      <c r="C170" s="2354"/>
      <c r="D170" s="2354"/>
      <c r="E170" s="2354"/>
      <c r="F170" s="2354"/>
      <c r="G170" s="2354"/>
      <c r="H170" s="2354"/>
      <c r="I170" s="2354"/>
      <c r="J170" s="2354"/>
      <c r="K170" s="2355"/>
      <c r="L170" s="2356"/>
      <c r="M170" s="2354"/>
      <c r="N170" s="2354"/>
      <c r="O170" s="2354"/>
      <c r="P170" s="2354"/>
      <c r="Q170" s="2354"/>
      <c r="R170" s="2354"/>
      <c r="S170" s="2354"/>
      <c r="T170" s="2354"/>
    </row>
    <row r="171" spans="1:20">
      <c r="A171" s="2354"/>
      <c r="B171" s="2354"/>
      <c r="C171" s="2354"/>
      <c r="D171" s="2354"/>
      <c r="E171" s="2354"/>
      <c r="F171" s="2354"/>
      <c r="G171" s="2354"/>
      <c r="H171" s="2354"/>
      <c r="I171" s="2354"/>
      <c r="J171" s="2354"/>
      <c r="K171" s="2355"/>
      <c r="L171" s="2356"/>
      <c r="M171" s="2354"/>
      <c r="N171" s="2354"/>
      <c r="O171" s="2354"/>
      <c r="P171" s="2354"/>
      <c r="Q171" s="2354"/>
      <c r="R171" s="2354"/>
      <c r="S171" s="2354"/>
      <c r="T171" s="2354"/>
    </row>
    <row r="172" spans="1:20">
      <c r="A172" s="2354"/>
      <c r="B172" s="2354"/>
      <c r="C172" s="2354"/>
      <c r="D172" s="2354"/>
      <c r="E172" s="2354"/>
      <c r="F172" s="2354"/>
      <c r="G172" s="2354"/>
      <c r="H172" s="2354"/>
      <c r="I172" s="2354"/>
      <c r="J172" s="2354"/>
      <c r="K172" s="2355"/>
      <c r="L172" s="2356"/>
      <c r="M172" s="2354"/>
      <c r="N172" s="2354"/>
      <c r="O172" s="2354"/>
      <c r="P172" s="2354"/>
      <c r="Q172" s="2354"/>
      <c r="R172" s="2354"/>
      <c r="S172" s="2354"/>
      <c r="T172" s="2354"/>
    </row>
    <row r="173" spans="1:20">
      <c r="A173" s="2354"/>
      <c r="B173" s="2354"/>
      <c r="C173" s="2354"/>
      <c r="D173" s="2354"/>
      <c r="E173" s="2354"/>
      <c r="F173" s="2354"/>
      <c r="G173" s="2354"/>
      <c r="H173" s="2354"/>
      <c r="I173" s="2354"/>
      <c r="J173" s="2354"/>
      <c r="K173" s="2355"/>
      <c r="L173" s="2356"/>
      <c r="M173" s="2354"/>
      <c r="N173" s="2354"/>
      <c r="O173" s="2354"/>
      <c r="P173" s="2354"/>
      <c r="Q173" s="2354"/>
      <c r="R173" s="2354"/>
      <c r="S173" s="2354"/>
      <c r="T173" s="2354"/>
    </row>
    <row r="174" spans="1:20">
      <c r="A174" s="2354"/>
      <c r="B174" s="2354"/>
      <c r="C174" s="2354"/>
      <c r="D174" s="2354"/>
      <c r="E174" s="2354"/>
      <c r="F174" s="2354"/>
      <c r="G174" s="2354"/>
      <c r="H174" s="2354"/>
      <c r="I174" s="2354"/>
      <c r="J174" s="2354"/>
      <c r="K174" s="2355"/>
      <c r="L174" s="2356"/>
      <c r="M174" s="2354"/>
      <c r="N174" s="2354"/>
      <c r="O174" s="2354"/>
      <c r="P174" s="2354"/>
      <c r="Q174" s="2354"/>
      <c r="R174" s="2354"/>
      <c r="S174" s="2354"/>
      <c r="T174" s="2354"/>
    </row>
    <row r="175" spans="1:20">
      <c r="A175" s="2354"/>
      <c r="B175" s="2354"/>
      <c r="C175" s="2354"/>
      <c r="D175" s="2354"/>
      <c r="E175" s="2354"/>
      <c r="F175" s="2354"/>
      <c r="G175" s="2354"/>
      <c r="H175" s="2354"/>
      <c r="I175" s="2354"/>
      <c r="J175" s="2354"/>
      <c r="K175" s="2355"/>
      <c r="L175" s="2356"/>
      <c r="M175" s="2354"/>
      <c r="N175" s="2354"/>
      <c r="O175" s="2354"/>
      <c r="P175" s="2354"/>
      <c r="Q175" s="2354"/>
      <c r="R175" s="2354"/>
      <c r="S175" s="2354"/>
      <c r="T175" s="2354"/>
    </row>
    <row r="176" spans="1:20">
      <c r="A176" s="2354"/>
      <c r="B176" s="2354"/>
      <c r="C176" s="2354"/>
      <c r="D176" s="2354"/>
      <c r="E176" s="2354"/>
      <c r="F176" s="2354"/>
      <c r="G176" s="2354"/>
      <c r="H176" s="2354"/>
      <c r="I176" s="2354"/>
      <c r="J176" s="2354"/>
      <c r="K176" s="2355"/>
      <c r="L176" s="2356"/>
      <c r="M176" s="2354"/>
      <c r="N176" s="2354"/>
      <c r="O176" s="2354"/>
      <c r="P176" s="2354"/>
      <c r="Q176" s="2354"/>
      <c r="R176" s="2354"/>
      <c r="S176" s="2354"/>
      <c r="T176" s="2354"/>
    </row>
    <row r="177" spans="1:20">
      <c r="A177" s="2354"/>
      <c r="B177" s="2354"/>
      <c r="C177" s="2354"/>
      <c r="D177" s="2354"/>
      <c r="E177" s="2354"/>
      <c r="F177" s="2354"/>
      <c r="G177" s="2354"/>
      <c r="H177" s="2354"/>
      <c r="I177" s="2354"/>
      <c r="J177" s="2354"/>
      <c r="K177" s="2355"/>
      <c r="L177" s="2356"/>
      <c r="M177" s="2354"/>
      <c r="N177" s="2354"/>
      <c r="O177" s="2354"/>
      <c r="P177" s="2354"/>
      <c r="Q177" s="2354"/>
      <c r="R177" s="2354"/>
      <c r="S177" s="2354"/>
      <c r="T177" s="2354"/>
    </row>
    <row r="178" spans="1:20">
      <c r="A178" s="2354"/>
      <c r="B178" s="2354"/>
      <c r="C178" s="2354"/>
      <c r="D178" s="2354"/>
      <c r="E178" s="2354"/>
      <c r="F178" s="2354"/>
      <c r="G178" s="2354"/>
      <c r="H178" s="2354"/>
      <c r="I178" s="2354"/>
      <c r="J178" s="2354"/>
      <c r="K178" s="2355"/>
      <c r="L178" s="2356"/>
      <c r="M178" s="2354"/>
      <c r="N178" s="2354"/>
      <c r="O178" s="2354"/>
      <c r="P178" s="2354"/>
      <c r="Q178" s="2354"/>
      <c r="R178" s="2354"/>
      <c r="S178" s="2354"/>
      <c r="T178" s="2354"/>
    </row>
    <row r="179" spans="1:20">
      <c r="A179" s="2354"/>
      <c r="B179" s="2354"/>
      <c r="C179" s="2354"/>
      <c r="D179" s="2354"/>
      <c r="E179" s="2354"/>
      <c r="F179" s="2354"/>
      <c r="G179" s="2354"/>
      <c r="H179" s="2354"/>
      <c r="I179" s="2354"/>
      <c r="J179" s="2354"/>
      <c r="K179" s="2355"/>
      <c r="L179" s="2356"/>
      <c r="M179" s="2354"/>
      <c r="N179" s="2354"/>
      <c r="O179" s="2354"/>
      <c r="P179" s="2354"/>
      <c r="Q179" s="2354"/>
      <c r="R179" s="2354"/>
      <c r="S179" s="2354"/>
      <c r="T179" s="2354"/>
    </row>
    <row r="180" spans="1:20">
      <c r="A180" s="2354"/>
      <c r="B180" s="2354"/>
      <c r="C180" s="2354"/>
      <c r="D180" s="2354"/>
      <c r="E180" s="2354"/>
      <c r="F180" s="2354"/>
      <c r="G180" s="2354"/>
      <c r="H180" s="2354"/>
      <c r="I180" s="2354"/>
      <c r="J180" s="2354"/>
      <c r="K180" s="2355"/>
      <c r="L180" s="2356"/>
      <c r="M180" s="2354"/>
      <c r="N180" s="2354"/>
      <c r="O180" s="2354"/>
      <c r="P180" s="2354"/>
      <c r="Q180" s="2354"/>
      <c r="R180" s="2354"/>
      <c r="S180" s="2354"/>
      <c r="T180" s="2354"/>
    </row>
    <row r="181" spans="1:20">
      <c r="A181" s="2354"/>
      <c r="B181" s="2354"/>
      <c r="C181" s="2354"/>
      <c r="D181" s="2354"/>
      <c r="E181" s="2354"/>
      <c r="F181" s="2354"/>
      <c r="G181" s="2354"/>
      <c r="H181" s="2354"/>
      <c r="I181" s="2354"/>
      <c r="J181" s="2354"/>
      <c r="K181" s="2355"/>
      <c r="L181" s="2356"/>
      <c r="M181" s="2354"/>
      <c r="N181" s="2354"/>
      <c r="O181" s="2354"/>
      <c r="P181" s="2354"/>
      <c r="Q181" s="2354"/>
      <c r="R181" s="2354"/>
      <c r="S181" s="2354"/>
      <c r="T181" s="2354"/>
    </row>
    <row r="182" spans="1:20">
      <c r="A182" s="2354"/>
      <c r="B182" s="2354"/>
      <c r="C182" s="2354"/>
      <c r="D182" s="2354"/>
      <c r="E182" s="2354"/>
      <c r="F182" s="2354"/>
      <c r="G182" s="2354"/>
      <c r="H182" s="2354"/>
      <c r="I182" s="2354"/>
      <c r="J182" s="2354"/>
      <c r="K182" s="2355"/>
      <c r="L182" s="2356"/>
      <c r="M182" s="2354"/>
      <c r="N182" s="2354"/>
      <c r="O182" s="2354"/>
      <c r="P182" s="2354"/>
      <c r="Q182" s="2354"/>
      <c r="R182" s="2354"/>
      <c r="S182" s="2354"/>
      <c r="T182" s="2354"/>
    </row>
    <row r="183" spans="1:20">
      <c r="A183" s="2354"/>
      <c r="B183" s="2354"/>
      <c r="C183" s="2354"/>
      <c r="D183" s="2354"/>
      <c r="E183" s="2354"/>
      <c r="F183" s="2354"/>
      <c r="G183" s="2354"/>
      <c r="H183" s="2354"/>
      <c r="I183" s="2354"/>
      <c r="J183" s="2354"/>
      <c r="K183" s="2355"/>
      <c r="L183" s="2356"/>
      <c r="M183" s="2354"/>
      <c r="N183" s="2354"/>
      <c r="O183" s="2354"/>
      <c r="P183" s="2354"/>
      <c r="Q183" s="2354"/>
      <c r="R183" s="2354"/>
      <c r="S183" s="2354"/>
      <c r="T183" s="2354"/>
    </row>
    <row r="184" spans="1:20">
      <c r="A184" s="2354"/>
      <c r="B184" s="2354"/>
      <c r="C184" s="2354"/>
      <c r="D184" s="2354"/>
      <c r="E184" s="2354"/>
      <c r="F184" s="2354"/>
      <c r="G184" s="2354"/>
      <c r="H184" s="2354"/>
      <c r="I184" s="2354"/>
      <c r="J184" s="2354"/>
      <c r="K184" s="2355"/>
      <c r="L184" s="2356"/>
      <c r="M184" s="2354"/>
      <c r="N184" s="2354"/>
      <c r="O184" s="2354"/>
      <c r="P184" s="2354"/>
      <c r="Q184" s="2354"/>
      <c r="R184" s="2354"/>
      <c r="S184" s="2354"/>
      <c r="T184" s="2354"/>
    </row>
    <row r="185" spans="1:20">
      <c r="A185" s="2354"/>
      <c r="B185" s="2354"/>
      <c r="C185" s="2354"/>
      <c r="D185" s="2354"/>
      <c r="E185" s="2354"/>
      <c r="F185" s="2354"/>
      <c r="G185" s="2354"/>
      <c r="H185" s="2354"/>
      <c r="I185" s="2354"/>
      <c r="J185" s="2354"/>
      <c r="K185" s="2355"/>
      <c r="L185" s="2356"/>
      <c r="M185" s="2354"/>
      <c r="N185" s="2354"/>
      <c r="O185" s="2354"/>
      <c r="P185" s="2354"/>
      <c r="Q185" s="2354"/>
      <c r="R185" s="2354"/>
      <c r="S185" s="2354"/>
      <c r="T185" s="2354"/>
    </row>
    <row r="186" spans="1:20">
      <c r="A186" s="2354"/>
      <c r="B186" s="2354"/>
      <c r="C186" s="2354"/>
      <c r="D186" s="2354"/>
      <c r="E186" s="2354"/>
      <c r="F186" s="2354"/>
      <c r="G186" s="2354"/>
      <c r="H186" s="2354"/>
      <c r="I186" s="2354"/>
      <c r="J186" s="2354"/>
      <c r="K186" s="2355"/>
      <c r="L186" s="2356"/>
      <c r="M186" s="2354"/>
      <c r="N186" s="2354"/>
      <c r="O186" s="2354"/>
      <c r="P186" s="2354"/>
      <c r="Q186" s="2354"/>
      <c r="R186" s="2354"/>
      <c r="S186" s="2354"/>
      <c r="T186" s="2354"/>
    </row>
    <row r="187" spans="1:20">
      <c r="A187" s="2354"/>
      <c r="B187" s="2354"/>
      <c r="C187" s="2354"/>
      <c r="D187" s="2354"/>
      <c r="E187" s="2354"/>
      <c r="F187" s="2354"/>
      <c r="G187" s="2354"/>
      <c r="H187" s="2354"/>
      <c r="I187" s="2354"/>
      <c r="J187" s="2354"/>
      <c r="K187" s="2355"/>
      <c r="L187" s="2356"/>
      <c r="M187" s="2354"/>
      <c r="N187" s="2354"/>
      <c r="O187" s="2354"/>
      <c r="P187" s="2354"/>
      <c r="Q187" s="2354"/>
      <c r="R187" s="2354"/>
      <c r="S187" s="2354"/>
      <c r="T187" s="2354"/>
    </row>
    <row r="188" spans="1:20">
      <c r="A188" s="2354"/>
      <c r="B188" s="2354"/>
      <c r="C188" s="2354"/>
      <c r="D188" s="2354"/>
      <c r="E188" s="2354"/>
      <c r="F188" s="2354"/>
      <c r="G188" s="2354"/>
      <c r="H188" s="2354"/>
      <c r="I188" s="2354"/>
      <c r="J188" s="2354"/>
      <c r="K188" s="2355"/>
      <c r="L188" s="2356"/>
      <c r="M188" s="2354"/>
      <c r="N188" s="2354"/>
      <c r="O188" s="2354"/>
      <c r="P188" s="2354"/>
      <c r="Q188" s="2354"/>
      <c r="R188" s="2354"/>
      <c r="S188" s="2354"/>
      <c r="T188" s="2354"/>
    </row>
    <row r="189" spans="1:20">
      <c r="A189" s="2354"/>
      <c r="B189" s="2354"/>
      <c r="C189" s="2354"/>
      <c r="D189" s="2354"/>
      <c r="E189" s="2354"/>
      <c r="F189" s="2354"/>
      <c r="G189" s="2354"/>
      <c r="H189" s="2354"/>
      <c r="I189" s="2354"/>
      <c r="J189" s="2354"/>
      <c r="K189" s="2355"/>
      <c r="L189" s="2356"/>
      <c r="M189" s="2354"/>
      <c r="N189" s="2354"/>
      <c r="O189" s="2354"/>
      <c r="P189" s="2354"/>
      <c r="Q189" s="2354"/>
      <c r="R189" s="2354"/>
      <c r="S189" s="2354"/>
      <c r="T189" s="2354"/>
    </row>
    <row r="190" spans="1:20">
      <c r="A190" s="2354"/>
      <c r="B190" s="2354"/>
      <c r="C190" s="2354"/>
      <c r="D190" s="2354"/>
      <c r="E190" s="2354"/>
      <c r="F190" s="2354"/>
      <c r="G190" s="2354"/>
      <c r="H190" s="2354"/>
      <c r="I190" s="2354"/>
      <c r="J190" s="2354"/>
      <c r="K190" s="2355"/>
      <c r="L190" s="2356"/>
      <c r="M190" s="2354"/>
      <c r="N190" s="2354"/>
      <c r="O190" s="2354"/>
      <c r="P190" s="2354"/>
      <c r="Q190" s="2354"/>
      <c r="R190" s="2354"/>
      <c r="S190" s="2354"/>
      <c r="T190" s="2354"/>
    </row>
    <row r="191" spans="1:20">
      <c r="A191" s="2354"/>
      <c r="B191" s="2354"/>
      <c r="C191" s="2354"/>
      <c r="D191" s="2354"/>
      <c r="E191" s="2354"/>
      <c r="F191" s="2354"/>
      <c r="G191" s="2354"/>
      <c r="H191" s="2354"/>
      <c r="I191" s="2354"/>
      <c r="J191" s="2354"/>
      <c r="K191" s="2355"/>
      <c r="L191" s="2356"/>
      <c r="M191" s="2354"/>
      <c r="N191" s="2354"/>
      <c r="O191" s="2354"/>
      <c r="P191" s="2354"/>
      <c r="Q191" s="2354"/>
      <c r="R191" s="2354"/>
      <c r="S191" s="2354"/>
      <c r="T191" s="2354"/>
    </row>
    <row r="192" spans="1:20">
      <c r="A192" s="2354"/>
      <c r="B192" s="2354"/>
      <c r="C192" s="2354"/>
      <c r="D192" s="2354"/>
      <c r="E192" s="2354"/>
      <c r="F192" s="2354"/>
      <c r="G192" s="2354"/>
      <c r="H192" s="2354"/>
      <c r="I192" s="2354"/>
      <c r="J192" s="2354"/>
      <c r="K192" s="2355"/>
      <c r="L192" s="2356"/>
      <c r="M192" s="2354"/>
      <c r="N192" s="2354"/>
      <c r="O192" s="2354"/>
      <c r="P192" s="2354"/>
      <c r="Q192" s="2354"/>
      <c r="R192" s="2354"/>
      <c r="S192" s="2354"/>
      <c r="T192" s="2354"/>
    </row>
    <row r="193" spans="1:20">
      <c r="A193" s="2354"/>
      <c r="B193" s="2354"/>
      <c r="C193" s="2354"/>
      <c r="D193" s="2354"/>
      <c r="E193" s="2354"/>
      <c r="F193" s="2354"/>
      <c r="G193" s="2354"/>
      <c r="H193" s="2354"/>
      <c r="I193" s="2354"/>
      <c r="J193" s="2354"/>
      <c r="K193" s="2355"/>
      <c r="L193" s="2356"/>
      <c r="M193" s="2354"/>
      <c r="N193" s="2354"/>
      <c r="O193" s="2354"/>
      <c r="P193" s="2354"/>
      <c r="Q193" s="2354"/>
      <c r="R193" s="2354"/>
      <c r="S193" s="2354"/>
      <c r="T193" s="2354"/>
    </row>
    <row r="194" spans="1:20">
      <c r="A194" s="2354"/>
      <c r="B194" s="2354"/>
      <c r="C194" s="2354"/>
      <c r="D194" s="2354"/>
      <c r="E194" s="2354"/>
      <c r="F194" s="2354"/>
      <c r="G194" s="2354"/>
      <c r="H194" s="2354"/>
      <c r="I194" s="2354"/>
      <c r="J194" s="2354"/>
      <c r="K194" s="2355"/>
      <c r="L194" s="2356"/>
      <c r="M194" s="2354"/>
      <c r="N194" s="2354"/>
      <c r="O194" s="2354"/>
      <c r="P194" s="2354"/>
      <c r="Q194" s="2354"/>
      <c r="R194" s="2354"/>
      <c r="S194" s="2354"/>
      <c r="T194" s="2354"/>
    </row>
    <row r="195" spans="1:20">
      <c r="A195" s="2354"/>
      <c r="B195" s="2354"/>
      <c r="C195" s="2354"/>
      <c r="D195" s="2354"/>
      <c r="E195" s="2354"/>
      <c r="F195" s="2354"/>
      <c r="G195" s="2354"/>
      <c r="H195" s="2354"/>
      <c r="I195" s="2354"/>
      <c r="J195" s="2354"/>
      <c r="K195" s="2355"/>
      <c r="L195" s="2356"/>
      <c r="M195" s="2354"/>
      <c r="N195" s="2354"/>
      <c r="O195" s="2354"/>
      <c r="P195" s="2354"/>
      <c r="Q195" s="2354"/>
      <c r="R195" s="2354"/>
      <c r="S195" s="2354"/>
      <c r="T195" s="2354"/>
    </row>
    <row r="196" spans="1:20">
      <c r="A196" s="2354"/>
      <c r="B196" s="2354"/>
      <c r="C196" s="2354"/>
      <c r="D196" s="2354"/>
      <c r="E196" s="2354"/>
      <c r="F196" s="2354"/>
      <c r="G196" s="2354"/>
      <c r="H196" s="2354"/>
      <c r="I196" s="2354"/>
      <c r="J196" s="2354"/>
      <c r="K196" s="2355"/>
      <c r="L196" s="2356"/>
      <c r="M196" s="2354"/>
      <c r="N196" s="2354"/>
      <c r="O196" s="2354"/>
      <c r="P196" s="2354"/>
      <c r="Q196" s="2354"/>
      <c r="R196" s="2354"/>
      <c r="S196" s="2354"/>
      <c r="T196" s="2354"/>
    </row>
    <row r="197" spans="1:20">
      <c r="A197" s="2354"/>
      <c r="B197" s="2354"/>
      <c r="C197" s="2354"/>
      <c r="D197" s="2354"/>
      <c r="E197" s="2354"/>
      <c r="F197" s="2354"/>
      <c r="G197" s="2354"/>
      <c r="H197" s="2354"/>
      <c r="I197" s="2354"/>
      <c r="J197" s="2354"/>
      <c r="K197" s="2355"/>
      <c r="L197" s="2356"/>
      <c r="M197" s="2354"/>
      <c r="N197" s="2354"/>
      <c r="O197" s="2354"/>
      <c r="P197" s="2354"/>
      <c r="Q197" s="2354"/>
      <c r="R197" s="2354"/>
      <c r="S197" s="2354"/>
      <c r="T197" s="2354"/>
    </row>
    <row r="198" spans="1:20">
      <c r="A198" s="2354"/>
      <c r="B198" s="2354"/>
      <c r="C198" s="2354"/>
      <c r="D198" s="2354"/>
      <c r="E198" s="2354"/>
      <c r="F198" s="2354"/>
      <c r="G198" s="2354"/>
      <c r="H198" s="2354"/>
      <c r="I198" s="2354"/>
      <c r="J198" s="2354"/>
      <c r="K198" s="2355"/>
      <c r="L198" s="2356"/>
      <c r="M198" s="2354"/>
      <c r="N198" s="2354"/>
      <c r="O198" s="2354"/>
      <c r="P198" s="2354"/>
      <c r="Q198" s="2354"/>
      <c r="R198" s="2354"/>
      <c r="S198" s="2354"/>
      <c r="T198" s="2354"/>
    </row>
    <row r="199" spans="1:20">
      <c r="A199" s="2354"/>
      <c r="B199" s="2354"/>
      <c r="C199" s="2354"/>
      <c r="D199" s="2354"/>
      <c r="E199" s="2354"/>
      <c r="F199" s="2354"/>
      <c r="G199" s="2354"/>
      <c r="H199" s="2354"/>
      <c r="I199" s="2354"/>
      <c r="J199" s="2354"/>
      <c r="K199" s="2355"/>
      <c r="L199" s="2356"/>
      <c r="M199" s="2354"/>
      <c r="N199" s="2354"/>
      <c r="O199" s="2354"/>
      <c r="P199" s="2354"/>
      <c r="Q199" s="2354"/>
      <c r="R199" s="2354"/>
      <c r="S199" s="2354"/>
      <c r="T199" s="2354"/>
    </row>
    <row r="200" spans="1:20">
      <c r="A200" s="2354"/>
      <c r="B200" s="2354"/>
      <c r="C200" s="2354"/>
      <c r="D200" s="2354"/>
      <c r="E200" s="2354"/>
      <c r="F200" s="2354"/>
      <c r="G200" s="2354"/>
      <c r="H200" s="2354"/>
      <c r="I200" s="2354"/>
      <c r="J200" s="2354"/>
      <c r="K200" s="2355"/>
      <c r="L200" s="2356"/>
      <c r="M200" s="2354"/>
      <c r="N200" s="2354"/>
      <c r="O200" s="2354"/>
      <c r="P200" s="2354"/>
      <c r="Q200" s="2354"/>
      <c r="R200" s="2354"/>
      <c r="S200" s="2354"/>
      <c r="T200" s="2354"/>
    </row>
    <row r="201" spans="1:20">
      <c r="A201" s="2354"/>
      <c r="B201" s="2354"/>
      <c r="C201" s="2354"/>
      <c r="D201" s="2354"/>
      <c r="E201" s="2354"/>
      <c r="F201" s="2354"/>
      <c r="G201" s="2354"/>
      <c r="H201" s="2354"/>
      <c r="I201" s="2354"/>
      <c r="J201" s="2354"/>
      <c r="K201" s="2355"/>
      <c r="L201" s="2356"/>
      <c r="M201" s="2354"/>
      <c r="N201" s="2354"/>
      <c r="O201" s="2354"/>
      <c r="P201" s="2354"/>
      <c r="Q201" s="2354"/>
      <c r="R201" s="2354"/>
      <c r="S201" s="2354"/>
      <c r="T201" s="2354"/>
    </row>
    <row r="202" spans="1:20">
      <c r="A202" s="2354"/>
      <c r="B202" s="2354"/>
      <c r="C202" s="2354"/>
      <c r="D202" s="2354"/>
      <c r="E202" s="2354"/>
      <c r="F202" s="2354"/>
      <c r="G202" s="2354"/>
      <c r="H202" s="2354"/>
      <c r="I202" s="2354"/>
      <c r="J202" s="2354"/>
      <c r="K202" s="2355"/>
      <c r="L202" s="2356"/>
      <c r="M202" s="2354"/>
      <c r="N202" s="2354"/>
      <c r="O202" s="2354"/>
      <c r="P202" s="2354"/>
      <c r="Q202" s="2354"/>
      <c r="R202" s="2354"/>
      <c r="S202" s="2354"/>
      <c r="T202" s="2354"/>
    </row>
    <row r="203" spans="1:20">
      <c r="A203" s="2354"/>
      <c r="B203" s="2354"/>
      <c r="C203" s="2354"/>
      <c r="D203" s="2354"/>
      <c r="E203" s="2354"/>
      <c r="F203" s="2354"/>
      <c r="G203" s="2354"/>
      <c r="H203" s="2354"/>
      <c r="I203" s="2354"/>
      <c r="J203" s="2354"/>
      <c r="K203" s="2355"/>
      <c r="L203" s="2356"/>
      <c r="M203" s="2354"/>
      <c r="N203" s="2354"/>
      <c r="O203" s="2354"/>
      <c r="P203" s="2354"/>
      <c r="Q203" s="2354"/>
      <c r="R203" s="2354"/>
      <c r="S203" s="2354"/>
      <c r="T203" s="2354"/>
    </row>
    <row r="204" spans="1:20">
      <c r="A204" s="2354"/>
      <c r="B204" s="2354"/>
      <c r="C204" s="2354"/>
      <c r="D204" s="2354"/>
      <c r="E204" s="2354"/>
      <c r="F204" s="2354"/>
      <c r="G204" s="2354"/>
      <c r="H204" s="2354"/>
      <c r="I204" s="2354"/>
      <c r="J204" s="2354"/>
      <c r="K204" s="2355"/>
      <c r="L204" s="2356"/>
      <c r="M204" s="2354"/>
      <c r="N204" s="2354"/>
      <c r="O204" s="2354"/>
      <c r="P204" s="2354"/>
      <c r="Q204" s="2354"/>
      <c r="R204" s="2354"/>
      <c r="S204" s="2354"/>
      <c r="T204" s="2354"/>
    </row>
    <row r="205" spans="1:20">
      <c r="A205" s="2354"/>
      <c r="B205" s="2354"/>
      <c r="C205" s="2354"/>
      <c r="D205" s="2354"/>
      <c r="E205" s="2354"/>
      <c r="F205" s="2354"/>
      <c r="G205" s="2354"/>
      <c r="H205" s="2354"/>
      <c r="I205" s="2354"/>
      <c r="J205" s="2354"/>
      <c r="K205" s="2355"/>
      <c r="L205" s="2356"/>
      <c r="M205" s="2354"/>
      <c r="N205" s="2354"/>
      <c r="O205" s="2354"/>
      <c r="P205" s="2354"/>
      <c r="Q205" s="2354"/>
      <c r="R205" s="2354"/>
      <c r="S205" s="2354"/>
      <c r="T205" s="2354"/>
    </row>
    <row r="206" spans="1:20">
      <c r="A206" s="2354"/>
      <c r="B206" s="2354"/>
      <c r="C206" s="2354"/>
      <c r="D206" s="2354"/>
      <c r="E206" s="2354"/>
      <c r="F206" s="2354"/>
      <c r="G206" s="2354"/>
      <c r="H206" s="2354"/>
      <c r="I206" s="2354"/>
      <c r="J206" s="2354"/>
      <c r="K206" s="2355"/>
      <c r="L206" s="2356"/>
      <c r="M206" s="2354"/>
      <c r="N206" s="2354"/>
      <c r="O206" s="2354"/>
      <c r="P206" s="2354"/>
      <c r="Q206" s="2354"/>
      <c r="R206" s="2354"/>
      <c r="S206" s="2354"/>
      <c r="T206" s="2354"/>
    </row>
    <row r="207" spans="1:20">
      <c r="A207" s="2354"/>
      <c r="B207" s="2354"/>
      <c r="C207" s="2354"/>
      <c r="D207" s="2354"/>
      <c r="E207" s="2354"/>
      <c r="F207" s="2354"/>
      <c r="G207" s="2354"/>
      <c r="H207" s="2354"/>
      <c r="I207" s="2354"/>
      <c r="J207" s="2354"/>
      <c r="K207" s="2355"/>
      <c r="L207" s="2356"/>
      <c r="M207" s="2354"/>
      <c r="N207" s="2354"/>
      <c r="O207" s="2354"/>
      <c r="P207" s="2354"/>
      <c r="Q207" s="2354"/>
      <c r="R207" s="2354"/>
      <c r="S207" s="2354"/>
      <c r="T207" s="2354"/>
    </row>
    <row r="208" spans="1:20">
      <c r="A208" s="2354"/>
      <c r="B208" s="2354"/>
      <c r="C208" s="2354"/>
      <c r="D208" s="2354"/>
      <c r="E208" s="2354"/>
      <c r="F208" s="2354"/>
      <c r="G208" s="2354"/>
      <c r="H208" s="2354"/>
      <c r="I208" s="2354"/>
      <c r="J208" s="2354"/>
      <c r="K208" s="2355"/>
      <c r="L208" s="2356"/>
      <c r="M208" s="2354"/>
      <c r="N208" s="2354"/>
      <c r="O208" s="2354"/>
      <c r="P208" s="2354"/>
      <c r="Q208" s="2354"/>
      <c r="R208" s="2354"/>
      <c r="S208" s="2354"/>
      <c r="T208" s="2354"/>
    </row>
    <row r="209" spans="1:20">
      <c r="A209" s="2354"/>
      <c r="B209" s="2354"/>
      <c r="C209" s="2354"/>
      <c r="D209" s="2354"/>
      <c r="E209" s="2354"/>
      <c r="F209" s="2354"/>
      <c r="G209" s="2354"/>
      <c r="H209" s="2354"/>
      <c r="I209" s="2354"/>
      <c r="J209" s="2354"/>
      <c r="K209" s="2355"/>
      <c r="L209" s="2356"/>
      <c r="M209" s="2354"/>
      <c r="N209" s="2354"/>
      <c r="O209" s="2354"/>
      <c r="P209" s="2354"/>
      <c r="Q209" s="2354"/>
      <c r="R209" s="2354"/>
      <c r="S209" s="2354"/>
      <c r="T209" s="2354"/>
    </row>
    <row r="210" spans="1:20">
      <c r="A210" s="2354"/>
      <c r="B210" s="2354"/>
      <c r="C210" s="2354"/>
      <c r="D210" s="2354"/>
      <c r="E210" s="2354"/>
      <c r="F210" s="2354"/>
      <c r="G210" s="2354"/>
      <c r="H210" s="2354"/>
      <c r="I210" s="2354"/>
      <c r="J210" s="2354"/>
      <c r="K210" s="2355"/>
      <c r="L210" s="2356"/>
      <c r="M210" s="2354"/>
      <c r="N210" s="2354"/>
      <c r="O210" s="2354"/>
      <c r="P210" s="2354"/>
      <c r="Q210" s="2354"/>
      <c r="R210" s="2354"/>
      <c r="S210" s="2354"/>
      <c r="T210" s="2354"/>
    </row>
    <row r="211" spans="1:20">
      <c r="A211" s="2354"/>
      <c r="B211" s="2354"/>
      <c r="C211" s="2354"/>
      <c r="D211" s="2354"/>
      <c r="E211" s="2354"/>
      <c r="F211" s="2354"/>
      <c r="G211" s="2354"/>
      <c r="H211" s="2354"/>
      <c r="I211" s="2354"/>
      <c r="J211" s="2354"/>
      <c r="K211" s="2355"/>
      <c r="L211" s="2356"/>
      <c r="M211" s="2354"/>
      <c r="N211" s="2354"/>
      <c r="O211" s="2354"/>
      <c r="P211" s="2354"/>
      <c r="Q211" s="2354"/>
      <c r="R211" s="2354"/>
      <c r="S211" s="2354"/>
      <c r="T211" s="2354"/>
    </row>
    <row r="212" spans="1:20">
      <c r="A212" s="2354"/>
      <c r="B212" s="2354"/>
      <c r="C212" s="2354"/>
      <c r="D212" s="2354"/>
      <c r="E212" s="2354"/>
      <c r="F212" s="2354"/>
      <c r="G212" s="2354"/>
      <c r="H212" s="2354"/>
      <c r="I212" s="2354"/>
      <c r="J212" s="2354"/>
      <c r="K212" s="2355"/>
      <c r="L212" s="2356"/>
      <c r="M212" s="2354"/>
      <c r="N212" s="2354"/>
      <c r="O212" s="2354"/>
      <c r="P212" s="2354"/>
      <c r="Q212" s="2354"/>
      <c r="R212" s="2354"/>
      <c r="S212" s="2354"/>
      <c r="T212" s="2354"/>
    </row>
    <row r="213" spans="1:20">
      <c r="A213" s="2354"/>
      <c r="B213" s="2354"/>
      <c r="C213" s="2354"/>
      <c r="D213" s="2354"/>
      <c r="E213" s="2354"/>
      <c r="F213" s="2354"/>
      <c r="G213" s="2354"/>
      <c r="H213" s="2354"/>
      <c r="I213" s="2354"/>
      <c r="J213" s="2354"/>
      <c r="K213" s="2355"/>
      <c r="L213" s="2356"/>
      <c r="M213" s="2354"/>
      <c r="N213" s="2354"/>
      <c r="O213" s="2354"/>
      <c r="P213" s="2354"/>
      <c r="Q213" s="2354"/>
      <c r="R213" s="2354"/>
      <c r="S213" s="2354"/>
      <c r="T213" s="2354"/>
    </row>
    <row r="214" spans="1:20">
      <c r="A214" s="2354"/>
      <c r="B214" s="2354"/>
      <c r="C214" s="2354"/>
      <c r="D214" s="2354"/>
      <c r="E214" s="2354"/>
      <c r="F214" s="2354"/>
      <c r="G214" s="2354"/>
      <c r="H214" s="2354"/>
      <c r="I214" s="2354"/>
      <c r="J214" s="2354"/>
      <c r="K214" s="2355"/>
      <c r="L214" s="2356"/>
      <c r="M214" s="2354"/>
      <c r="N214" s="2354"/>
      <c r="O214" s="2354"/>
      <c r="P214" s="2354"/>
      <c r="Q214" s="2354"/>
      <c r="R214" s="2354"/>
      <c r="S214" s="2354"/>
      <c r="T214" s="2354"/>
    </row>
    <row r="215" spans="1:20">
      <c r="A215" s="2354"/>
      <c r="B215" s="2354"/>
      <c r="C215" s="2354"/>
      <c r="D215" s="2354"/>
      <c r="E215" s="2354"/>
      <c r="F215" s="2354"/>
      <c r="G215" s="2354"/>
      <c r="H215" s="2354"/>
      <c r="I215" s="2354"/>
      <c r="J215" s="2354"/>
      <c r="K215" s="2355"/>
      <c r="L215" s="2356"/>
      <c r="M215" s="2354"/>
      <c r="N215" s="2354"/>
      <c r="O215" s="2354"/>
      <c r="P215" s="2354"/>
      <c r="Q215" s="2354"/>
      <c r="R215" s="2354"/>
      <c r="S215" s="2354"/>
      <c r="T215" s="2354"/>
    </row>
    <row r="216" spans="1:20">
      <c r="A216" s="2354"/>
      <c r="B216" s="2354"/>
      <c r="C216" s="2354"/>
      <c r="D216" s="2354"/>
      <c r="E216" s="2354"/>
      <c r="F216" s="2354"/>
      <c r="G216" s="2354"/>
      <c r="H216" s="2354"/>
      <c r="I216" s="2354"/>
      <c r="J216" s="2354"/>
      <c r="K216" s="2355"/>
      <c r="L216" s="2356"/>
      <c r="M216" s="2354"/>
      <c r="N216" s="2354"/>
      <c r="O216" s="2354"/>
      <c r="P216" s="2354"/>
      <c r="Q216" s="2354"/>
      <c r="R216" s="2354"/>
      <c r="S216" s="2354"/>
      <c r="T216" s="2354"/>
    </row>
    <row r="217" spans="1:20">
      <c r="A217" s="2354"/>
      <c r="B217" s="2354"/>
      <c r="C217" s="2354"/>
      <c r="D217" s="2354"/>
      <c r="E217" s="2354"/>
      <c r="F217" s="2354"/>
      <c r="G217" s="2354"/>
      <c r="H217" s="2354"/>
      <c r="I217" s="2354"/>
      <c r="J217" s="2354"/>
      <c r="K217" s="2355"/>
      <c r="L217" s="2356"/>
      <c r="M217" s="2354"/>
      <c r="N217" s="2354"/>
      <c r="O217" s="2354"/>
      <c r="P217" s="2354"/>
      <c r="Q217" s="2354"/>
      <c r="R217" s="2354"/>
      <c r="S217" s="2354"/>
      <c r="T217" s="2354"/>
    </row>
    <row r="218" spans="1:20">
      <c r="A218" s="2354"/>
      <c r="B218" s="2354"/>
      <c r="C218" s="2354"/>
      <c r="D218" s="2354"/>
      <c r="E218" s="2354"/>
      <c r="F218" s="2354"/>
      <c r="G218" s="2354"/>
      <c r="H218" s="2354"/>
      <c r="I218" s="2354"/>
      <c r="J218" s="2354"/>
      <c r="K218" s="2355"/>
      <c r="L218" s="2356"/>
      <c r="M218" s="2354"/>
      <c r="N218" s="2354"/>
      <c r="O218" s="2354"/>
      <c r="P218" s="2354"/>
      <c r="Q218" s="2354"/>
      <c r="R218" s="2354"/>
      <c r="S218" s="2354"/>
      <c r="T218" s="2354"/>
    </row>
    <row r="219" spans="1:20">
      <c r="A219" s="2354"/>
      <c r="B219" s="2354"/>
      <c r="C219" s="2354"/>
      <c r="D219" s="2354"/>
      <c r="E219" s="2354"/>
      <c r="F219" s="2354"/>
      <c r="G219" s="2354"/>
      <c r="H219" s="2354"/>
      <c r="I219" s="2354"/>
      <c r="J219" s="2354"/>
      <c r="K219" s="2355"/>
      <c r="L219" s="2356"/>
      <c r="M219" s="2354"/>
      <c r="N219" s="2354"/>
      <c r="O219" s="2354"/>
      <c r="P219" s="2354"/>
      <c r="Q219" s="2354"/>
      <c r="R219" s="2354"/>
      <c r="S219" s="2354"/>
      <c r="T219" s="2354"/>
    </row>
    <row r="220" spans="1:20">
      <c r="A220" s="2354"/>
      <c r="B220" s="2354"/>
      <c r="C220" s="2354"/>
      <c r="D220" s="2354"/>
      <c r="E220" s="2354"/>
      <c r="F220" s="2354"/>
      <c r="G220" s="2354"/>
      <c r="H220" s="2354"/>
      <c r="I220" s="2354"/>
      <c r="J220" s="2354"/>
      <c r="K220" s="2355"/>
      <c r="L220" s="2356"/>
      <c r="M220" s="2354"/>
      <c r="N220" s="2354"/>
      <c r="O220" s="2354"/>
      <c r="P220" s="2354"/>
      <c r="Q220" s="2354"/>
      <c r="R220" s="2354"/>
      <c r="S220" s="2354"/>
      <c r="T220" s="2354"/>
    </row>
    <row r="221" spans="1:20">
      <c r="A221" s="2354"/>
      <c r="B221" s="2354"/>
      <c r="C221" s="2354"/>
      <c r="D221" s="2354"/>
      <c r="E221" s="2354"/>
      <c r="F221" s="2354"/>
      <c r="G221" s="2354"/>
      <c r="H221" s="2354"/>
      <c r="I221" s="2354"/>
      <c r="J221" s="2354"/>
      <c r="K221" s="2355"/>
      <c r="L221" s="2356"/>
      <c r="M221" s="2354"/>
      <c r="N221" s="2354"/>
      <c r="O221" s="2354"/>
      <c r="P221" s="2354"/>
      <c r="Q221" s="2354"/>
      <c r="R221" s="2354"/>
      <c r="S221" s="2354"/>
      <c r="T221" s="2354"/>
    </row>
    <row r="222" spans="1:20">
      <c r="A222" s="2354"/>
      <c r="B222" s="2354"/>
      <c r="C222" s="2354"/>
      <c r="D222" s="2354"/>
      <c r="E222" s="2354"/>
      <c r="F222" s="2354"/>
      <c r="G222" s="2354"/>
      <c r="H222" s="2354"/>
      <c r="I222" s="2354"/>
      <c r="J222" s="2354"/>
      <c r="K222" s="2355"/>
      <c r="L222" s="2356"/>
      <c r="M222" s="2354"/>
      <c r="N222" s="2354"/>
      <c r="O222" s="2354"/>
      <c r="P222" s="2354"/>
      <c r="Q222" s="2354"/>
      <c r="R222" s="2354"/>
      <c r="S222" s="2354"/>
      <c r="T222" s="2354"/>
    </row>
    <row r="223" spans="1:20">
      <c r="A223" s="2354"/>
      <c r="B223" s="2354"/>
      <c r="C223" s="2354"/>
      <c r="D223" s="2354"/>
      <c r="E223" s="2354"/>
      <c r="F223" s="2354"/>
      <c r="G223" s="2354"/>
      <c r="H223" s="2354"/>
      <c r="I223" s="2354"/>
      <c r="J223" s="2354"/>
      <c r="K223" s="2355"/>
      <c r="L223" s="2356"/>
      <c r="M223" s="2354"/>
      <c r="N223" s="2354"/>
      <c r="O223" s="2354"/>
      <c r="P223" s="2354"/>
      <c r="Q223" s="2354"/>
      <c r="R223" s="2354"/>
      <c r="S223" s="2354"/>
      <c r="T223" s="2354"/>
    </row>
    <row r="224" spans="1:20">
      <c r="A224" s="2354"/>
      <c r="B224" s="2354"/>
      <c r="C224" s="2354"/>
      <c r="D224" s="2354"/>
      <c r="E224" s="2354"/>
      <c r="F224" s="2354"/>
      <c r="G224" s="2354"/>
      <c r="H224" s="2354"/>
      <c r="I224" s="2354"/>
      <c r="J224" s="2354"/>
      <c r="K224" s="2355"/>
      <c r="L224" s="2356"/>
      <c r="M224" s="2354"/>
      <c r="N224" s="2354"/>
      <c r="O224" s="2354"/>
      <c r="P224" s="2354"/>
      <c r="Q224" s="2354"/>
      <c r="R224" s="2354"/>
      <c r="S224" s="2354"/>
      <c r="T224" s="2354"/>
    </row>
    <row r="225" spans="1:20">
      <c r="A225" s="2354"/>
      <c r="B225" s="2354"/>
      <c r="C225" s="2354"/>
      <c r="D225" s="2354"/>
      <c r="E225" s="2354"/>
      <c r="F225" s="2354"/>
      <c r="G225" s="2354"/>
      <c r="H225" s="2354"/>
      <c r="I225" s="2354"/>
      <c r="J225" s="2354"/>
      <c r="K225" s="2355"/>
      <c r="L225" s="2356"/>
      <c r="M225" s="2354"/>
      <c r="N225" s="2354"/>
      <c r="O225" s="2354"/>
      <c r="P225" s="2354"/>
      <c r="Q225" s="2354"/>
      <c r="R225" s="2354"/>
      <c r="S225" s="2354"/>
      <c r="T225" s="2354"/>
    </row>
    <row r="226" spans="1:20">
      <c r="A226" s="2354"/>
      <c r="B226" s="2354"/>
      <c r="C226" s="2354"/>
      <c r="D226" s="2354"/>
      <c r="E226" s="2354"/>
      <c r="F226" s="2354"/>
      <c r="G226" s="2354"/>
      <c r="H226" s="2354"/>
      <c r="I226" s="2354"/>
      <c r="J226" s="2354"/>
      <c r="K226" s="2355"/>
      <c r="L226" s="2356"/>
      <c r="M226" s="2354"/>
      <c r="N226" s="2354"/>
      <c r="O226" s="2354"/>
      <c r="P226" s="2354"/>
      <c r="Q226" s="2354"/>
      <c r="R226" s="2354"/>
      <c r="S226" s="2354"/>
      <c r="T226" s="2354"/>
    </row>
    <row r="227" spans="1:20">
      <c r="A227" s="2354"/>
      <c r="B227" s="2354"/>
      <c r="C227" s="2354"/>
      <c r="D227" s="2354"/>
      <c r="E227" s="2354"/>
      <c r="F227" s="2354"/>
      <c r="G227" s="2354"/>
      <c r="H227" s="2354"/>
      <c r="I227" s="2354"/>
      <c r="J227" s="2354"/>
      <c r="K227" s="2355"/>
      <c r="L227" s="2356"/>
      <c r="M227" s="2354"/>
      <c r="N227" s="2354"/>
      <c r="O227" s="2354"/>
      <c r="P227" s="2354"/>
      <c r="Q227" s="2354"/>
      <c r="R227" s="2354"/>
      <c r="S227" s="2354"/>
      <c r="T227" s="2354"/>
    </row>
    <row r="228" spans="1:20">
      <c r="A228" s="2354"/>
      <c r="B228" s="2354"/>
      <c r="C228" s="2354"/>
      <c r="D228" s="2354"/>
      <c r="E228" s="2354"/>
      <c r="F228" s="2354"/>
      <c r="G228" s="2354"/>
      <c r="H228" s="2354"/>
      <c r="I228" s="2354"/>
      <c r="J228" s="2354"/>
      <c r="K228" s="2355"/>
      <c r="L228" s="2356"/>
      <c r="M228" s="2354"/>
      <c r="N228" s="2354"/>
      <c r="O228" s="2354"/>
      <c r="P228" s="2354"/>
      <c r="Q228" s="2354"/>
      <c r="R228" s="2354"/>
      <c r="S228" s="2354"/>
      <c r="T228" s="2354"/>
    </row>
    <row r="229" spans="1:20">
      <c r="A229" s="2354"/>
      <c r="B229" s="2354"/>
      <c r="C229" s="2354"/>
      <c r="D229" s="2354"/>
      <c r="E229" s="2354"/>
      <c r="F229" s="2354"/>
      <c r="G229" s="2354"/>
      <c r="H229" s="2354"/>
      <c r="I229" s="2354"/>
      <c r="J229" s="2354"/>
      <c r="K229" s="2355"/>
      <c r="L229" s="2356"/>
      <c r="M229" s="2354"/>
      <c r="N229" s="2354"/>
      <c r="O229" s="2354"/>
      <c r="P229" s="2354"/>
      <c r="Q229" s="2354"/>
      <c r="R229" s="2354"/>
      <c r="S229" s="2354"/>
      <c r="T229" s="2354"/>
    </row>
    <row r="230" spans="1:20">
      <c r="A230" s="2354"/>
      <c r="B230" s="2354"/>
      <c r="C230" s="2354"/>
      <c r="D230" s="2354"/>
      <c r="E230" s="2354"/>
      <c r="F230" s="2354"/>
      <c r="G230" s="2354"/>
      <c r="H230" s="2354"/>
      <c r="I230" s="2354"/>
      <c r="J230" s="2354"/>
      <c r="K230" s="2355"/>
      <c r="L230" s="2356"/>
      <c r="M230" s="2354"/>
      <c r="N230" s="2354"/>
      <c r="O230" s="2354"/>
      <c r="P230" s="2354"/>
      <c r="Q230" s="2354"/>
      <c r="R230" s="2354"/>
      <c r="S230" s="2354"/>
      <c r="T230" s="2354"/>
    </row>
    <row r="231" spans="1:20">
      <c r="A231" s="2354"/>
      <c r="B231" s="2354"/>
      <c r="C231" s="2354"/>
      <c r="D231" s="2354"/>
      <c r="E231" s="2354"/>
      <c r="F231" s="2354"/>
      <c r="G231" s="2354"/>
      <c r="H231" s="2354"/>
      <c r="I231" s="2354"/>
      <c r="J231" s="2354"/>
      <c r="K231" s="2355"/>
      <c r="L231" s="2356"/>
      <c r="M231" s="2354"/>
      <c r="N231" s="2354"/>
      <c r="O231" s="2354"/>
      <c r="P231" s="2354"/>
      <c r="Q231" s="2354"/>
      <c r="R231" s="2354"/>
      <c r="S231" s="2354"/>
      <c r="T231" s="2354"/>
    </row>
    <row r="232" spans="1:20">
      <c r="A232" s="2354"/>
      <c r="B232" s="2354"/>
      <c r="C232" s="2354"/>
      <c r="D232" s="2354"/>
      <c r="E232" s="2354"/>
      <c r="F232" s="2354"/>
      <c r="G232" s="2354"/>
      <c r="H232" s="2354"/>
      <c r="I232" s="2354"/>
      <c r="J232" s="2354"/>
      <c r="K232" s="2355"/>
      <c r="L232" s="2356"/>
      <c r="M232" s="2354"/>
      <c r="N232" s="2354"/>
      <c r="O232" s="2354"/>
      <c r="P232" s="2354"/>
      <c r="Q232" s="2354"/>
      <c r="R232" s="2354"/>
      <c r="S232" s="2354"/>
      <c r="T232" s="2354"/>
    </row>
    <row r="233" spans="1:20">
      <c r="A233" s="2354"/>
      <c r="B233" s="2354"/>
      <c r="C233" s="2354"/>
      <c r="D233" s="2354"/>
      <c r="E233" s="2354"/>
      <c r="F233" s="2354"/>
      <c r="G233" s="2354"/>
      <c r="H233" s="2354"/>
      <c r="I233" s="2354"/>
      <c r="J233" s="2354"/>
      <c r="K233" s="2355"/>
      <c r="L233" s="2356"/>
      <c r="M233" s="2354"/>
      <c r="N233" s="2354"/>
      <c r="O233" s="2354"/>
      <c r="P233" s="2354"/>
      <c r="Q233" s="2354"/>
      <c r="R233" s="2354"/>
      <c r="S233" s="2354"/>
      <c r="T233" s="2354"/>
    </row>
    <row r="234" spans="1:20">
      <c r="A234" s="2354"/>
      <c r="B234" s="2354"/>
      <c r="C234" s="2354"/>
      <c r="D234" s="2354"/>
      <c r="E234" s="2354"/>
      <c r="F234" s="2354"/>
      <c r="G234" s="2354"/>
      <c r="H234" s="2354"/>
      <c r="I234" s="2354"/>
      <c r="J234" s="2354"/>
      <c r="K234" s="2355"/>
      <c r="L234" s="2356"/>
      <c r="M234" s="2354"/>
      <c r="N234" s="2354"/>
      <c r="O234" s="2354"/>
      <c r="P234" s="2354"/>
      <c r="Q234" s="2354"/>
      <c r="R234" s="2354"/>
      <c r="S234" s="2354"/>
      <c r="T234" s="2354"/>
    </row>
    <row r="235" spans="1:20">
      <c r="A235" s="2354"/>
      <c r="B235" s="2354"/>
      <c r="C235" s="2354"/>
      <c r="D235" s="2354"/>
      <c r="E235" s="2354"/>
      <c r="F235" s="2354"/>
      <c r="G235" s="2354"/>
      <c r="H235" s="2354"/>
      <c r="I235" s="2354"/>
      <c r="J235" s="2354"/>
      <c r="K235" s="2355"/>
      <c r="L235" s="2356"/>
      <c r="M235" s="2354"/>
      <c r="N235" s="2354"/>
      <c r="O235" s="2354"/>
      <c r="P235" s="2354"/>
      <c r="Q235" s="2354"/>
      <c r="R235" s="2354"/>
      <c r="S235" s="2354"/>
      <c r="T235" s="2354"/>
    </row>
    <row r="236" spans="1:20">
      <c r="A236" s="2354"/>
      <c r="B236" s="2354"/>
      <c r="C236" s="2354"/>
      <c r="D236" s="2354"/>
      <c r="E236" s="2354"/>
      <c r="F236" s="2354"/>
      <c r="G236" s="2354"/>
      <c r="H236" s="2354"/>
      <c r="I236" s="2354"/>
      <c r="J236" s="2354"/>
      <c r="K236" s="2355"/>
      <c r="L236" s="2356"/>
      <c r="M236" s="2354"/>
      <c r="N236" s="2354"/>
      <c r="O236" s="2354"/>
      <c r="P236" s="2354"/>
      <c r="Q236" s="2354"/>
      <c r="R236" s="2354"/>
      <c r="S236" s="2354"/>
      <c r="T236" s="2354"/>
    </row>
    <row r="237" spans="1:20">
      <c r="A237" s="2354"/>
      <c r="B237" s="2354"/>
      <c r="C237" s="2354"/>
      <c r="D237" s="2354"/>
      <c r="E237" s="2354"/>
      <c r="F237" s="2354"/>
      <c r="G237" s="2354"/>
      <c r="H237" s="2354"/>
      <c r="I237" s="2354"/>
      <c r="J237" s="2354"/>
      <c r="K237" s="2355"/>
      <c r="L237" s="2356"/>
      <c r="M237" s="2354"/>
      <c r="N237" s="2354"/>
      <c r="O237" s="2354"/>
      <c r="P237" s="2354"/>
      <c r="Q237" s="2354"/>
      <c r="R237" s="2354"/>
      <c r="S237" s="2354"/>
      <c r="T237" s="2354"/>
    </row>
    <row r="238" spans="1:20">
      <c r="A238" s="2354"/>
      <c r="B238" s="2354"/>
      <c r="C238" s="2354"/>
      <c r="D238" s="2354"/>
      <c r="E238" s="2354"/>
      <c r="F238" s="2354"/>
      <c r="G238" s="2354"/>
      <c r="H238" s="2354"/>
      <c r="I238" s="2354"/>
      <c r="J238" s="2354"/>
      <c r="K238" s="2355"/>
      <c r="L238" s="2356"/>
      <c r="M238" s="2354"/>
      <c r="N238" s="2354"/>
      <c r="O238" s="2354"/>
      <c r="P238" s="2354"/>
      <c r="Q238" s="2354"/>
      <c r="R238" s="2354"/>
      <c r="S238" s="2354"/>
      <c r="T238" s="2354"/>
    </row>
    <row r="239" spans="1:20">
      <c r="A239" s="2354"/>
      <c r="B239" s="2354"/>
      <c r="C239" s="2354"/>
      <c r="D239" s="2354"/>
      <c r="E239" s="2354"/>
      <c r="F239" s="2354"/>
      <c r="G239" s="2354"/>
      <c r="H239" s="2354"/>
      <c r="I239" s="2354"/>
      <c r="J239" s="2354"/>
      <c r="K239" s="2355"/>
      <c r="L239" s="2356"/>
      <c r="M239" s="2354"/>
      <c r="N239" s="2354"/>
      <c r="O239" s="2354"/>
      <c r="P239" s="2354"/>
      <c r="Q239" s="2354"/>
      <c r="R239" s="2354"/>
      <c r="S239" s="2354"/>
      <c r="T239" s="2354"/>
    </row>
    <row r="240" spans="1:20">
      <c r="A240" s="2354"/>
      <c r="B240" s="2354"/>
      <c r="C240" s="2354"/>
      <c r="D240" s="2354"/>
      <c r="E240" s="2354"/>
      <c r="F240" s="2354"/>
      <c r="G240" s="2354"/>
      <c r="H240" s="2354"/>
      <c r="I240" s="2354"/>
      <c r="J240" s="2354"/>
      <c r="K240" s="2355"/>
      <c r="L240" s="2356"/>
      <c r="M240" s="2354"/>
      <c r="N240" s="2354"/>
      <c r="O240" s="2354"/>
      <c r="P240" s="2354"/>
      <c r="Q240" s="2354"/>
      <c r="R240" s="2354"/>
      <c r="S240" s="2354"/>
      <c r="T240" s="2354"/>
    </row>
    <row r="241" spans="1:20">
      <c r="A241" s="2354"/>
      <c r="B241" s="2354"/>
      <c r="C241" s="2354"/>
      <c r="D241" s="2354"/>
      <c r="E241" s="2354"/>
      <c r="F241" s="2354"/>
      <c r="G241" s="2354"/>
      <c r="H241" s="2354"/>
      <c r="I241" s="2354"/>
      <c r="J241" s="2354"/>
      <c r="K241" s="2355"/>
      <c r="L241" s="2356"/>
      <c r="M241" s="2354"/>
      <c r="N241" s="2354"/>
      <c r="O241" s="2354"/>
      <c r="P241" s="2354"/>
      <c r="Q241" s="2354"/>
      <c r="R241" s="2354"/>
      <c r="S241" s="2354"/>
      <c r="T241" s="23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2" customWidth="1"/>
    <col min="2" max="2" width="15.75" style="742" customWidth="1"/>
    <col min="3" max="3" width="14.375" style="742" customWidth="1"/>
    <col min="4" max="4" width="12.25" style="742" customWidth="1"/>
    <col min="5" max="5" width="14.375" style="742" customWidth="1"/>
    <col min="6" max="6" width="12.25" style="742" customWidth="1"/>
    <col min="7" max="7" width="14.5" style="742" customWidth="1"/>
    <col min="8" max="8" width="12.25" style="742" customWidth="1"/>
    <col min="9" max="9" width="14.5" style="742" customWidth="1"/>
    <col min="10" max="10" width="12.25" style="742" customWidth="1"/>
    <col min="11" max="11" width="12.25" style="830" customWidth="1"/>
    <col min="12" max="12" width="12.25" style="831" customWidth="1"/>
    <col min="13" max="15" width="12.25" style="742" customWidth="1"/>
    <col min="16" max="16" width="4.75" style="742" customWidth="1"/>
    <col min="17" max="17" width="19.5" style="742" customWidth="1"/>
    <col min="18" max="22" width="6.125" style="742" customWidth="1"/>
    <col min="23" max="23" width="5.75" style="742" customWidth="1"/>
    <col min="24" max="24" width="4.25" style="742" customWidth="1"/>
    <col min="25" max="25" width="3.5" style="742" customWidth="1"/>
    <col min="26" max="26" width="19.75" style="742" customWidth="1"/>
    <col min="27" max="28" width="9.375" style="742" customWidth="1"/>
    <col min="29" max="16384" width="9" style="742"/>
  </cols>
  <sheetData>
    <row r="1" spans="1:29" s="737" customFormat="1" ht="28.5" customHeight="1">
      <c r="A1" s="733" t="s">
        <v>478</v>
      </c>
      <c r="B1" s="734"/>
      <c r="C1" s="735" t="s">
        <v>514</v>
      </c>
      <c r="D1" s="1293"/>
      <c r="E1" s="1293"/>
      <c r="F1" s="1292" t="s">
        <v>386</v>
      </c>
      <c r="G1" s="1293"/>
      <c r="H1" s="1293"/>
      <c r="I1" s="1293"/>
      <c r="J1" s="1293"/>
      <c r="K1" s="1294"/>
      <c r="L1" s="1295"/>
      <c r="M1" s="1296"/>
      <c r="N1" s="1296"/>
      <c r="O1" s="1296"/>
      <c r="P1" s="1306"/>
      <c r="Q1" s="1306"/>
      <c r="R1" s="1306"/>
      <c r="S1" s="1306"/>
      <c r="T1" s="1306"/>
      <c r="U1" s="1306"/>
      <c r="V1" s="1306"/>
      <c r="W1" s="1306"/>
      <c r="X1" s="1306"/>
      <c r="Y1" s="1306"/>
      <c r="Z1" s="1306"/>
      <c r="AA1" s="1306"/>
      <c r="AB1" s="1306"/>
      <c r="AC1" s="1307"/>
    </row>
    <row r="2" spans="1:29" s="737" customFormat="1" ht="28.5" customHeight="1">
      <c r="A2" s="573" t="s">
        <v>342</v>
      </c>
      <c r="B2" s="1070" t="e">
        <f>F61</f>
        <v>#DIV/0!</v>
      </c>
      <c r="C2" s="2324"/>
      <c r="D2" s="2324"/>
      <c r="E2" s="2324"/>
      <c r="F2" s="2325"/>
      <c r="G2" s="2324"/>
      <c r="H2" s="2324"/>
      <c r="I2" s="2324"/>
      <c r="J2" s="2324"/>
      <c r="K2" s="2326"/>
      <c r="L2" s="2327"/>
      <c r="M2" s="2328"/>
      <c r="N2" s="2328"/>
      <c r="O2" s="2328"/>
      <c r="P2" s="1306"/>
      <c r="Q2" s="1306"/>
      <c r="R2" s="1306"/>
      <c r="S2" s="1306"/>
      <c r="T2" s="1306"/>
      <c r="U2" s="1306"/>
      <c r="V2" s="1306"/>
      <c r="W2" s="1306"/>
      <c r="X2" s="1306"/>
      <c r="Y2" s="1306"/>
      <c r="Z2" s="1306"/>
      <c r="AA2" s="1306"/>
      <c r="AB2" s="1306"/>
      <c r="AC2" s="1307"/>
    </row>
    <row r="3" spans="1:29" s="737" customFormat="1" ht="28.5" customHeight="1" thickBot="1">
      <c r="A3" s="575" t="s">
        <v>343</v>
      </c>
      <c r="B3" s="944" t="e">
        <f>ROUND(IF(D3="",B2*10000/'数据-汇总表'!E3,B2*10000/D3),0)</f>
        <v>#DIV/0!</v>
      </c>
      <c r="C3" s="575" t="s">
        <v>2878</v>
      </c>
      <c r="D3" s="3034"/>
      <c r="E3" s="2324"/>
      <c r="F3" s="2325"/>
      <c r="G3" s="2324"/>
      <c r="H3" s="2324"/>
      <c r="I3" s="2324"/>
      <c r="J3" s="2324"/>
      <c r="K3" s="2326"/>
      <c r="L3" s="2327"/>
      <c r="M3" s="2328"/>
      <c r="N3" s="2328"/>
      <c r="O3" s="2328"/>
      <c r="P3" s="1306"/>
      <c r="Q3" s="1306"/>
      <c r="R3" s="1306"/>
      <c r="S3" s="1306"/>
      <c r="T3" s="1306"/>
      <c r="U3" s="1306"/>
      <c r="V3" s="1306"/>
      <c r="W3" s="1306"/>
      <c r="X3" s="1306"/>
      <c r="Y3" s="1306"/>
      <c r="Z3" s="1306"/>
      <c r="AA3" s="1306"/>
      <c r="AB3" s="1398"/>
      <c r="AC3" s="1388"/>
    </row>
    <row r="4" spans="1:29" ht="15">
      <c r="A4" s="740" t="s">
        <v>387</v>
      </c>
      <c r="B4" s="741"/>
      <c r="C4" s="3601" t="s">
        <v>388</v>
      </c>
      <c r="D4" s="3602"/>
      <c r="E4" s="3603" t="s">
        <v>389</v>
      </c>
      <c r="F4" s="3604"/>
      <c r="G4" s="3601" t="s">
        <v>390</v>
      </c>
      <c r="H4" s="3602"/>
      <c r="I4" s="3601" t="s">
        <v>391</v>
      </c>
      <c r="J4" s="3602"/>
      <c r="K4" s="945" t="s">
        <v>392</v>
      </c>
      <c r="L4" s="2329"/>
      <c r="M4" s="2330"/>
      <c r="N4" s="2330"/>
      <c r="O4" s="2330"/>
      <c r="P4" s="3605" t="s">
        <v>393</v>
      </c>
      <c r="Q4" s="3606"/>
      <c r="R4" s="3611" t="s">
        <v>389</v>
      </c>
      <c r="S4" s="3612"/>
      <c r="T4" s="3611" t="s">
        <v>390</v>
      </c>
      <c r="U4" s="3612"/>
      <c r="V4" s="3597" t="s">
        <v>391</v>
      </c>
      <c r="W4" s="3597"/>
      <c r="X4" s="1308"/>
      <c r="Y4" s="3611" t="s">
        <v>393</v>
      </c>
      <c r="Z4" s="3612"/>
      <c r="AA4" s="3598" t="s">
        <v>389</v>
      </c>
      <c r="AB4" s="3599" t="s">
        <v>390</v>
      </c>
      <c r="AC4" s="3598" t="s">
        <v>391</v>
      </c>
    </row>
    <row r="5" spans="1:29" ht="15">
      <c r="A5" s="743"/>
      <c r="B5" s="744"/>
      <c r="C5" s="3624" t="s">
        <v>1120</v>
      </c>
      <c r="D5" s="3625"/>
      <c r="E5" s="3705" t="s">
        <v>1121</v>
      </c>
      <c r="F5" s="3706"/>
      <c r="G5" s="3624" t="s">
        <v>1124</v>
      </c>
      <c r="H5" s="3625"/>
      <c r="I5" s="3624" t="s">
        <v>1122</v>
      </c>
      <c r="J5" s="3625"/>
      <c r="K5" s="945"/>
      <c r="L5" s="2329"/>
      <c r="M5" s="2330"/>
      <c r="N5" s="2330"/>
      <c r="O5" s="2330"/>
      <c r="P5" s="3607"/>
      <c r="Q5" s="3608"/>
      <c r="R5" s="3613"/>
      <c r="S5" s="3614"/>
      <c r="T5" s="3613"/>
      <c r="U5" s="3614"/>
      <c r="V5" s="3597"/>
      <c r="W5" s="3597"/>
      <c r="X5" s="1308"/>
      <c r="Y5" s="3613"/>
      <c r="Z5" s="3614"/>
      <c r="AA5" s="3599"/>
      <c r="AB5" s="3599"/>
      <c r="AC5" s="3599"/>
    </row>
    <row r="6" spans="1:29" ht="15.75" thickBot="1">
      <c r="A6" s="745"/>
      <c r="B6" s="746"/>
      <c r="C6" s="3733" t="s">
        <v>1123</v>
      </c>
      <c r="D6" s="3734"/>
      <c r="E6" s="3735" t="s">
        <v>1123</v>
      </c>
      <c r="F6" s="3736"/>
      <c r="G6" s="3733" t="s">
        <v>1123</v>
      </c>
      <c r="H6" s="3734"/>
      <c r="I6" s="3733" t="s">
        <v>1123</v>
      </c>
      <c r="J6" s="3734"/>
      <c r="K6" s="945" t="s">
        <v>394</v>
      </c>
      <c r="L6" s="2329"/>
      <c r="M6" s="2330"/>
      <c r="N6" s="2330"/>
      <c r="O6" s="2330"/>
      <c r="P6" s="3609"/>
      <c r="Q6" s="3610"/>
      <c r="R6" s="3613"/>
      <c r="S6" s="3614"/>
      <c r="T6" s="3615"/>
      <c r="U6" s="3616"/>
      <c r="V6" s="3597"/>
      <c r="W6" s="3597"/>
      <c r="X6" s="1308"/>
      <c r="Y6" s="3615"/>
      <c r="Z6" s="3616"/>
      <c r="AA6" s="3600"/>
      <c r="AB6" s="3600"/>
      <c r="AC6" s="3600"/>
    </row>
    <row r="7" spans="1:29" s="404" customFormat="1" ht="15.75" thickBot="1">
      <c r="A7" s="747" t="s">
        <v>395</v>
      </c>
      <c r="B7" s="748"/>
      <c r="C7" s="749">
        <f>'数据-取费表'!B2</f>
        <v>43006</v>
      </c>
      <c r="D7" s="750">
        <v>100</v>
      </c>
      <c r="E7" s="1009"/>
      <c r="F7" s="752">
        <f>SUMIF(65:65,YEAR(E7)&amp;"-"&amp;INT((MONTH(E7)+2)/3),66:66)</f>
        <v>0</v>
      </c>
      <c r="G7" s="1010"/>
      <c r="H7" s="750">
        <f>SUMIF(65:65,YEAR(G7)&amp;"-"&amp;INT((MONTH(G7)+2)/3),66:66)</f>
        <v>0</v>
      </c>
      <c r="I7" s="1010"/>
      <c r="J7" s="750">
        <f>SUMIF(65:65,YEAR(I7)&amp;"-"&amp;INT((MONTH(I7)+2)/3),66:66)</f>
        <v>0</v>
      </c>
      <c r="K7" s="946"/>
      <c r="L7" s="2331"/>
      <c r="M7" s="2332"/>
      <c r="N7" s="2332"/>
      <c r="O7" s="2332"/>
      <c r="P7" s="3621" t="s">
        <v>396</v>
      </c>
      <c r="Q7" s="3623"/>
      <c r="R7" s="1309" t="s">
        <v>65</v>
      </c>
      <c r="S7" s="1310">
        <f t="shared" ref="S7:S15" si="0">F7</f>
        <v>0</v>
      </c>
      <c r="T7" s="1309" t="s">
        <v>65</v>
      </c>
      <c r="U7" s="1310">
        <f t="shared" ref="U7:U15" si="1">H7</f>
        <v>0</v>
      </c>
      <c r="V7" s="1309" t="s">
        <v>65</v>
      </c>
      <c r="W7" s="1310">
        <f t="shared" ref="W7:W15" si="2">J7</f>
        <v>0</v>
      </c>
      <c r="X7" s="1311"/>
      <c r="Y7" s="3621" t="s">
        <v>396</v>
      </c>
      <c r="Z7" s="3622"/>
      <c r="AA7" s="1312" t="e">
        <f>D7/F7</f>
        <v>#DIV/0!</v>
      </c>
      <c r="AB7" s="1312" t="e">
        <f>D7/H7</f>
        <v>#DIV/0!</v>
      </c>
      <c r="AC7" s="1312" t="e">
        <f>D7/J7</f>
        <v>#DIV/0!</v>
      </c>
    </row>
    <row r="8" spans="1:29" s="404" customFormat="1" ht="15.75" thickBot="1">
      <c r="A8" s="747" t="s">
        <v>397</v>
      </c>
      <c r="B8" s="748"/>
      <c r="C8" s="1012" t="s">
        <v>155</v>
      </c>
      <c r="D8" s="750">
        <v>100</v>
      </c>
      <c r="E8" s="1012"/>
      <c r="F8" s="752">
        <f>SUMIF(68:68,E8,69:69)-SUMIF(68:68,C8,69:69)+100</f>
        <v>0</v>
      </c>
      <c r="G8" s="1012"/>
      <c r="H8" s="750">
        <f>SUMIF(68:68,G8,69:69)-SUMIF(68:68,C8,69:69)+100</f>
        <v>0</v>
      </c>
      <c r="I8" s="1012"/>
      <c r="J8" s="750">
        <f>SUMIF(68:68,I8,69:69)-SUMIF(68:68,C8,69:69)+100</f>
        <v>0</v>
      </c>
      <c r="K8" s="946"/>
      <c r="L8" s="2331"/>
      <c r="M8" s="2332"/>
      <c r="N8" s="2332"/>
      <c r="O8" s="2332"/>
      <c r="P8" s="3621" t="s">
        <v>432</v>
      </c>
      <c r="Q8" s="3622"/>
      <c r="R8" s="1309" t="s">
        <v>65</v>
      </c>
      <c r="S8" s="1310">
        <f t="shared" si="0"/>
        <v>0</v>
      </c>
      <c r="T8" s="1309" t="s">
        <v>65</v>
      </c>
      <c r="U8" s="1310">
        <f t="shared" si="1"/>
        <v>0</v>
      </c>
      <c r="V8" s="1309" t="s">
        <v>65</v>
      </c>
      <c r="W8" s="1310">
        <f t="shared" si="2"/>
        <v>0</v>
      </c>
      <c r="X8" s="1311"/>
      <c r="Y8" s="3621" t="s">
        <v>432</v>
      </c>
      <c r="Z8" s="3622"/>
      <c r="AA8" s="1312" t="e">
        <f t="shared" ref="AA8:AA40" si="3">D8/F8</f>
        <v>#DIV/0!</v>
      </c>
      <c r="AB8" s="1312" t="e">
        <f t="shared" ref="AB8:AB40" si="4">D8/H8</f>
        <v>#DIV/0!</v>
      </c>
      <c r="AC8" s="1312" t="e">
        <f t="shared" ref="AC8:AC40" si="5">D8/J8</f>
        <v>#DIV/0!</v>
      </c>
    </row>
    <row r="9" spans="1:29" s="404" customFormat="1">
      <c r="A9" s="754" t="s">
        <v>398</v>
      </c>
      <c r="B9" s="359" t="s">
        <v>416</v>
      </c>
      <c r="C9" s="1014"/>
      <c r="D9" s="421">
        <v>100</v>
      </c>
      <c r="E9" s="1014"/>
      <c r="F9" s="421">
        <f>SUMIF(70:70,E9,71:71)-SUMIF(70:70,C9,71:71)+100</f>
        <v>100</v>
      </c>
      <c r="G9" s="1014"/>
      <c r="H9" s="421">
        <f>SUMIF(70:70,G9,71:71)-SUMIF(70:70,C9,71:71)+100</f>
        <v>100</v>
      </c>
      <c r="I9" s="1014"/>
      <c r="J9" s="421">
        <f>SUMIF(70:70,I9,71:71)-SUMIF(70:70,C9,71:71)+100</f>
        <v>100</v>
      </c>
      <c r="K9" s="946"/>
      <c r="L9" s="2331"/>
      <c r="M9" s="2332"/>
      <c r="N9" s="2332"/>
      <c r="O9" s="2333"/>
      <c r="P9" s="3592" t="s">
        <v>399</v>
      </c>
      <c r="Q9" s="294" t="str">
        <f t="shared" ref="Q9:Q15" si="6">B9</f>
        <v>用途</v>
      </c>
      <c r="R9" s="1309" t="s">
        <v>65</v>
      </c>
      <c r="S9" s="1310">
        <f t="shared" si="0"/>
        <v>100</v>
      </c>
      <c r="T9" s="1309" t="s">
        <v>65</v>
      </c>
      <c r="U9" s="1310">
        <f t="shared" si="1"/>
        <v>100</v>
      </c>
      <c r="V9" s="1309" t="s">
        <v>65</v>
      </c>
      <c r="W9" s="1310">
        <f t="shared" si="2"/>
        <v>100</v>
      </c>
      <c r="X9" s="1311"/>
      <c r="Y9" s="3478" t="s">
        <v>400</v>
      </c>
      <c r="Z9" s="342" t="str">
        <f t="shared" ref="Z9:Z15" si="7">Q9</f>
        <v>用途</v>
      </c>
      <c r="AA9" s="1312">
        <f t="shared" si="3"/>
        <v>1</v>
      </c>
      <c r="AB9" s="1312">
        <f t="shared" si="4"/>
        <v>1</v>
      </c>
      <c r="AC9" s="1312">
        <f t="shared" si="5"/>
        <v>1</v>
      </c>
    </row>
    <row r="10" spans="1:29" s="763" customFormat="1" ht="27">
      <c r="A10" s="758"/>
      <c r="B10" s="759" t="s">
        <v>401</v>
      </c>
      <c r="C10" s="1016"/>
      <c r="D10" s="422">
        <v>100</v>
      </c>
      <c r="E10" s="1016"/>
      <c r="F10" s="422">
        <f>ROUND(100/'数据-取费表'!G16,0)</f>
        <v>101</v>
      </c>
      <c r="G10" s="1016"/>
      <c r="H10" s="422">
        <f>ROUND(100/'数据-取费表'!G16,0)</f>
        <v>101</v>
      </c>
      <c r="I10" s="1016"/>
      <c r="J10" s="422">
        <f>ROUND(100/'数据-取费表'!G16,0)</f>
        <v>101</v>
      </c>
      <c r="K10" s="1071"/>
      <c r="L10" s="2334"/>
      <c r="M10" s="2335"/>
      <c r="N10" s="2335"/>
      <c r="O10" s="2336"/>
      <c r="P10" s="3592"/>
      <c r="Q10" s="294" t="str">
        <f t="shared" si="6"/>
        <v>土地使用年限（年）</v>
      </c>
      <c r="R10" s="1309" t="s">
        <v>65</v>
      </c>
      <c r="S10" s="1310">
        <f t="shared" si="0"/>
        <v>101</v>
      </c>
      <c r="T10" s="1309" t="s">
        <v>65</v>
      </c>
      <c r="U10" s="1310">
        <f t="shared" si="1"/>
        <v>101</v>
      </c>
      <c r="V10" s="1309" t="s">
        <v>65</v>
      </c>
      <c r="W10" s="1310">
        <f t="shared" si="2"/>
        <v>101</v>
      </c>
      <c r="X10" s="1311"/>
      <c r="Y10" s="3478"/>
      <c r="Z10" s="342" t="str">
        <f t="shared" si="7"/>
        <v>土地使用年限（年）</v>
      </c>
      <c r="AA10" s="1312">
        <f t="shared" si="3"/>
        <v>0.99009900990099009</v>
      </c>
      <c r="AB10" s="1312">
        <f t="shared" si="4"/>
        <v>0.99009900990099009</v>
      </c>
      <c r="AC10" s="1312">
        <f t="shared" si="5"/>
        <v>0.99009900990099009</v>
      </c>
    </row>
    <row r="11" spans="1:29" ht="15">
      <c r="A11" s="764"/>
      <c r="B11" s="759" t="s">
        <v>402</v>
      </c>
      <c r="C11" s="765"/>
      <c r="D11" s="422">
        <v>100</v>
      </c>
      <c r="E11" s="765"/>
      <c r="F11" s="422" t="e">
        <f>LOOKUP(E11,75:75,76:76)-LOOKUP(C11,75:75,76:76)+100</f>
        <v>#N/A</v>
      </c>
      <c r="G11" s="766"/>
      <c r="H11" s="422" t="e">
        <f>LOOKUP(G11,75:75,76:76)-LOOKUP(C11,75:75,76:76)+100</f>
        <v>#N/A</v>
      </c>
      <c r="I11" s="765"/>
      <c r="J11" s="422" t="e">
        <f>LOOKUP(I11,75:75,76:76)-LOOKUP(C11,75:75,76:76)+100</f>
        <v>#N/A</v>
      </c>
      <c r="K11" s="1072"/>
      <c r="L11" s="2337"/>
      <c r="M11" s="2330"/>
      <c r="N11" s="2330"/>
      <c r="O11" s="2338"/>
      <c r="P11" s="3592"/>
      <c r="Q11" s="294" t="str">
        <f t="shared" si="6"/>
        <v>容积率</v>
      </c>
      <c r="R11" s="1309" t="s">
        <v>65</v>
      </c>
      <c r="S11" s="1310" t="e">
        <f t="shared" si="0"/>
        <v>#N/A</v>
      </c>
      <c r="T11" s="1309" t="s">
        <v>65</v>
      </c>
      <c r="U11" s="1310" t="e">
        <f t="shared" si="1"/>
        <v>#N/A</v>
      </c>
      <c r="V11" s="1309" t="s">
        <v>65</v>
      </c>
      <c r="W11" s="1310" t="e">
        <f t="shared" si="2"/>
        <v>#N/A</v>
      </c>
      <c r="X11" s="1311"/>
      <c r="Y11" s="3478"/>
      <c r="Z11" s="342" t="str">
        <f t="shared" si="7"/>
        <v>容积率</v>
      </c>
      <c r="AA11" s="1312" t="e">
        <f t="shared" si="3"/>
        <v>#N/A</v>
      </c>
      <c r="AB11" s="1312" t="e">
        <f t="shared" si="4"/>
        <v>#N/A</v>
      </c>
      <c r="AC11" s="1312" t="e">
        <f t="shared" si="5"/>
        <v>#N/A</v>
      </c>
    </row>
    <row r="12" spans="1:29" s="404" customFormat="1" ht="15">
      <c r="A12" s="767"/>
      <c r="B12" s="1021">
        <v>111</v>
      </c>
      <c r="C12" s="1016"/>
      <c r="D12" s="769">
        <v>100</v>
      </c>
      <c r="E12" s="124"/>
      <c r="F12" s="422">
        <f>SUMIF(77:77,E12,78:78)-SUMIF(77:77,C12,78:78)+100</f>
        <v>100</v>
      </c>
      <c r="G12" s="201"/>
      <c r="H12" s="422">
        <f>SUMIF(77:77,G12,78:78)-SUMIF(77:77,C12,78:78)+100</f>
        <v>100</v>
      </c>
      <c r="I12" s="124"/>
      <c r="J12" s="422">
        <f>SUMIF(77:77,I12,78:78)-SUMIF(77:77,C12,78:78)+100</f>
        <v>100</v>
      </c>
      <c r="K12" s="1071"/>
      <c r="L12" s="2331"/>
      <c r="M12" s="2332"/>
      <c r="N12" s="2332"/>
      <c r="O12" s="2333"/>
      <c r="P12" s="3592"/>
      <c r="Q12" s="294">
        <f t="shared" si="6"/>
        <v>111</v>
      </c>
      <c r="R12" s="1309" t="s">
        <v>65</v>
      </c>
      <c r="S12" s="1310">
        <f t="shared" si="0"/>
        <v>100</v>
      </c>
      <c r="T12" s="1309" t="s">
        <v>65</v>
      </c>
      <c r="U12" s="1310">
        <f t="shared" si="1"/>
        <v>100</v>
      </c>
      <c r="V12" s="1309" t="s">
        <v>65</v>
      </c>
      <c r="W12" s="1310">
        <f t="shared" si="2"/>
        <v>100</v>
      </c>
      <c r="X12" s="1311"/>
      <c r="Y12" s="3478"/>
      <c r="Z12" s="342">
        <f t="shared" si="7"/>
        <v>111</v>
      </c>
      <c r="AA12" s="1312">
        <f>D12/F12</f>
        <v>1</v>
      </c>
      <c r="AB12" s="1312">
        <f>D12/H12</f>
        <v>1</v>
      </c>
      <c r="AC12" s="1312">
        <f>D12/J12</f>
        <v>1</v>
      </c>
    </row>
    <row r="13" spans="1:29" ht="15">
      <c r="A13" s="764"/>
      <c r="B13" s="1021">
        <v>111</v>
      </c>
      <c r="C13" s="93"/>
      <c r="D13" s="771">
        <v>100</v>
      </c>
      <c r="E13" s="124"/>
      <c r="F13" s="422">
        <f>SUMIF(79:79,E13,80:80)-SUMIF(79:79,C13,80:80)+100</f>
        <v>100</v>
      </c>
      <c r="G13" s="201"/>
      <c r="H13" s="771">
        <f>SUMIF(79:79,G13,80:80)-SUMIF(79:79,C13,80:80)+100</f>
        <v>100</v>
      </c>
      <c r="I13" s="124"/>
      <c r="J13" s="771">
        <f>SUMIF(79:79,I13,80:80)-SUMIF(79:79,C13,80:80)+100</f>
        <v>100</v>
      </c>
      <c r="K13" s="1071"/>
      <c r="L13" s="2339"/>
      <c r="M13" s="2330"/>
      <c r="N13" s="2330"/>
      <c r="O13" s="2338"/>
      <c r="P13" s="3592"/>
      <c r="Q13" s="294">
        <f t="shared" si="6"/>
        <v>111</v>
      </c>
      <c r="R13" s="1309" t="s">
        <v>65</v>
      </c>
      <c r="S13" s="1310">
        <f t="shared" si="0"/>
        <v>100</v>
      </c>
      <c r="T13" s="1309" t="s">
        <v>65</v>
      </c>
      <c r="U13" s="1310">
        <f t="shared" si="1"/>
        <v>100</v>
      </c>
      <c r="V13" s="1309" t="s">
        <v>65</v>
      </c>
      <c r="W13" s="1310">
        <f t="shared" si="2"/>
        <v>100</v>
      </c>
      <c r="X13" s="1311"/>
      <c r="Y13" s="3478"/>
      <c r="Z13" s="342">
        <f t="shared" si="7"/>
        <v>111</v>
      </c>
      <c r="AA13" s="1312">
        <f t="shared" si="3"/>
        <v>1</v>
      </c>
      <c r="AB13" s="1312">
        <f t="shared" si="4"/>
        <v>1</v>
      </c>
      <c r="AC13" s="1312">
        <f t="shared" si="5"/>
        <v>1</v>
      </c>
    </row>
    <row r="14" spans="1:29" ht="15.75" thickBot="1">
      <c r="A14" s="772"/>
      <c r="B14" s="1022">
        <v>111</v>
      </c>
      <c r="C14" s="94"/>
      <c r="D14" s="774">
        <v>100</v>
      </c>
      <c r="E14" s="124"/>
      <c r="F14" s="774">
        <f>SUMIF(81:81,E14,82:82)-SUMIF(81:81,C14,82:82)+100</f>
        <v>100</v>
      </c>
      <c r="G14" s="201"/>
      <c r="H14" s="774">
        <f>SUMIF(81:81,G14,82:82)-SUMIF(81:81,C14,82:82)+100</f>
        <v>100</v>
      </c>
      <c r="I14" s="124"/>
      <c r="J14" s="774">
        <f>SUMIF(81:81,I14,82:82)-SUMIF(81:81,C14,82:82)+100</f>
        <v>100</v>
      </c>
      <c r="K14" s="1071"/>
      <c r="L14" s="2339"/>
      <c r="M14" s="2330"/>
      <c r="N14" s="2330"/>
      <c r="O14" s="2338"/>
      <c r="P14" s="3592"/>
      <c r="Q14" s="294">
        <f t="shared" si="6"/>
        <v>111</v>
      </c>
      <c r="R14" s="1309" t="s">
        <v>65</v>
      </c>
      <c r="S14" s="1310">
        <f t="shared" si="0"/>
        <v>100</v>
      </c>
      <c r="T14" s="1309" t="s">
        <v>65</v>
      </c>
      <c r="U14" s="1310">
        <f t="shared" si="1"/>
        <v>100</v>
      </c>
      <c r="V14" s="1309" t="s">
        <v>65</v>
      </c>
      <c r="W14" s="1310">
        <f t="shared" si="2"/>
        <v>100</v>
      </c>
      <c r="X14" s="1311"/>
      <c r="Y14" s="3478"/>
      <c r="Z14" s="342">
        <f t="shared" si="7"/>
        <v>111</v>
      </c>
      <c r="AA14" s="1312">
        <f t="shared" si="3"/>
        <v>1</v>
      </c>
      <c r="AB14" s="1312">
        <f t="shared" si="4"/>
        <v>1</v>
      </c>
      <c r="AC14" s="1312">
        <f t="shared" si="5"/>
        <v>1</v>
      </c>
    </row>
    <row r="15" spans="1:29" ht="67.5">
      <c r="A15" s="776" t="s">
        <v>403</v>
      </c>
      <c r="B15" s="964" t="s">
        <v>515</v>
      </c>
      <c r="C15" s="210" t="str">
        <f>估价对象房地状况!G15</f>
        <v>估价对象位于XX开发区，园区建设成熟度XX，产业集聚程度XX</v>
      </c>
      <c r="D15" s="777">
        <v>100</v>
      </c>
      <c r="E15" s="95"/>
      <c r="F15" s="777">
        <f>SUMIF(83:83,E16,84:84)-SUMIF(83:83,C16,84:84)+100</f>
        <v>100</v>
      </c>
      <c r="G15" s="95"/>
      <c r="H15" s="777">
        <f>SUMIF(83:83,G16,84:84)-SUMIF(83:83,C16,84:84)+100</f>
        <v>100</v>
      </c>
      <c r="I15" s="96"/>
      <c r="J15" s="777">
        <f>SUMIF(83:83,I16,84:84)-SUMIF(83:83,C16,84:84)+100</f>
        <v>100</v>
      </c>
      <c r="K15" s="1072"/>
      <c r="L15" s="2339"/>
      <c r="M15" s="2330"/>
      <c r="N15" s="2330"/>
      <c r="O15" s="2338"/>
      <c r="P15" s="3593" t="s">
        <v>404</v>
      </c>
      <c r="Q15" s="1313" t="str">
        <f t="shared" si="6"/>
        <v>产业集聚程度</v>
      </c>
      <c r="R15" s="1314" t="s">
        <v>65</v>
      </c>
      <c r="S15" s="1315">
        <f t="shared" si="0"/>
        <v>100</v>
      </c>
      <c r="T15" s="1314" t="s">
        <v>65</v>
      </c>
      <c r="U15" s="1315">
        <f t="shared" si="1"/>
        <v>100</v>
      </c>
      <c r="V15" s="1314" t="s">
        <v>65</v>
      </c>
      <c r="W15" s="1315">
        <f t="shared" si="2"/>
        <v>100</v>
      </c>
      <c r="X15" s="1308"/>
      <c r="Y15" s="3593" t="s">
        <v>404</v>
      </c>
      <c r="Z15" s="1316" t="str">
        <f t="shared" si="7"/>
        <v>产业集聚程度</v>
      </c>
      <c r="AA15" s="1317">
        <f t="shared" si="3"/>
        <v>1</v>
      </c>
      <c r="AB15" s="1317">
        <f t="shared" si="4"/>
        <v>1</v>
      </c>
      <c r="AC15" s="1317">
        <f t="shared" si="5"/>
        <v>1</v>
      </c>
    </row>
    <row r="16" spans="1:29" ht="15">
      <c r="A16" s="764"/>
      <c r="B16" s="965"/>
      <c r="C16" s="97"/>
      <c r="D16" s="784"/>
      <c r="E16" s="190"/>
      <c r="F16" s="784"/>
      <c r="G16" s="190"/>
      <c r="H16" s="786"/>
      <c r="I16" s="190"/>
      <c r="J16" s="784"/>
      <c r="K16" s="1071"/>
      <c r="L16" s="2339"/>
      <c r="M16" s="2330"/>
      <c r="N16" s="2330"/>
      <c r="O16" s="2338"/>
      <c r="P16" s="3594"/>
      <c r="Q16" s="1313"/>
      <c r="R16" s="1314"/>
      <c r="S16" s="1315"/>
      <c r="T16" s="1314"/>
      <c r="U16" s="1315"/>
      <c r="V16" s="1314"/>
      <c r="W16" s="1315"/>
      <c r="X16" s="1308"/>
      <c r="Y16" s="3594"/>
      <c r="Z16" s="1316"/>
      <c r="AA16" s="1317">
        <v>1</v>
      </c>
      <c r="AB16" s="1317">
        <v>1</v>
      </c>
      <c r="AC16" s="1317">
        <v>1</v>
      </c>
    </row>
    <row r="17" spans="1:29" ht="94.5">
      <c r="A17" s="764"/>
      <c r="B17" s="966" t="s">
        <v>453</v>
      </c>
      <c r="C17" s="156" t="str">
        <f>估价对象房地状况!G16</f>
        <v>估价对象周边道路状况、公共交通通达情况、停车便捷程度，综合评价交通便捷度较好</v>
      </c>
      <c r="D17" s="786">
        <v>100</v>
      </c>
      <c r="E17" s="100"/>
      <c r="F17" s="791">
        <f>SUMIF(85:85,E18,86:86)-SUMIF(85:85,C18,86:86)+100</f>
        <v>100</v>
      </c>
      <c r="G17" s="100"/>
      <c r="H17" s="791">
        <f>SUMIF(85:85,G18,86:86)-SUMIF(85:85,C18,86:86)+100</f>
        <v>100</v>
      </c>
      <c r="I17" s="101"/>
      <c r="J17" s="786">
        <f>SUMIF(85:85,I18,86:86)-SUMIF(85:85,C18,86:86)+100</f>
        <v>100</v>
      </c>
      <c r="K17" s="1072"/>
      <c r="L17" s="2339"/>
      <c r="M17" s="2330"/>
      <c r="N17" s="2330"/>
      <c r="O17" s="2338"/>
      <c r="P17" s="3594"/>
      <c r="Q17" s="1313" t="str">
        <f>B17</f>
        <v>交通便捷度</v>
      </c>
      <c r="R17" s="1314" t="s">
        <v>65</v>
      </c>
      <c r="S17" s="1315">
        <f>F17</f>
        <v>100</v>
      </c>
      <c r="T17" s="1314" t="s">
        <v>65</v>
      </c>
      <c r="U17" s="1315">
        <f>H17</f>
        <v>100</v>
      </c>
      <c r="V17" s="1314" t="s">
        <v>65</v>
      </c>
      <c r="W17" s="1315">
        <f>J17</f>
        <v>100</v>
      </c>
      <c r="X17" s="1308"/>
      <c r="Y17" s="3594"/>
      <c r="Z17" s="1316" t="str">
        <f>Q17</f>
        <v>交通便捷度</v>
      </c>
      <c r="AA17" s="1317">
        <f t="shared" si="3"/>
        <v>1</v>
      </c>
      <c r="AB17" s="1317">
        <f t="shared" si="4"/>
        <v>1</v>
      </c>
      <c r="AC17" s="1317">
        <f t="shared" si="5"/>
        <v>1</v>
      </c>
    </row>
    <row r="18" spans="1:29" ht="15">
      <c r="A18" s="764"/>
      <c r="B18" s="967"/>
      <c r="C18" s="97"/>
      <c r="D18" s="784"/>
      <c r="E18" s="98"/>
      <c r="F18" s="784"/>
      <c r="G18" s="98"/>
      <c r="H18" s="784"/>
      <c r="I18" s="99"/>
      <c r="J18" s="784"/>
      <c r="K18" s="1071"/>
      <c r="L18" s="2339"/>
      <c r="M18" s="2330"/>
      <c r="N18" s="2330"/>
      <c r="O18" s="2338"/>
      <c r="P18" s="3594"/>
      <c r="Q18" s="1313"/>
      <c r="R18" s="1314"/>
      <c r="S18" s="1315"/>
      <c r="T18" s="1314"/>
      <c r="U18" s="1315"/>
      <c r="V18" s="1314"/>
      <c r="W18" s="1315"/>
      <c r="X18" s="1308"/>
      <c r="Y18" s="3594"/>
      <c r="Z18" s="1316"/>
      <c r="AA18" s="1317">
        <v>1</v>
      </c>
      <c r="AB18" s="1317">
        <v>1</v>
      </c>
      <c r="AC18" s="1317">
        <v>1</v>
      </c>
    </row>
    <row r="19" spans="1:29" ht="27">
      <c r="A19" s="764"/>
      <c r="B19" s="966" t="s">
        <v>1842</v>
      </c>
      <c r="C19" s="156">
        <f>估价对象房地状况!G17</f>
        <v>0</v>
      </c>
      <c r="D19" s="786">
        <v>100</v>
      </c>
      <c r="E19" s="100"/>
      <c r="F19" s="791">
        <f>SUMIF(87:87,E20,88:88)-SUMIF(87:87,C20,88:88)+100</f>
        <v>100</v>
      </c>
      <c r="G19" s="100"/>
      <c r="H19" s="791">
        <f>SUMIF(87:87,G20,88:88)-SUMIF(87:87,C20,88:88)+100</f>
        <v>100</v>
      </c>
      <c r="I19" s="100"/>
      <c r="J19" s="791">
        <f>SUMIF(87:87,I20,88:88)-SUMIF(87:87,C20,88:88)+100</f>
        <v>100</v>
      </c>
      <c r="K19" s="1072"/>
      <c r="L19" s="2339"/>
      <c r="M19" s="2330"/>
      <c r="N19" s="2330"/>
      <c r="O19" s="2338"/>
      <c r="P19" s="3594"/>
      <c r="Q19" s="1313" t="str">
        <f t="shared" ref="Q19:Q33" si="8">B19</f>
        <v>区域土地利用方向</v>
      </c>
      <c r="R19" s="1314" t="s">
        <v>65</v>
      </c>
      <c r="S19" s="1315">
        <f>F19</f>
        <v>100</v>
      </c>
      <c r="T19" s="1314" t="s">
        <v>65</v>
      </c>
      <c r="U19" s="1315">
        <f>H19</f>
        <v>100</v>
      </c>
      <c r="V19" s="1314" t="s">
        <v>65</v>
      </c>
      <c r="W19" s="1315">
        <f>J19</f>
        <v>100</v>
      </c>
      <c r="X19" s="1308"/>
      <c r="Y19" s="3594"/>
      <c r="Z19" s="1316" t="str">
        <f>Q19</f>
        <v>区域土地利用方向</v>
      </c>
      <c r="AA19" s="1317">
        <f t="shared" si="3"/>
        <v>1</v>
      </c>
      <c r="AB19" s="1317">
        <f t="shared" si="4"/>
        <v>1</v>
      </c>
      <c r="AC19" s="1317">
        <f t="shared" si="5"/>
        <v>1</v>
      </c>
    </row>
    <row r="20" spans="1:29" ht="15">
      <c r="A20" s="743"/>
      <c r="B20" s="967"/>
      <c r="C20" s="97"/>
      <c r="D20" s="784"/>
      <c r="E20" s="98"/>
      <c r="F20" s="784"/>
      <c r="G20" s="98"/>
      <c r="H20" s="784"/>
      <c r="I20" s="98"/>
      <c r="J20" s="784"/>
      <c r="K20" s="1468"/>
      <c r="L20" s="2339"/>
      <c r="M20" s="2330"/>
      <c r="N20" s="2330"/>
      <c r="O20" s="2338"/>
      <c r="P20" s="3594"/>
      <c r="Q20" s="1459"/>
      <c r="R20" s="1314"/>
      <c r="S20" s="1315"/>
      <c r="T20" s="1314"/>
      <c r="U20" s="1315"/>
      <c r="V20" s="1314"/>
      <c r="W20" s="1315"/>
      <c r="X20" s="1458"/>
      <c r="Y20" s="3594"/>
      <c r="Z20" s="1460"/>
      <c r="AA20" s="1317"/>
      <c r="AB20" s="1317"/>
      <c r="AC20" s="1317"/>
    </row>
    <row r="21" spans="1:29" ht="81">
      <c r="A21" s="743"/>
      <c r="B21" s="966" t="s">
        <v>516</v>
      </c>
      <c r="C21" s="156" t="str">
        <f>估价对象房地状况!G18</f>
        <v>该园区内是否有污染型企业，绿化情况，卫生条件，整体环境状况判断</v>
      </c>
      <c r="D21" s="786">
        <v>100</v>
      </c>
      <c r="E21" s="100"/>
      <c r="F21" s="786">
        <f>SUMIF(89:89,E22,90:90)-SUMIF(89:89,C22,90:90)+100</f>
        <v>100</v>
      </c>
      <c r="G21" s="100"/>
      <c r="H21" s="786">
        <f>SUMIF(89:89,G22,90:90)-SUMIF(89:89,C22,90:90)+100</f>
        <v>100</v>
      </c>
      <c r="I21" s="101"/>
      <c r="J21" s="786">
        <f>SUMIF(89:89,I22,90:90)-SUMIF(89:89,C22,90:90)+100</f>
        <v>100</v>
      </c>
      <c r="K21" s="1072"/>
      <c r="L21" s="2339"/>
      <c r="M21" s="2330"/>
      <c r="N21" s="2330"/>
      <c r="O21" s="2338"/>
      <c r="P21" s="3594"/>
      <c r="Q21" s="1313" t="str">
        <f t="shared" si="8"/>
        <v>环境状况</v>
      </c>
      <c r="R21" s="1314" t="s">
        <v>65</v>
      </c>
      <c r="S21" s="1315">
        <f>F21</f>
        <v>100</v>
      </c>
      <c r="T21" s="1314" t="s">
        <v>65</v>
      </c>
      <c r="U21" s="1315">
        <f>H21</f>
        <v>100</v>
      </c>
      <c r="V21" s="1314" t="s">
        <v>65</v>
      </c>
      <c r="W21" s="1315">
        <f>J21</f>
        <v>100</v>
      </c>
      <c r="X21" s="1308"/>
      <c r="Y21" s="3594"/>
      <c r="Z21" s="1316" t="str">
        <f>Q21</f>
        <v>环境状况</v>
      </c>
      <c r="AA21" s="1317">
        <f t="shared" si="3"/>
        <v>1</v>
      </c>
      <c r="AB21" s="1317">
        <f t="shared" si="4"/>
        <v>1</v>
      </c>
      <c r="AC21" s="1317">
        <f t="shared" si="5"/>
        <v>1</v>
      </c>
    </row>
    <row r="22" spans="1:29" ht="15">
      <c r="A22" s="743"/>
      <c r="B22" s="967"/>
      <c r="C22" s="97"/>
      <c r="D22" s="784"/>
      <c r="E22" s="190"/>
      <c r="F22" s="784"/>
      <c r="G22" s="190"/>
      <c r="H22" s="784"/>
      <c r="I22" s="97"/>
      <c r="J22" s="784"/>
      <c r="K22" s="1071"/>
      <c r="L22" s="2339"/>
      <c r="M22" s="2330"/>
      <c r="N22" s="2330"/>
      <c r="O22" s="2338"/>
      <c r="P22" s="3594"/>
      <c r="Q22" s="1313"/>
      <c r="R22" s="1314"/>
      <c r="S22" s="1315"/>
      <c r="T22" s="1314"/>
      <c r="U22" s="1315"/>
      <c r="V22" s="1314"/>
      <c r="W22" s="1315"/>
      <c r="X22" s="1308"/>
      <c r="Y22" s="3594"/>
      <c r="Z22" s="1316"/>
      <c r="AA22" s="1317">
        <v>1</v>
      </c>
      <c r="AB22" s="1317">
        <v>1</v>
      </c>
      <c r="AC22" s="1317">
        <v>1</v>
      </c>
    </row>
    <row r="23" spans="1:29" s="404" customFormat="1" ht="40.5">
      <c r="A23" s="984"/>
      <c r="B23" s="1026" t="s">
        <v>2660</v>
      </c>
      <c r="C23" s="156" t="str">
        <f>估价对象房地状况!G19</f>
        <v>估价对象所在区域公共配套设施齐备情况</v>
      </c>
      <c r="D23" s="786">
        <v>100</v>
      </c>
      <c r="E23" s="100"/>
      <c r="F23" s="786">
        <f>SUMIF(91:91,E24,92:92)-SUMIF(91:91,C24,92:92)+100</f>
        <v>100</v>
      </c>
      <c r="G23" s="100"/>
      <c r="H23" s="786">
        <f>SUMIF(91:91,G24,92:92)-SUMIF(91:91,C24,92:92)+100</f>
        <v>100</v>
      </c>
      <c r="I23" s="101"/>
      <c r="J23" s="786">
        <f>SUMIF(91:91,I24,92:92)-SUMIF(91:91,C24,92:92)+100</f>
        <v>100</v>
      </c>
      <c r="K23" s="1072"/>
      <c r="L23" s="2331"/>
      <c r="M23" s="2332"/>
      <c r="N23" s="2332"/>
      <c r="O23" s="2333"/>
      <c r="P23" s="3594"/>
      <c r="Q23" s="294" t="str">
        <f t="shared" si="8"/>
        <v>公共配套设施</v>
      </c>
      <c r="R23" s="1309" t="s">
        <v>65</v>
      </c>
      <c r="S23" s="1310">
        <f>F23</f>
        <v>100</v>
      </c>
      <c r="T23" s="1309" t="s">
        <v>65</v>
      </c>
      <c r="U23" s="1310">
        <f>H23</f>
        <v>100</v>
      </c>
      <c r="V23" s="1309" t="s">
        <v>65</v>
      </c>
      <c r="W23" s="1310">
        <f>J23</f>
        <v>100</v>
      </c>
      <c r="X23" s="1311"/>
      <c r="Y23" s="3594"/>
      <c r="Z23" s="342" t="str">
        <f>Q23</f>
        <v>公共配套设施</v>
      </c>
      <c r="AA23" s="1317">
        <f>D23/F23</f>
        <v>1</v>
      </c>
      <c r="AB23" s="1317">
        <f>D23/H23</f>
        <v>1</v>
      </c>
      <c r="AC23" s="1317">
        <f>D23/J23</f>
        <v>1</v>
      </c>
    </row>
    <row r="24" spans="1:29" s="404" customFormat="1" ht="15">
      <c r="A24" s="984"/>
      <c r="B24" s="967"/>
      <c r="C24" s="2756"/>
      <c r="D24" s="784"/>
      <c r="E24" s="190"/>
      <c r="F24" s="784"/>
      <c r="G24" s="190"/>
      <c r="H24" s="784"/>
      <c r="I24" s="97"/>
      <c r="J24" s="784"/>
      <c r="K24" s="1071"/>
      <c r="L24" s="2331"/>
      <c r="M24" s="2332"/>
      <c r="N24" s="2332"/>
      <c r="O24" s="2333"/>
      <c r="P24" s="3594"/>
      <c r="Q24" s="294"/>
      <c r="R24" s="1309"/>
      <c r="S24" s="1310"/>
      <c r="T24" s="1309"/>
      <c r="U24" s="1310"/>
      <c r="V24" s="1309"/>
      <c r="W24" s="1310"/>
      <c r="X24" s="1311"/>
      <c r="Y24" s="3594"/>
      <c r="Z24" s="342"/>
      <c r="AA24" s="1312">
        <v>1</v>
      </c>
      <c r="AB24" s="1312">
        <v>1</v>
      </c>
      <c r="AC24" s="1312">
        <v>1</v>
      </c>
    </row>
    <row r="25" spans="1:29" s="404" customFormat="1" ht="40.5">
      <c r="A25" s="984"/>
      <c r="B25" s="1026" t="s">
        <v>2661</v>
      </c>
      <c r="C25" s="156" t="str">
        <f>估价对象房地状况!G20</f>
        <v>估价对象所在区域基础设施水平</v>
      </c>
      <c r="D25" s="786">
        <v>100</v>
      </c>
      <c r="E25" s="100"/>
      <c r="F25" s="786">
        <f>SUMIF(93:93,E26,94:94)-SUMIF(93:93,C26,94:94)+100</f>
        <v>100</v>
      </c>
      <c r="G25" s="100"/>
      <c r="H25" s="786">
        <f>SUMIF(93:93,G26,94:94)-SUMIF(93:93,C26,94:94)+100</f>
        <v>100</v>
      </c>
      <c r="I25" s="101"/>
      <c r="J25" s="786">
        <f>SUMIF(93:93,I26,94:94)-SUMIF(93:93,C26,94:94)+100</f>
        <v>100</v>
      </c>
      <c r="K25" s="1072"/>
      <c r="L25" s="2331"/>
      <c r="M25" s="2332"/>
      <c r="N25" s="2332"/>
      <c r="O25" s="2333"/>
      <c r="P25" s="3594"/>
      <c r="Q25" s="2725" t="str">
        <f t="shared" ref="Q25" si="9">B25</f>
        <v>基础设施水平</v>
      </c>
      <c r="R25" s="1309" t="s">
        <v>65</v>
      </c>
      <c r="S25" s="1310">
        <f>F25</f>
        <v>100</v>
      </c>
      <c r="T25" s="1309" t="s">
        <v>65</v>
      </c>
      <c r="U25" s="1310">
        <f>H25</f>
        <v>100</v>
      </c>
      <c r="V25" s="1309" t="s">
        <v>65</v>
      </c>
      <c r="W25" s="1310">
        <f>J25</f>
        <v>100</v>
      </c>
      <c r="X25" s="1311"/>
      <c r="Y25" s="3594"/>
      <c r="Z25" s="342" t="str">
        <f>Q25</f>
        <v>基础设施水平</v>
      </c>
      <c r="AA25" s="1317">
        <f>D25/F25</f>
        <v>1</v>
      </c>
      <c r="AB25" s="1317">
        <f>D25/H25</f>
        <v>1</v>
      </c>
      <c r="AC25" s="1317">
        <f>D25/J25</f>
        <v>1</v>
      </c>
    </row>
    <row r="26" spans="1:29" s="404" customFormat="1" ht="15">
      <c r="A26" s="984"/>
      <c r="B26" s="967"/>
      <c r="C26" s="2756"/>
      <c r="D26" s="784"/>
      <c r="E26" s="1027"/>
      <c r="F26" s="784"/>
      <c r="G26" s="1027"/>
      <c r="H26" s="784"/>
      <c r="I26" s="1027"/>
      <c r="J26" s="784"/>
      <c r="K26" s="1071"/>
      <c r="L26" s="2331"/>
      <c r="M26" s="2332"/>
      <c r="N26" s="2332"/>
      <c r="O26" s="2333"/>
      <c r="P26" s="3594"/>
      <c r="Q26" s="2725"/>
      <c r="R26" s="1309"/>
      <c r="S26" s="1310"/>
      <c r="T26" s="1309"/>
      <c r="U26" s="1310"/>
      <c r="V26" s="1309"/>
      <c r="W26" s="1310"/>
      <c r="X26" s="1311"/>
      <c r="Y26" s="3594"/>
      <c r="Z26" s="342"/>
      <c r="AA26" s="1312">
        <v>1</v>
      </c>
      <c r="AB26" s="1312">
        <v>1</v>
      </c>
      <c r="AC26" s="1312">
        <v>1</v>
      </c>
    </row>
    <row r="27" spans="1:29" ht="15">
      <c r="A27" s="764"/>
      <c r="B27" s="967" t="s">
        <v>434</v>
      </c>
      <c r="C27" s="180"/>
      <c r="D27" s="771">
        <v>100</v>
      </c>
      <c r="E27" s="193"/>
      <c r="F27" s="771">
        <f>SUMIF(95:95,E27,96:96)-SUMIF(95:95,C27,96:96)+100</f>
        <v>100</v>
      </c>
      <c r="G27" s="193"/>
      <c r="H27" s="771">
        <f>SUMIF(95:95,G27,96:96)-SUMIF(95:95,C27,96:96)+100</f>
        <v>100</v>
      </c>
      <c r="I27" s="193"/>
      <c r="J27" s="771">
        <f>SUMIF(95:95,I27,96:96)-SUMIF(95:95,C27,96:96)+100</f>
        <v>100</v>
      </c>
      <c r="K27" s="1072"/>
      <c r="L27" s="2339"/>
      <c r="M27" s="2330"/>
      <c r="N27" s="2330"/>
      <c r="O27" s="2338"/>
      <c r="P27" s="3594"/>
      <c r="Q27" s="1313" t="str">
        <f t="shared" si="8"/>
        <v>临街状况</v>
      </c>
      <c r="R27" s="1314" t="s">
        <v>65</v>
      </c>
      <c r="S27" s="1315">
        <f t="shared" ref="S27:S40" si="10">F27</f>
        <v>100</v>
      </c>
      <c r="T27" s="1314" t="s">
        <v>65</v>
      </c>
      <c r="U27" s="1315">
        <f t="shared" ref="U27:U40" si="11">H27</f>
        <v>100</v>
      </c>
      <c r="V27" s="1314" t="s">
        <v>65</v>
      </c>
      <c r="W27" s="1315">
        <f t="shared" ref="W27:W40" si="12">J27</f>
        <v>100</v>
      </c>
      <c r="X27" s="1308"/>
      <c r="Y27" s="3594"/>
      <c r="Z27" s="1316" t="str">
        <f t="shared" ref="Z27:Z40" si="13">Q27</f>
        <v>临街状况</v>
      </c>
      <c r="AA27" s="1317">
        <f t="shared" si="3"/>
        <v>1</v>
      </c>
      <c r="AB27" s="1317">
        <f t="shared" si="4"/>
        <v>1</v>
      </c>
      <c r="AC27" s="1317">
        <f t="shared" si="5"/>
        <v>1</v>
      </c>
    </row>
    <row r="28" spans="1:29" ht="27">
      <c r="A28" s="764"/>
      <c r="B28" s="968" t="s">
        <v>439</v>
      </c>
      <c r="C28" s="2757">
        <f>估价对象房地状况!G22</f>
        <v>0</v>
      </c>
      <c r="D28" s="786">
        <v>100</v>
      </c>
      <c r="E28" s="100"/>
      <c r="F28" s="786">
        <f>SUMIF(97:97,E29,98:98)-SUMIF(97:97,C29,98:98)+100</f>
        <v>100</v>
      </c>
      <c r="G28" s="100"/>
      <c r="H28" s="786">
        <f>SUMIF(97:97,G29,98:98)-SUMIF(97:97,C29,98:98)+100</f>
        <v>100</v>
      </c>
      <c r="I28" s="101"/>
      <c r="J28" s="786">
        <f>SUMIF(97:97,I29,98:98)-SUMIF(97:97,C29,98:98)+100</f>
        <v>100</v>
      </c>
      <c r="K28" s="1072"/>
      <c r="L28" s="2339"/>
      <c r="M28" s="2330"/>
      <c r="N28" s="2330"/>
      <c r="O28" s="2338"/>
      <c r="P28" s="3594"/>
      <c r="Q28" s="1313" t="str">
        <f t="shared" si="8"/>
        <v>毗邻道路的类型与等级</v>
      </c>
      <c r="R28" s="1314" t="s">
        <v>65</v>
      </c>
      <c r="S28" s="1315">
        <f t="shared" si="10"/>
        <v>100</v>
      </c>
      <c r="T28" s="1314" t="s">
        <v>65</v>
      </c>
      <c r="U28" s="1315">
        <f t="shared" si="11"/>
        <v>100</v>
      </c>
      <c r="V28" s="1314" t="s">
        <v>65</v>
      </c>
      <c r="W28" s="1315">
        <f t="shared" si="12"/>
        <v>100</v>
      </c>
      <c r="X28" s="1308"/>
      <c r="Y28" s="3594"/>
      <c r="Z28" s="1316" t="str">
        <f t="shared" si="13"/>
        <v>毗邻道路的类型与等级</v>
      </c>
      <c r="AA28" s="1317">
        <f t="shared" si="3"/>
        <v>1</v>
      </c>
      <c r="AB28" s="1317">
        <f t="shared" si="4"/>
        <v>1</v>
      </c>
      <c r="AC28" s="1317">
        <f t="shared" si="5"/>
        <v>1</v>
      </c>
    </row>
    <row r="29" spans="1:29" ht="15">
      <c r="A29" s="764"/>
      <c r="B29" s="967"/>
      <c r="C29" s="97"/>
      <c r="D29" s="784"/>
      <c r="E29" s="190"/>
      <c r="F29" s="784"/>
      <c r="G29" s="190"/>
      <c r="H29" s="784"/>
      <c r="I29" s="190"/>
      <c r="J29" s="784"/>
      <c r="K29" s="948"/>
      <c r="L29" s="2339"/>
      <c r="M29" s="2330"/>
      <c r="N29" s="2330"/>
      <c r="O29" s="2338"/>
      <c r="P29" s="3594"/>
      <c r="Q29" s="1313"/>
      <c r="R29" s="1314"/>
      <c r="S29" s="1315"/>
      <c r="T29" s="1314"/>
      <c r="U29" s="1315"/>
      <c r="V29" s="1314"/>
      <c r="W29" s="1315"/>
      <c r="X29" s="1308"/>
      <c r="Y29" s="3594"/>
      <c r="Z29" s="1316"/>
      <c r="AA29" s="1317">
        <v>1</v>
      </c>
      <c r="AB29" s="1317">
        <v>1</v>
      </c>
      <c r="AC29" s="1317">
        <v>1</v>
      </c>
    </row>
    <row r="30" spans="1:29" ht="15">
      <c r="A30" s="764"/>
      <c r="B30" s="989" t="s">
        <v>482</v>
      </c>
      <c r="C30" s="2758">
        <f>估价对象房地状况!G23</f>
        <v>0</v>
      </c>
      <c r="D30" s="771">
        <v>100</v>
      </c>
      <c r="E30" s="969"/>
      <c r="F30" s="771">
        <f>SUMIF(99:99,E30,100:100)-SUMIF(99:99,C30,100:100)+100</f>
        <v>100</v>
      </c>
      <c r="G30" s="969"/>
      <c r="H30" s="771">
        <f>SUMIF(99:99,G30,100:100)-SUMIF(99:99,C30,100:100)+100</f>
        <v>100</v>
      </c>
      <c r="I30" s="969"/>
      <c r="J30" s="771">
        <f>SUMIF(99:99,I30,100:100)-SUMIF(99:99,C30,100:100)+100</f>
        <v>100</v>
      </c>
      <c r="K30" s="947"/>
      <c r="L30" s="2339"/>
      <c r="M30" s="2330"/>
      <c r="N30" s="2330"/>
      <c r="O30" s="2338"/>
      <c r="P30" s="3594"/>
      <c r="Q30" s="1313" t="str">
        <f t="shared" si="8"/>
        <v>土地级别</v>
      </c>
      <c r="R30" s="1314" t="s">
        <v>65</v>
      </c>
      <c r="S30" s="1315">
        <f t="shared" si="10"/>
        <v>100</v>
      </c>
      <c r="T30" s="1314" t="s">
        <v>65</v>
      </c>
      <c r="U30" s="1315">
        <f t="shared" si="11"/>
        <v>100</v>
      </c>
      <c r="V30" s="1314" t="s">
        <v>65</v>
      </c>
      <c r="W30" s="1315">
        <f t="shared" si="12"/>
        <v>100</v>
      </c>
      <c r="X30" s="1308"/>
      <c r="Y30" s="3594"/>
      <c r="Z30" s="1316" t="str">
        <f t="shared" si="13"/>
        <v>土地级别</v>
      </c>
      <c r="AA30" s="1317">
        <f t="shared" si="3"/>
        <v>1</v>
      </c>
      <c r="AB30" s="1317">
        <f t="shared" si="4"/>
        <v>1</v>
      </c>
      <c r="AC30" s="1317">
        <f t="shared" si="5"/>
        <v>1</v>
      </c>
    </row>
    <row r="31" spans="1:29" ht="15">
      <c r="A31" s="743"/>
      <c r="B31" s="1028">
        <v>111</v>
      </c>
      <c r="C31" s="201"/>
      <c r="D31" s="771">
        <v>100</v>
      </c>
      <c r="E31" s="112"/>
      <c r="F31" s="771">
        <f>SUMIF(101:101,E31,102:102)-SUMIF(101:101,C31,102:102)+100</f>
        <v>100</v>
      </c>
      <c r="G31" s="112"/>
      <c r="H31" s="771">
        <f>SUMIF(101:101,G31,102:102)-SUMIF(101:101,C31,102:102)+100</f>
        <v>100</v>
      </c>
      <c r="I31" s="124"/>
      <c r="J31" s="771">
        <f>SUMIF(101:101,I31,102:102)-SUMIF(101:101,C31,102:102)+100</f>
        <v>100</v>
      </c>
      <c r="K31" s="948"/>
      <c r="L31" s="2339"/>
      <c r="M31" s="2330"/>
      <c r="N31" s="2330"/>
      <c r="O31" s="2338"/>
      <c r="P31" s="3594"/>
      <c r="Q31" s="1313">
        <f t="shared" si="8"/>
        <v>111</v>
      </c>
      <c r="R31" s="1314" t="s">
        <v>65</v>
      </c>
      <c r="S31" s="1315">
        <f t="shared" si="10"/>
        <v>100</v>
      </c>
      <c r="T31" s="1314" t="s">
        <v>65</v>
      </c>
      <c r="U31" s="1315">
        <f t="shared" si="11"/>
        <v>100</v>
      </c>
      <c r="V31" s="1314" t="s">
        <v>65</v>
      </c>
      <c r="W31" s="1315">
        <f t="shared" si="12"/>
        <v>100</v>
      </c>
      <c r="X31" s="1308"/>
      <c r="Y31" s="3594"/>
      <c r="Z31" s="1316">
        <f t="shared" si="13"/>
        <v>111</v>
      </c>
      <c r="AA31" s="1317">
        <f t="shared" si="3"/>
        <v>1</v>
      </c>
      <c r="AB31" s="1317">
        <f t="shared" si="4"/>
        <v>1</v>
      </c>
      <c r="AC31" s="1317">
        <f t="shared" si="5"/>
        <v>1</v>
      </c>
    </row>
    <row r="32" spans="1:29" ht="15">
      <c r="A32" s="1074"/>
      <c r="B32" s="202">
        <v>111</v>
      </c>
      <c r="C32" s="201"/>
      <c r="D32" s="771">
        <v>100</v>
      </c>
      <c r="E32" s="112"/>
      <c r="F32" s="771">
        <f>SUMIF(103:103,E33,104:104)-SUMIF(103:103,C33,104:104)+100</f>
        <v>100</v>
      </c>
      <c r="G32" s="112"/>
      <c r="H32" s="771">
        <f>SUMIF(103:103,G32,104:104)-SUMIF(103:103,C32,104:104)+100</f>
        <v>100</v>
      </c>
      <c r="I32" s="201"/>
      <c r="J32" s="771">
        <f>SUMIF(103:103,I32,104:104)-SUMIF(103:103,C32,104:104)+100</f>
        <v>100</v>
      </c>
      <c r="K32" s="948"/>
      <c r="L32" s="2339"/>
      <c r="M32" s="2330"/>
      <c r="N32" s="2330"/>
      <c r="O32" s="2338"/>
      <c r="P32" s="3595" t="s">
        <v>406</v>
      </c>
      <c r="Q32" s="1313">
        <f t="shared" si="8"/>
        <v>111</v>
      </c>
      <c r="R32" s="1314" t="s">
        <v>65</v>
      </c>
      <c r="S32" s="1315">
        <f t="shared" si="10"/>
        <v>100</v>
      </c>
      <c r="T32" s="1314" t="s">
        <v>65</v>
      </c>
      <c r="U32" s="1315">
        <f t="shared" si="11"/>
        <v>100</v>
      </c>
      <c r="V32" s="1314" t="s">
        <v>65</v>
      </c>
      <c r="W32" s="1315">
        <f t="shared" si="12"/>
        <v>100</v>
      </c>
      <c r="X32" s="1308"/>
      <c r="Y32" s="3596" t="s">
        <v>406</v>
      </c>
      <c r="Z32" s="1316">
        <f t="shared" si="13"/>
        <v>111</v>
      </c>
      <c r="AA32" s="1317">
        <f t="shared" si="3"/>
        <v>1</v>
      </c>
      <c r="AB32" s="1317">
        <f t="shared" si="4"/>
        <v>1</v>
      </c>
      <c r="AC32" s="1317">
        <f t="shared" si="5"/>
        <v>1</v>
      </c>
    </row>
    <row r="33" spans="1:29" s="806" customFormat="1" ht="15.75" thickBot="1">
      <c r="A33" s="1075"/>
      <c r="B33" s="3277">
        <v>111</v>
      </c>
      <c r="C33" s="203"/>
      <c r="D33" s="423">
        <v>100</v>
      </c>
      <c r="E33" s="283"/>
      <c r="F33" s="774">
        <f>SUMIF(105:105,E33,106:106)-SUMIF(105:105,C33,106:106)+100</f>
        <v>100</v>
      </c>
      <c r="G33" s="283"/>
      <c r="H33" s="774">
        <f>SUMIF(105:105,G33,106:106)-SUMIF(105:105,C33,106:106)+100</f>
        <v>100</v>
      </c>
      <c r="I33" s="203"/>
      <c r="J33" s="774">
        <f>SUMIF(105:105,I33,106:106)-SUMIF(105:105,C33,106:106)+100</f>
        <v>100</v>
      </c>
      <c r="K33" s="948"/>
      <c r="L33" s="2337"/>
      <c r="M33" s="2340"/>
      <c r="N33" s="2340"/>
      <c r="O33" s="2341"/>
      <c r="P33" s="3596"/>
      <c r="Q33" s="1313">
        <f t="shared" si="8"/>
        <v>111</v>
      </c>
      <c r="R33" s="1319" t="s">
        <v>65</v>
      </c>
      <c r="S33" s="1320">
        <f t="shared" si="10"/>
        <v>100</v>
      </c>
      <c r="T33" s="1319" t="s">
        <v>65</v>
      </c>
      <c r="U33" s="1320">
        <f t="shared" si="11"/>
        <v>100</v>
      </c>
      <c r="V33" s="1319" t="s">
        <v>65</v>
      </c>
      <c r="W33" s="1320">
        <f t="shared" si="12"/>
        <v>100</v>
      </c>
      <c r="X33" s="1321"/>
      <c r="Y33" s="3596"/>
      <c r="Z33" s="1322">
        <f t="shared" si="13"/>
        <v>111</v>
      </c>
      <c r="AA33" s="1317">
        <f t="shared" si="3"/>
        <v>1</v>
      </c>
      <c r="AB33" s="1317">
        <f t="shared" si="4"/>
        <v>1</v>
      </c>
      <c r="AC33" s="1317">
        <f t="shared" si="5"/>
        <v>1</v>
      </c>
    </row>
    <row r="34" spans="1:29" ht="15">
      <c r="A34" s="776" t="s">
        <v>2786</v>
      </c>
      <c r="B34" s="792" t="s">
        <v>483</v>
      </c>
      <c r="C34" s="1078"/>
      <c r="D34" s="802">
        <v>100</v>
      </c>
      <c r="E34" s="1078"/>
      <c r="F34" s="802" t="e">
        <f>LOOKUP(E34,108:108,109:109)-LOOKUP(C34,108:108,109:109)+100</f>
        <v>#N/A</v>
      </c>
      <c r="G34" s="1078"/>
      <c r="H34" s="802" t="e">
        <f>LOOKUP(G34,108:108,109:109)-LOOKUP(C34,108:108,109:109)+100</f>
        <v>#N/A</v>
      </c>
      <c r="I34" s="865"/>
      <c r="J34" s="802" t="e">
        <f>LOOKUP(I34,108:108,109:109)-LOOKUP(C34,108:108,109:109)+100</f>
        <v>#N/A</v>
      </c>
      <c r="K34" s="948"/>
      <c r="L34" s="2339"/>
      <c r="M34" s="2330"/>
      <c r="N34" s="2330"/>
      <c r="O34" s="2338"/>
      <c r="P34" s="3596"/>
      <c r="Q34" s="1313" t="str">
        <f>B34</f>
        <v>宗地面积</v>
      </c>
      <c r="R34" s="1314" t="s">
        <v>65</v>
      </c>
      <c r="S34" s="1315" t="e">
        <f t="shared" si="10"/>
        <v>#N/A</v>
      </c>
      <c r="T34" s="1314" t="s">
        <v>65</v>
      </c>
      <c r="U34" s="1315" t="e">
        <f t="shared" si="11"/>
        <v>#N/A</v>
      </c>
      <c r="V34" s="1314" t="s">
        <v>65</v>
      </c>
      <c r="W34" s="1315" t="e">
        <f t="shared" si="12"/>
        <v>#N/A</v>
      </c>
      <c r="X34" s="1308"/>
      <c r="Y34" s="3596"/>
      <c r="Z34" s="1316" t="str">
        <f t="shared" si="13"/>
        <v>宗地面积</v>
      </c>
      <c r="AA34" s="1317" t="e">
        <f t="shared" si="3"/>
        <v>#N/A</v>
      </c>
      <c r="AB34" s="1317" t="e">
        <f t="shared" si="4"/>
        <v>#N/A</v>
      </c>
      <c r="AC34" s="1317" t="e">
        <f t="shared" si="5"/>
        <v>#N/A</v>
      </c>
    </row>
    <row r="35" spans="1:29" ht="15">
      <c r="A35" s="807"/>
      <c r="B35" s="759" t="s">
        <v>484</v>
      </c>
      <c r="C35" s="109"/>
      <c r="D35" s="771">
        <v>100</v>
      </c>
      <c r="E35" s="109"/>
      <c r="F35" s="771">
        <f>SUMIF(110:110,E35,111:111)-SUMIF(110:110,C35,111:111)+100</f>
        <v>100</v>
      </c>
      <c r="G35" s="109"/>
      <c r="H35" s="771">
        <f>SUMIF(110:110,G35,111:111)-SUMIF(110:110,C35,111:111)+100</f>
        <v>100</v>
      </c>
      <c r="I35" s="109"/>
      <c r="J35" s="771">
        <f>SUMIF(110:110,I35,111:111)-SUMIF(110:110,C35,111:111)+100</f>
        <v>100</v>
      </c>
      <c r="K35" s="947"/>
      <c r="L35" s="2339"/>
      <c r="M35" s="2330"/>
      <c r="N35" s="2330"/>
      <c r="O35" s="2338"/>
      <c r="P35" s="3596"/>
      <c r="Q35" s="1313" t="str">
        <f t="shared" ref="Q35:Q40" si="14">B35</f>
        <v>宗地形状</v>
      </c>
      <c r="R35" s="1314" t="s">
        <v>65</v>
      </c>
      <c r="S35" s="1315">
        <f t="shared" si="10"/>
        <v>100</v>
      </c>
      <c r="T35" s="1314" t="s">
        <v>65</v>
      </c>
      <c r="U35" s="1315">
        <f t="shared" si="11"/>
        <v>100</v>
      </c>
      <c r="V35" s="1314" t="s">
        <v>65</v>
      </c>
      <c r="W35" s="1315">
        <f t="shared" si="12"/>
        <v>100</v>
      </c>
      <c r="X35" s="1308"/>
      <c r="Y35" s="3596"/>
      <c r="Z35" s="1316" t="str">
        <f t="shared" si="13"/>
        <v>宗地形状</v>
      </c>
      <c r="AA35" s="1317">
        <f t="shared" si="3"/>
        <v>1</v>
      </c>
      <c r="AB35" s="1317">
        <f t="shared" si="4"/>
        <v>1</v>
      </c>
      <c r="AC35" s="1317">
        <f t="shared" si="5"/>
        <v>1</v>
      </c>
    </row>
    <row r="36" spans="1:29" s="404" customFormat="1" ht="15">
      <c r="A36" s="808"/>
      <c r="B36" s="2591" t="s">
        <v>2493</v>
      </c>
      <c r="C36" s="1032"/>
      <c r="D36" s="422">
        <v>100</v>
      </c>
      <c r="E36" s="1032"/>
      <c r="F36" s="771">
        <f>SUMIF(112:112,E36,113:113)-SUMIF(112:112,C36,113:113)+100</f>
        <v>100</v>
      </c>
      <c r="G36" s="1032"/>
      <c r="H36" s="771">
        <f>SUMIF(112:112,G36,113:113)-SUMIF(112:112,C36,113:113)+100</f>
        <v>100</v>
      </c>
      <c r="I36" s="1032"/>
      <c r="J36" s="771">
        <f>SUMIF(112:112,I36,113:113)-SUMIF(112:112,C36,113:113)+100</f>
        <v>100</v>
      </c>
      <c r="K36" s="947"/>
      <c r="L36" s="2331"/>
      <c r="M36" s="2332"/>
      <c r="N36" s="2332"/>
      <c r="O36" s="2333"/>
      <c r="P36" s="3596"/>
      <c r="Q36" s="1313" t="str">
        <f t="shared" si="14"/>
        <v>宗地开发程度</v>
      </c>
      <c r="R36" s="1309" t="s">
        <v>65</v>
      </c>
      <c r="S36" s="1310">
        <f t="shared" si="10"/>
        <v>100</v>
      </c>
      <c r="T36" s="1309" t="s">
        <v>65</v>
      </c>
      <c r="U36" s="1310">
        <f t="shared" si="11"/>
        <v>100</v>
      </c>
      <c r="V36" s="1309" t="s">
        <v>65</v>
      </c>
      <c r="W36" s="1310">
        <f t="shared" si="12"/>
        <v>100</v>
      </c>
      <c r="X36" s="1311"/>
      <c r="Y36" s="3596"/>
      <c r="Z36" s="342" t="str">
        <f t="shared" si="13"/>
        <v>宗地开发程度</v>
      </c>
      <c r="AA36" s="1312">
        <f t="shared" si="3"/>
        <v>1</v>
      </c>
      <c r="AB36" s="1312">
        <f t="shared" si="4"/>
        <v>1</v>
      </c>
      <c r="AC36" s="1312">
        <f t="shared" si="5"/>
        <v>1</v>
      </c>
    </row>
    <row r="37" spans="1:29" ht="15">
      <c r="A37" s="807"/>
      <c r="B37" s="759" t="s">
        <v>486</v>
      </c>
      <c r="C37" s="109"/>
      <c r="D37" s="771">
        <v>100</v>
      </c>
      <c r="E37" s="109"/>
      <c r="F37" s="771">
        <f>SUMIF(114:114,E37,115:115)-SUMIF(114:114,C37,115:115)+100</f>
        <v>100</v>
      </c>
      <c r="G37" s="109"/>
      <c r="H37" s="771">
        <f>SUMIF(114:114,G37,115:115)-SUMIF(114:114,C37,115:115)+100</f>
        <v>100</v>
      </c>
      <c r="I37" s="109"/>
      <c r="J37" s="771">
        <f>SUMIF(114:114,I37,115:115)-SUMIF(114:114,C37,115:115)+100</f>
        <v>100</v>
      </c>
      <c r="K37" s="947"/>
      <c r="L37" s="2339"/>
      <c r="M37" s="2330"/>
      <c r="N37" s="2330"/>
      <c r="O37" s="2338"/>
      <c r="P37" s="3596" t="s">
        <v>517</v>
      </c>
      <c r="Q37" s="1313" t="str">
        <f t="shared" si="14"/>
        <v>工程地质条件</v>
      </c>
      <c r="R37" s="1314" t="s">
        <v>65</v>
      </c>
      <c r="S37" s="1315">
        <f t="shared" si="10"/>
        <v>100</v>
      </c>
      <c r="T37" s="1314" t="s">
        <v>65</v>
      </c>
      <c r="U37" s="1315">
        <f t="shared" si="11"/>
        <v>100</v>
      </c>
      <c r="V37" s="1314" t="s">
        <v>65</v>
      </c>
      <c r="W37" s="1315">
        <f t="shared" si="12"/>
        <v>100</v>
      </c>
      <c r="X37" s="1308"/>
      <c r="Y37" s="3596" t="s">
        <v>517</v>
      </c>
      <c r="Z37" s="1316" t="str">
        <f t="shared" si="13"/>
        <v>工程地质条件</v>
      </c>
      <c r="AA37" s="1317">
        <f t="shared" si="3"/>
        <v>1</v>
      </c>
      <c r="AB37" s="1317">
        <f t="shared" si="4"/>
        <v>1</v>
      </c>
      <c r="AC37" s="1317">
        <f t="shared" si="5"/>
        <v>1</v>
      </c>
    </row>
    <row r="38" spans="1:29" ht="15">
      <c r="A38" s="807"/>
      <c r="B38" s="204">
        <v>111</v>
      </c>
      <c r="C38" s="201"/>
      <c r="D38" s="771">
        <v>100</v>
      </c>
      <c r="E38" s="201"/>
      <c r="F38" s="771">
        <f>SUMIF(116:116,E38,117:117)-SUMIF(116:116,C38,117:117)+100</f>
        <v>100</v>
      </c>
      <c r="G38" s="201"/>
      <c r="H38" s="771">
        <f>SUMIF(116:116,G38,117:117)-SUMIF(116:116,C38,117:117)+100</f>
        <v>100</v>
      </c>
      <c r="I38" s="124"/>
      <c r="J38" s="771">
        <f>SUMIF(116:116,I38,117:117)-SUMIF(116:116,C38,117:117)+100</f>
        <v>100</v>
      </c>
      <c r="K38" s="948"/>
      <c r="L38" s="2339"/>
      <c r="M38" s="2330"/>
      <c r="N38" s="2330"/>
      <c r="O38" s="2338"/>
      <c r="P38" s="3596"/>
      <c r="Q38" s="1313">
        <f t="shared" si="14"/>
        <v>111</v>
      </c>
      <c r="R38" s="1314" t="s">
        <v>65</v>
      </c>
      <c r="S38" s="1315">
        <f t="shared" si="10"/>
        <v>100</v>
      </c>
      <c r="T38" s="1314" t="s">
        <v>65</v>
      </c>
      <c r="U38" s="1315">
        <f t="shared" si="11"/>
        <v>100</v>
      </c>
      <c r="V38" s="1314" t="s">
        <v>65</v>
      </c>
      <c r="W38" s="1315">
        <f t="shared" si="12"/>
        <v>100</v>
      </c>
      <c r="X38" s="1308"/>
      <c r="Y38" s="3596"/>
      <c r="Z38" s="1316">
        <f t="shared" si="13"/>
        <v>111</v>
      </c>
      <c r="AA38" s="1317">
        <f t="shared" si="3"/>
        <v>1</v>
      </c>
      <c r="AB38" s="1317">
        <f t="shared" si="4"/>
        <v>1</v>
      </c>
      <c r="AC38" s="1317">
        <f t="shared" si="5"/>
        <v>1</v>
      </c>
    </row>
    <row r="39" spans="1:29" ht="15">
      <c r="A39" s="807"/>
      <c r="B39" s="204">
        <v>111</v>
      </c>
      <c r="C39" s="201"/>
      <c r="D39" s="771">
        <v>100</v>
      </c>
      <c r="E39" s="201"/>
      <c r="F39" s="771">
        <f>SUMIF(118:118,E39,119:119)-SUMIF(118:118,C39,119:119)+100</f>
        <v>100</v>
      </c>
      <c r="G39" s="201"/>
      <c r="H39" s="771">
        <f>SUMIF(118:118,G39,119:119)-SUMIF(118:118,C39,119:119)+100</f>
        <v>100</v>
      </c>
      <c r="I39" s="124"/>
      <c r="J39" s="771">
        <f>SUMIF(118:118,I39,119:119)-SUMIF(118:118,C39,119:119)+100</f>
        <v>100</v>
      </c>
      <c r="K39" s="948"/>
      <c r="L39" s="2339"/>
      <c r="M39" s="2330"/>
      <c r="N39" s="2330"/>
      <c r="O39" s="2338"/>
      <c r="P39" s="3596"/>
      <c r="Q39" s="1313">
        <f t="shared" si="14"/>
        <v>111</v>
      </c>
      <c r="R39" s="1314" t="s">
        <v>65</v>
      </c>
      <c r="S39" s="1315">
        <f t="shared" si="10"/>
        <v>100</v>
      </c>
      <c r="T39" s="1314" t="s">
        <v>65</v>
      </c>
      <c r="U39" s="1315">
        <f t="shared" si="11"/>
        <v>100</v>
      </c>
      <c r="V39" s="1314" t="s">
        <v>65</v>
      </c>
      <c r="W39" s="1315">
        <f t="shared" si="12"/>
        <v>100</v>
      </c>
      <c r="X39" s="1308"/>
      <c r="Y39" s="3596"/>
      <c r="Z39" s="1316">
        <f t="shared" si="13"/>
        <v>111</v>
      </c>
      <c r="AA39" s="1317">
        <f t="shared" si="3"/>
        <v>1</v>
      </c>
      <c r="AB39" s="1317">
        <f t="shared" si="4"/>
        <v>1</v>
      </c>
      <c r="AC39" s="1317">
        <f t="shared" si="5"/>
        <v>1</v>
      </c>
    </row>
    <row r="40" spans="1:29" s="806" customFormat="1" ht="15.75" thickBot="1">
      <c r="A40" s="803"/>
      <c r="B40" s="204">
        <v>111</v>
      </c>
      <c r="C40" s="1034"/>
      <c r="D40" s="423">
        <v>100</v>
      </c>
      <c r="E40" s="201"/>
      <c r="F40" s="774">
        <f>SUMIF(120:120,E40,121:121)-SUMIF(120:120,C40,121:121)+100</f>
        <v>100</v>
      </c>
      <c r="G40" s="201"/>
      <c r="H40" s="774">
        <f>SUMIF(120:120,G40,121:121)-SUMIF(120:120,C40,121:121)+100</f>
        <v>100</v>
      </c>
      <c r="I40" s="124"/>
      <c r="J40" s="774">
        <f>SUMIF(120:120,I40,121:121)-SUMIF(120:120,C40,121:121)+100</f>
        <v>100</v>
      </c>
      <c r="K40" s="1080"/>
      <c r="L40" s="2337"/>
      <c r="M40" s="2340"/>
      <c r="N40" s="2340"/>
      <c r="O40" s="2341"/>
      <c r="P40" s="3596"/>
      <c r="Q40" s="1313">
        <f t="shared" si="14"/>
        <v>111</v>
      </c>
      <c r="R40" s="1319" t="s">
        <v>65</v>
      </c>
      <c r="S40" s="1320">
        <f t="shared" si="10"/>
        <v>100</v>
      </c>
      <c r="T40" s="1319" t="s">
        <v>65</v>
      </c>
      <c r="U40" s="1320">
        <f t="shared" si="11"/>
        <v>100</v>
      </c>
      <c r="V40" s="1319" t="s">
        <v>65</v>
      </c>
      <c r="W40" s="1320">
        <f t="shared" si="12"/>
        <v>100</v>
      </c>
      <c r="X40" s="1321"/>
      <c r="Y40" s="3596"/>
      <c r="Z40" s="1322">
        <f t="shared" si="13"/>
        <v>111</v>
      </c>
      <c r="AA40" s="1317">
        <f t="shared" si="3"/>
        <v>1</v>
      </c>
      <c r="AB40" s="1317">
        <f t="shared" si="4"/>
        <v>1</v>
      </c>
      <c r="AC40" s="1317">
        <f t="shared" si="5"/>
        <v>1</v>
      </c>
    </row>
    <row r="41" spans="1:29" ht="15">
      <c r="A41" s="814" t="s">
        <v>487</v>
      </c>
      <c r="B41" s="205" t="s">
        <v>3011</v>
      </c>
      <c r="C41" s="1081" t="s">
        <v>23</v>
      </c>
      <c r="D41" s="816"/>
      <c r="E41" s="817"/>
      <c r="F41" s="818"/>
      <c r="G41" s="819"/>
      <c r="H41" s="820"/>
      <c r="I41" s="817"/>
      <c r="J41" s="820"/>
      <c r="K41" s="1389"/>
      <c r="L41" s="2342"/>
      <c r="M41" s="2330"/>
      <c r="N41" s="2330"/>
      <c r="O41" s="2343"/>
      <c r="P41" s="3592" t="str">
        <f>A41</f>
        <v>成交单价</v>
      </c>
      <c r="Q41" s="3592"/>
      <c r="R41" s="3597">
        <f>E41</f>
        <v>0</v>
      </c>
      <c r="S41" s="3597"/>
      <c r="T41" s="3597">
        <f>G41</f>
        <v>0</v>
      </c>
      <c r="U41" s="3597"/>
      <c r="V41" s="3597">
        <f>I41</f>
        <v>0</v>
      </c>
      <c r="W41" s="3597"/>
      <c r="X41" s="1297"/>
      <c r="Y41" s="1323"/>
      <c r="Z41" s="1297"/>
      <c r="AA41" s="1297"/>
      <c r="AB41" s="1297"/>
      <c r="AC41" s="1297"/>
    </row>
    <row r="42" spans="1:29" ht="15.75" thickBot="1">
      <c r="A42" s="821" t="s">
        <v>408</v>
      </c>
      <c r="B42" s="1082"/>
      <c r="C42" s="825" t="e">
        <f>R43</f>
        <v>#DIV/0!</v>
      </c>
      <c r="D42" s="824"/>
      <c r="E42" s="825" t="e">
        <f>R42</f>
        <v>#DIV/0!</v>
      </c>
      <c r="F42" s="826"/>
      <c r="G42" s="823" t="e">
        <f>T42</f>
        <v>#DIV/0!</v>
      </c>
      <c r="H42" s="824"/>
      <c r="I42" s="825" t="e">
        <f>V42</f>
        <v>#DIV/0!</v>
      </c>
      <c r="J42" s="824"/>
      <c r="K42" s="1390"/>
      <c r="L42" s="2342"/>
      <c r="M42" s="2330"/>
      <c r="N42" s="2330"/>
      <c r="O42" s="2343"/>
      <c r="P42" s="3592" t="str">
        <f>A42</f>
        <v>比较价值（元/平方米）</v>
      </c>
      <c r="Q42" s="3592"/>
      <c r="R42" s="3583" t="e">
        <f>ROUND(PRODUCT(R41,AA7:AA40),0)</f>
        <v>#DIV/0!</v>
      </c>
      <c r="S42" s="3583"/>
      <c r="T42" s="3583" t="e">
        <f>ROUND(PRODUCT(T41,AB7:AB40),0)</f>
        <v>#DIV/0!</v>
      </c>
      <c r="U42" s="3583"/>
      <c r="V42" s="3583" t="e">
        <f>ROUND(PRODUCT(V41,AC7:AC40),0)</f>
        <v>#DIV/0!</v>
      </c>
      <c r="W42" s="3583"/>
      <c r="X42" s="1297"/>
      <c r="Y42" s="1297"/>
      <c r="Z42" s="1297"/>
      <c r="AA42" s="1297"/>
      <c r="AB42" s="1297"/>
      <c r="AC42" s="1297"/>
    </row>
    <row r="43" spans="1:29" ht="15.75" thickBot="1">
      <c r="A43" s="113" t="s">
        <v>3009</v>
      </c>
      <c r="B43" s="828"/>
      <c r="C43" s="829" t="e">
        <f>R43</f>
        <v>#DIV/0!</v>
      </c>
      <c r="D43" s="829"/>
      <c r="E43" s="829"/>
      <c r="F43" s="829"/>
      <c r="G43" s="829"/>
      <c r="H43" s="829"/>
      <c r="I43" s="829"/>
      <c r="J43" s="829"/>
      <c r="K43" s="1391"/>
      <c r="L43" s="2342"/>
      <c r="M43" s="2330"/>
      <c r="N43" s="2330"/>
      <c r="O43" s="2343"/>
      <c r="P43" s="3584" t="str">
        <f>A43</f>
        <v>估价对象XX用房的比较价值（楼面单价，元/平方米）</v>
      </c>
      <c r="Q43" s="3585"/>
      <c r="R43" s="3586" t="e">
        <f>ROUND(AVERAGE(R42:V42),0)</f>
        <v>#DIV/0!</v>
      </c>
      <c r="S43" s="3586"/>
      <c r="T43" s="3586"/>
      <c r="U43" s="3586"/>
      <c r="V43" s="3586"/>
      <c r="W43" s="3586"/>
      <c r="X43" s="1297"/>
      <c r="Y43" s="1297"/>
      <c r="Z43" s="1297"/>
      <c r="AA43" s="1297"/>
      <c r="AB43" s="1297"/>
      <c r="AC43" s="1297"/>
    </row>
    <row r="44" spans="1:29">
      <c r="A44" s="2343"/>
      <c r="B44" s="2343"/>
      <c r="C44" s="2343"/>
      <c r="D44" s="2343"/>
      <c r="E44" s="2343"/>
      <c r="F44" s="2343"/>
      <c r="G44" s="2346"/>
      <c r="H44" s="2343"/>
      <c r="I44" s="2343"/>
      <c r="J44" s="2343"/>
      <c r="K44" s="2169"/>
      <c r="L44" s="2170"/>
      <c r="M44" s="2330"/>
      <c r="N44" s="2330"/>
      <c r="O44" s="2343"/>
    </row>
    <row r="45" spans="1:29">
      <c r="A45" s="2343"/>
      <c r="B45" s="2343"/>
      <c r="C45" s="2343"/>
      <c r="D45" s="2343"/>
      <c r="E45" s="2343"/>
      <c r="F45" s="2343"/>
      <c r="G45" s="2343"/>
      <c r="H45" s="2343"/>
      <c r="I45" s="2343"/>
      <c r="J45" s="2343"/>
      <c r="K45" s="2169"/>
      <c r="L45" s="2170"/>
      <c r="M45" s="2330"/>
      <c r="N45" s="2330"/>
      <c r="O45" s="2343"/>
    </row>
    <row r="46" spans="1:29" ht="13.5" customHeight="1">
      <c r="A46" s="2343"/>
      <c r="B46" s="2343"/>
      <c r="C46" s="832" t="s">
        <v>409</v>
      </c>
      <c r="D46" s="833"/>
      <c r="E46" s="834" t="e">
        <f>IF(E41&lt;E42,E42/E41-1,E41/E42-1)</f>
        <v>#DIV/0!</v>
      </c>
      <c r="F46" s="835" t="e">
        <f>IF(OR(E46&gt;=0.3,E46&lt;=-0.3),"超过30%","")</f>
        <v>#DIV/0!</v>
      </c>
      <c r="G46" s="834" t="e">
        <f>IF(G41&lt;G42,G42/G41-1,G41/G42-1)</f>
        <v>#DIV/0!</v>
      </c>
      <c r="H46" s="835" t="e">
        <f>IF(OR(G46&gt;=0.3,G46&lt;=-0.3),"超过30%","")</f>
        <v>#DIV/0!</v>
      </c>
      <c r="I46" s="834" t="e">
        <f>IF(I41&lt;I42,I42/I41-1,I41/I42-1)</f>
        <v>#DIV/0!</v>
      </c>
      <c r="J46" s="835" t="e">
        <f>IF(OR(I46&gt;=0.3,I46&lt;=-0.3),"超过30%","")</f>
        <v>#DIV/0!</v>
      </c>
      <c r="K46" s="2169"/>
      <c r="L46" s="2170"/>
      <c r="M46" s="2330"/>
      <c r="N46" s="2330"/>
      <c r="O46" s="2343"/>
    </row>
    <row r="47" spans="1:29" ht="13.5" customHeight="1">
      <c r="A47" s="2343"/>
      <c r="B47" s="2343"/>
      <c r="C47" s="832" t="s">
        <v>410</v>
      </c>
      <c r="D47" s="836"/>
      <c r="E47" s="834" t="e">
        <f>IF(E42&lt;G42,G42/E42-1,E42/G42-1)</f>
        <v>#DIV/0!</v>
      </c>
      <c r="F47" s="835" t="e">
        <f>IF(OR(E47&gt;=0.2,E47&lt;=-0.2),"超过20%","")</f>
        <v>#DIV/0!</v>
      </c>
      <c r="G47" s="834" t="e">
        <f>IF(G42&lt;I42,I42/G42-1,G42/I42-1)</f>
        <v>#DIV/0!</v>
      </c>
      <c r="H47" s="835" t="e">
        <f>IF(OR(G47&gt;=0.2,G47&lt;=-0.2),"超过20%","")</f>
        <v>#DIV/0!</v>
      </c>
      <c r="I47" s="834" t="e">
        <f>IF(I42&lt;E42,E42/I42-1,I42/E42-1)</f>
        <v>#DIV/0!</v>
      </c>
      <c r="J47" s="835" t="e">
        <f>IF(OR(I47&gt;=0.2,I47&lt;=-0.2),"超过20%","")</f>
        <v>#DIV/0!</v>
      </c>
      <c r="K47" s="2169"/>
      <c r="L47" s="2170"/>
      <c r="M47" s="2343"/>
      <c r="N47" s="2343"/>
      <c r="O47" s="2343"/>
    </row>
    <row r="48" spans="1:29" s="837" customFormat="1" ht="13.5" customHeight="1">
      <c r="A48" s="2344"/>
      <c r="B48" s="2344"/>
      <c r="C48" s="832" t="s">
        <v>411</v>
      </c>
      <c r="D48" s="836"/>
      <c r="E48" s="834" t="e">
        <f>IF(E41&lt;G41,G41/E41-1,E41/G41-1)</f>
        <v>#DIV/0!</v>
      </c>
      <c r="F48" s="835" t="e">
        <f>IF(OR(E48&gt;=0.3,E48&lt;=-0.3),"超过30%","")</f>
        <v>#DIV/0!</v>
      </c>
      <c r="G48" s="834" t="e">
        <f>IF(G41&lt;I41,I41/G41-1,G41/I41-1)</f>
        <v>#DIV/0!</v>
      </c>
      <c r="H48" s="835" t="e">
        <f>IF(OR(G48&gt;=0.3,G48&lt;=-0.3),"超过30%","")</f>
        <v>#DIV/0!</v>
      </c>
      <c r="I48" s="834" t="e">
        <f>IF(I41&lt;E41,E41/I41-1,I41/E41-1)</f>
        <v>#DIV/0!</v>
      </c>
      <c r="J48" s="835" t="e">
        <f>IF(OR(I48&gt;=0.3,I48&lt;=-0.3),"超过30%","")</f>
        <v>#DIV/0!</v>
      </c>
      <c r="K48" s="2347"/>
      <c r="L48" s="2348"/>
      <c r="M48" s="2344"/>
      <c r="N48" s="2344"/>
      <c r="O48" s="2344"/>
    </row>
    <row r="49" spans="1:17" s="837" customFormat="1" ht="15" thickBot="1">
      <c r="A49" s="2344"/>
      <c r="B49" s="2345"/>
      <c r="C49" s="1300"/>
      <c r="D49" s="1298"/>
      <c r="E49" s="1298"/>
      <c r="F49" s="1298"/>
      <c r="G49" s="1298"/>
      <c r="H49" s="1298"/>
      <c r="I49" s="1298"/>
      <c r="J49" s="1298"/>
      <c r="K49" s="2347"/>
      <c r="L49" s="2348"/>
      <c r="M49" s="2344"/>
      <c r="N49" s="2344"/>
      <c r="O49" s="2344"/>
    </row>
    <row r="50" spans="1:17" ht="27">
      <c r="A50" s="1083" t="s">
        <v>488</v>
      </c>
      <c r="B50" s="1084" t="s">
        <v>489</v>
      </c>
      <c r="C50" s="1759" t="s">
        <v>1881</v>
      </c>
      <c r="D50" s="2374" t="s">
        <v>2316</v>
      </c>
      <c r="E50" s="1085" t="s">
        <v>490</v>
      </c>
      <c r="F50" s="1086" t="s">
        <v>491</v>
      </c>
      <c r="G50" s="3587" t="s">
        <v>2309</v>
      </c>
      <c r="H50" s="3588"/>
      <c r="I50" s="2164" t="s">
        <v>1880</v>
      </c>
      <c r="J50" s="1749">
        <f>项目基本情况!F35</f>
        <v>0</v>
      </c>
      <c r="K50" s="2357" t="s">
        <v>1882</v>
      </c>
      <c r="L50" s="2170"/>
      <c r="M50" s="2343"/>
      <c r="N50" s="2343"/>
      <c r="O50" s="2343"/>
    </row>
    <row r="51" spans="1:17" s="1091" customFormat="1">
      <c r="A51" s="1087" t="s">
        <v>492</v>
      </c>
      <c r="B51" s="1088" t="e">
        <f>C43</f>
        <v>#DIV/0!</v>
      </c>
      <c r="C51" s="1089">
        <v>1</v>
      </c>
      <c r="D51" s="2375">
        <v>1</v>
      </c>
      <c r="E51" s="1089">
        <f>'数据-汇总表'!E8+'数据-汇总表'!E9</f>
        <v>33306.36</v>
      </c>
      <c r="F51" s="1090" t="e">
        <f t="shared" ref="F51:F60" si="15">ROUND(B51*E51/10000,0)</f>
        <v>#DIV/0!</v>
      </c>
      <c r="G51" s="3589"/>
      <c r="H51" s="3590"/>
      <c r="I51" s="1757">
        <v>1</v>
      </c>
      <c r="J51" s="1757">
        <v>1</v>
      </c>
      <c r="K51" s="2344"/>
      <c r="L51" s="1756"/>
      <c r="M51" s="1756"/>
      <c r="N51" s="1756"/>
      <c r="O51" s="1756"/>
    </row>
    <row r="52" spans="1:17" s="1091" customFormat="1">
      <c r="A52" s="1092" t="s">
        <v>493</v>
      </c>
      <c r="B52" s="590" t="e">
        <f>ROUND($C$43*C52*D52,0)</f>
        <v>#DIV/0!</v>
      </c>
      <c r="C52" s="528">
        <f t="shared" ref="C52:C60" si="16">IF($C$50="北京市系数",I52,J52)</f>
        <v>0.6</v>
      </c>
      <c r="D52" s="2376">
        <v>0.25</v>
      </c>
      <c r="E52" s="1093"/>
      <c r="F52" s="1090" t="e">
        <f t="shared" si="15"/>
        <v>#DIV/0!</v>
      </c>
      <c r="G52" s="3591" t="s">
        <v>2310</v>
      </c>
      <c r="H52" s="2168" t="str">
        <f>项目基本情况!B37</f>
        <v>八级</v>
      </c>
      <c r="I52" s="1757">
        <f>SUMIF(修正!A45:A56,H52,修正!B45:B56)</f>
        <v>0.6</v>
      </c>
      <c r="J52" s="1758"/>
      <c r="K52" s="2343"/>
      <c r="L52" s="1756"/>
      <c r="M52" s="1756"/>
      <c r="N52" s="1756"/>
      <c r="O52" s="1756"/>
    </row>
    <row r="53" spans="1:17" s="1091" customFormat="1">
      <c r="A53" s="1092" t="s">
        <v>494</v>
      </c>
      <c r="B53" s="590" t="e">
        <f t="shared" ref="B53:B60" si="17">ROUND($C$43*C53*D53,0)</f>
        <v>#DIV/0!</v>
      </c>
      <c r="C53" s="528">
        <f t="shared" si="16"/>
        <v>0.3</v>
      </c>
      <c r="D53" s="2376">
        <v>0.25</v>
      </c>
      <c r="E53" s="1093"/>
      <c r="F53" s="1090" t="e">
        <f t="shared" si="15"/>
        <v>#DIV/0!</v>
      </c>
      <c r="G53" s="3591"/>
      <c r="H53" s="2168" t="str">
        <f>项目基本情况!B37</f>
        <v>八级</v>
      </c>
      <c r="I53" s="1757">
        <f>SUMIF(修正!A45:A56,H53,修正!C45:C56)</f>
        <v>0.3</v>
      </c>
      <c r="J53" s="1758"/>
      <c r="K53" s="2344"/>
      <c r="L53" s="1756"/>
      <c r="M53" s="1756"/>
      <c r="N53" s="1756"/>
      <c r="O53" s="1756"/>
    </row>
    <row r="54" spans="1:17" s="1091" customFormat="1">
      <c r="A54" s="1092" t="s">
        <v>495</v>
      </c>
      <c r="B54" s="590" t="e">
        <f t="shared" si="17"/>
        <v>#DIV/0!</v>
      </c>
      <c r="C54" s="528">
        <f t="shared" si="16"/>
        <v>0.2</v>
      </c>
      <c r="D54" s="2376">
        <v>0.25</v>
      </c>
      <c r="E54" s="1093"/>
      <c r="F54" s="1090" t="e">
        <f t="shared" si="15"/>
        <v>#DIV/0!</v>
      </c>
      <c r="G54" s="3591"/>
      <c r="H54" s="2168" t="str">
        <f>项目基本情况!B37</f>
        <v>八级</v>
      </c>
      <c r="I54" s="1757">
        <f>SUMIF(修正!A45:A56,H54,修正!D45:D56)</f>
        <v>0.2</v>
      </c>
      <c r="J54" s="1758"/>
      <c r="K54" s="2343"/>
      <c r="L54" s="1756"/>
      <c r="M54" s="1756"/>
      <c r="N54" s="1756"/>
      <c r="O54" s="1756"/>
    </row>
    <row r="55" spans="1:17" s="1091" customFormat="1">
      <c r="A55" s="1092" t="s">
        <v>496</v>
      </c>
      <c r="B55" s="590" t="e">
        <f t="shared" si="17"/>
        <v>#DIV/0!</v>
      </c>
      <c r="C55" s="528">
        <f t="shared" si="16"/>
        <v>0.2</v>
      </c>
      <c r="D55" s="2376">
        <v>0.25</v>
      </c>
      <c r="E55" s="1093"/>
      <c r="F55" s="1090" t="e">
        <f t="shared" si="15"/>
        <v>#DIV/0!</v>
      </c>
      <c r="G55" s="3591"/>
      <c r="H55" s="2168" t="str">
        <f>项目基本情况!B37</f>
        <v>八级</v>
      </c>
      <c r="I55" s="1757">
        <f>SUMIF(修正!A45:A56,H55,修正!E45:E56)</f>
        <v>0.2</v>
      </c>
      <c r="J55" s="1758"/>
      <c r="K55" s="2344"/>
      <c r="L55" s="1756"/>
      <c r="M55" s="1756"/>
      <c r="N55" s="1756"/>
      <c r="O55" s="1756"/>
    </row>
    <row r="56" spans="1:17" s="1091" customFormat="1">
      <c r="A56" s="2496" t="s">
        <v>2392</v>
      </c>
      <c r="B56" s="590" t="e">
        <f t="shared" si="17"/>
        <v>#DIV/0!</v>
      </c>
      <c r="C56" s="528">
        <f t="shared" si="16"/>
        <v>0.2</v>
      </c>
      <c r="D56" s="2376">
        <v>0.25</v>
      </c>
      <c r="E56" s="589">
        <f>'数据-汇总表'!E11</f>
        <v>0</v>
      </c>
      <c r="F56" s="1090" t="e">
        <f t="shared" si="15"/>
        <v>#DIV/0!</v>
      </c>
      <c r="G56" s="2180" t="s">
        <v>2311</v>
      </c>
      <c r="H56" s="2168" t="str">
        <f>项目基本情况!C37</f>
        <v>八级</v>
      </c>
      <c r="I56" s="1757">
        <f>SUMIF(修正!A45:A56,H56,修正!F45:F56)</f>
        <v>0.2</v>
      </c>
      <c r="J56" s="1758"/>
      <c r="K56" s="2343"/>
      <c r="L56" s="1756"/>
      <c r="M56" s="1756"/>
      <c r="N56" s="1756"/>
      <c r="O56" s="1756"/>
    </row>
    <row r="57" spans="1:17" s="1091" customFormat="1">
      <c r="A57" s="1092" t="s">
        <v>497</v>
      </c>
      <c r="B57" s="590" t="e">
        <f t="shared" si="17"/>
        <v>#DIV/0!</v>
      </c>
      <c r="C57" s="528">
        <f t="shared" si="16"/>
        <v>0.2</v>
      </c>
      <c r="D57" s="2376">
        <v>0.25</v>
      </c>
      <c r="E57" s="589">
        <f>'数据-汇总表'!E12</f>
        <v>0</v>
      </c>
      <c r="F57" s="1090" t="e">
        <f t="shared" si="15"/>
        <v>#DIV/0!</v>
      </c>
      <c r="G57" s="2174" t="s">
        <v>141</v>
      </c>
      <c r="H57" s="2168" t="str">
        <f>IF(G57="商业",项目基本情况!B37,IF(G57="办公",项目基本情况!C37,IF(G57="住宅",项目基本情况!D37,项目基本情况!E37)))</f>
        <v>八级</v>
      </c>
      <c r="I57" s="1757">
        <f>SUMIF(修正!A45:A56,H57,修正!G45:G56)</f>
        <v>0.2</v>
      </c>
      <c r="J57" s="1758"/>
      <c r="K57" s="2344"/>
      <c r="L57" s="1756"/>
      <c r="M57" s="1756"/>
      <c r="N57" s="1756"/>
      <c r="O57" s="1756"/>
    </row>
    <row r="58" spans="1:17" s="1091" customFormat="1">
      <c r="A58" s="1092" t="s">
        <v>498</v>
      </c>
      <c r="B58" s="590" t="e">
        <f t="shared" si="17"/>
        <v>#DIV/0!</v>
      </c>
      <c r="C58" s="528">
        <f t="shared" si="16"/>
        <v>0.15</v>
      </c>
      <c r="D58" s="2376">
        <v>0.25</v>
      </c>
      <c r="E58" s="589">
        <f>'数据-汇总表'!E13</f>
        <v>10312.16</v>
      </c>
      <c r="F58" s="1090" t="e">
        <f t="shared" si="15"/>
        <v>#DIV/0!</v>
      </c>
      <c r="G58" s="2174" t="s">
        <v>40</v>
      </c>
      <c r="H58" s="2168" t="str">
        <f>IF(G58="商业",项目基本情况!B37,IF(G58="办公",项目基本情况!C37,IF(G58="住宅",项目基本情况!D37,项目基本情况!E37)))</f>
        <v>八级</v>
      </c>
      <c r="I58" s="1757">
        <f>SUMIF(修正!A45:A56,H58,修正!H45:H56)</f>
        <v>0.15</v>
      </c>
      <c r="J58" s="1758"/>
      <c r="K58" s="2343"/>
      <c r="L58" s="1756"/>
      <c r="M58" s="1756"/>
      <c r="N58" s="1756"/>
      <c r="O58" s="1756"/>
    </row>
    <row r="59" spans="1:17" s="1091" customFormat="1">
      <c r="A59" s="1092" t="s">
        <v>499</v>
      </c>
      <c r="B59" s="590" t="e">
        <f t="shared" si="17"/>
        <v>#DIV/0!</v>
      </c>
      <c r="C59" s="528">
        <f t="shared" si="16"/>
        <v>0.15</v>
      </c>
      <c r="D59" s="2376">
        <v>0.25</v>
      </c>
      <c r="E59" s="589">
        <f>'数据-汇总表'!E14</f>
        <v>0</v>
      </c>
      <c r="F59" s="1090" t="e">
        <f t="shared" si="15"/>
        <v>#DIV/0!</v>
      </c>
      <c r="G59" s="2180" t="s">
        <v>2312</v>
      </c>
      <c r="H59" s="2168" t="str">
        <f>项目基本情况!B37</f>
        <v>八级</v>
      </c>
      <c r="I59" s="1757">
        <f>SUMIF(修正!A45:A56,H59,修正!H45:H56)</f>
        <v>0.15</v>
      </c>
      <c r="J59" s="1758"/>
      <c r="K59" s="2344"/>
      <c r="L59" s="1756"/>
      <c r="M59" s="1756"/>
      <c r="N59" s="1756"/>
      <c r="O59" s="1756"/>
    </row>
    <row r="60" spans="1:17" s="1091" customFormat="1" ht="15" thickBot="1">
      <c r="A60" s="1092" t="s">
        <v>500</v>
      </c>
      <c r="B60" s="590" t="e">
        <f t="shared" si="17"/>
        <v>#DIV/0!</v>
      </c>
      <c r="C60" s="528">
        <f t="shared" si="16"/>
        <v>0.15</v>
      </c>
      <c r="D60" s="2376">
        <v>0.25</v>
      </c>
      <c r="E60" s="589">
        <f>'数据-汇总表'!E15</f>
        <v>0</v>
      </c>
      <c r="F60" s="1090" t="e">
        <f t="shared" si="15"/>
        <v>#DIV/0!</v>
      </c>
      <c r="G60" s="2181" t="s">
        <v>2311</v>
      </c>
      <c r="H60" s="2182" t="str">
        <f>项目基本情况!C37</f>
        <v>八级</v>
      </c>
      <c r="I60" s="1757">
        <f>SUMIF(修正!A45:A56,H60,修正!H45:H56)</f>
        <v>0.15</v>
      </c>
      <c r="J60" s="1758"/>
      <c r="K60" s="2343"/>
      <c r="L60" s="1756"/>
      <c r="M60" s="1756"/>
      <c r="N60" s="1756"/>
      <c r="O60" s="1756"/>
    </row>
    <row r="61" spans="1:17" s="1091" customFormat="1" ht="15" thickBot="1">
      <c r="A61" s="1094" t="s">
        <v>501</v>
      </c>
      <c r="B61" s="1095" t="s">
        <v>156</v>
      </c>
      <c r="C61" s="1095" t="s">
        <v>157</v>
      </c>
      <c r="D61" s="1095" t="s">
        <v>2317</v>
      </c>
      <c r="E61" s="1095">
        <f>IF(B41="楼面地价",SUM(E51:E60),'数据-汇总表'!D3)</f>
        <v>10808.06</v>
      </c>
      <c r="F61" s="1096" t="e">
        <f>IF(B41="楼面地价",SUM(F51:F60),ROUND(C43*E61/10000,0))</f>
        <v>#DIV/0!</v>
      </c>
      <c r="G61" s="2358"/>
      <c r="H61" s="2358"/>
      <c r="I61" s="2358"/>
      <c r="J61" s="2358"/>
      <c r="K61" s="2169"/>
      <c r="L61" s="1756"/>
      <c r="M61" s="1756"/>
      <c r="N61" s="1756"/>
      <c r="O61" s="1756"/>
    </row>
    <row r="62" spans="1:17">
      <c r="A62" s="2343"/>
      <c r="B62" s="2345"/>
      <c r="C62" s="2349"/>
      <c r="D62" s="2343"/>
      <c r="E62" s="2343"/>
      <c r="F62" s="2343"/>
      <c r="G62" s="2343"/>
      <c r="H62" s="2343"/>
      <c r="I62" s="2343"/>
      <c r="J62" s="2343"/>
      <c r="K62" s="2169"/>
      <c r="L62" s="2170"/>
      <c r="M62" s="2343"/>
      <c r="N62" s="2343"/>
      <c r="O62" s="2343"/>
    </row>
    <row r="63" spans="1:17">
      <c r="A63" s="2343"/>
      <c r="B63" s="2345"/>
      <c r="C63" s="1299" t="str">
        <f>YEAR(C7)&amp;"-"&amp;MONTH(C7)&amp;"-1"</f>
        <v>2017-9-1</v>
      </c>
      <c r="D63" s="1299">
        <f>EDATE(C63,-3)</f>
        <v>42887</v>
      </c>
      <c r="E63" s="1299">
        <f>EDATE(D63,-3)</f>
        <v>42795</v>
      </c>
      <c r="F63" s="1299">
        <f t="shared" ref="F63:O63" si="18">EDATE(E63,-3)</f>
        <v>42705</v>
      </c>
      <c r="G63" s="1299">
        <f t="shared" si="18"/>
        <v>42614</v>
      </c>
      <c r="H63" s="1299">
        <f t="shared" si="18"/>
        <v>42522</v>
      </c>
      <c r="I63" s="1299">
        <f t="shared" si="18"/>
        <v>42430</v>
      </c>
      <c r="J63" s="1299">
        <f t="shared" si="18"/>
        <v>42339</v>
      </c>
      <c r="K63" s="1299">
        <f t="shared" si="18"/>
        <v>42248</v>
      </c>
      <c r="L63" s="1299">
        <f t="shared" si="18"/>
        <v>42156</v>
      </c>
      <c r="M63" s="1299">
        <f t="shared" si="18"/>
        <v>42064</v>
      </c>
      <c r="N63" s="1299">
        <f t="shared" si="18"/>
        <v>41974</v>
      </c>
      <c r="O63" s="1299">
        <f t="shared" si="18"/>
        <v>41883</v>
      </c>
    </row>
    <row r="64" spans="1:17" ht="21.75" thickBot="1">
      <c r="A64" s="1301" t="s">
        <v>412</v>
      </c>
      <c r="B64" s="1297"/>
      <c r="C64" s="1302"/>
      <c r="D64" s="1302"/>
      <c r="E64" s="1302"/>
      <c r="F64" s="1303"/>
      <c r="G64" s="1303"/>
      <c r="H64" s="1302"/>
      <c r="I64" s="1302"/>
      <c r="J64" s="1302"/>
      <c r="K64" s="1304"/>
      <c r="L64" s="1305"/>
      <c r="M64" s="1302"/>
      <c r="N64" s="1302"/>
      <c r="O64" s="2359"/>
      <c r="P64" s="838"/>
      <c r="Q64" s="839"/>
    </row>
    <row r="65" spans="1:17" s="843" customFormat="1" ht="15">
      <c r="A65" s="2687" t="s">
        <v>2783</v>
      </c>
      <c r="B65" s="2688"/>
      <c r="C65" s="3018" t="str">
        <f>YEAR(C63)&amp;"-"&amp;ROUNDUP(MONTH(C63)/3,0)</f>
        <v>2017-3</v>
      </c>
      <c r="D65" s="3018" t="str">
        <f t="shared" ref="D65:O65" si="19">YEAR(D63)&amp;"-"&amp;ROUNDUP(MONTH(D63)/3,0)</f>
        <v>2017-2</v>
      </c>
      <c r="E65" s="3018" t="str">
        <f t="shared" si="19"/>
        <v>2017-1</v>
      </c>
      <c r="F65" s="3018" t="str">
        <f t="shared" si="19"/>
        <v>2016-4</v>
      </c>
      <c r="G65" s="3018" t="str">
        <f t="shared" si="19"/>
        <v>2016-3</v>
      </c>
      <c r="H65" s="3018" t="str">
        <f t="shared" si="19"/>
        <v>2016-2</v>
      </c>
      <c r="I65" s="3018" t="str">
        <f t="shared" si="19"/>
        <v>2016-1</v>
      </c>
      <c r="J65" s="3018" t="str">
        <f t="shared" si="19"/>
        <v>2015-4</v>
      </c>
      <c r="K65" s="3018" t="str">
        <f t="shared" si="19"/>
        <v>2015-3</v>
      </c>
      <c r="L65" s="3018" t="str">
        <f t="shared" si="19"/>
        <v>2015-2</v>
      </c>
      <c r="M65" s="3018" t="str">
        <f t="shared" si="19"/>
        <v>2015-1</v>
      </c>
      <c r="N65" s="3018" t="str">
        <f t="shared" si="19"/>
        <v>2014-4</v>
      </c>
      <c r="O65" s="3018" t="str">
        <f t="shared" si="19"/>
        <v>2014-3</v>
      </c>
      <c r="P65" s="842"/>
    </row>
    <row r="66" spans="1:17" s="404" customFormat="1" ht="30.75" customHeight="1">
      <c r="A66" s="3014" t="s">
        <v>2782</v>
      </c>
      <c r="B66" s="660" t="str">
        <f>"北京市平均增长率"&amp;TEXT(基准地价修正!P24,"0.00%")</f>
        <v>北京市平均增长率1.37%</v>
      </c>
      <c r="C66" s="938">
        <v>100</v>
      </c>
      <c r="D66" s="930"/>
      <c r="E66" s="930"/>
      <c r="F66" s="930"/>
      <c r="G66" s="930"/>
      <c r="H66" s="930"/>
      <c r="I66" s="930"/>
      <c r="J66" s="930"/>
      <c r="K66" s="930"/>
      <c r="L66" s="930"/>
      <c r="M66" s="3012"/>
      <c r="N66" s="3012"/>
      <c r="O66" s="3015"/>
      <c r="P66" s="839"/>
    </row>
    <row r="67" spans="1:17" s="404" customFormat="1" ht="15.75" thickBot="1">
      <c r="A67" s="850" t="s">
        <v>413</v>
      </c>
      <c r="B67" s="851"/>
      <c r="C67" s="852"/>
      <c r="D67" s="853"/>
      <c r="E67" s="853"/>
      <c r="F67" s="853"/>
      <c r="G67" s="853"/>
      <c r="H67" s="853"/>
      <c r="I67" s="853"/>
      <c r="J67" s="853"/>
      <c r="K67" s="853"/>
      <c r="L67" s="853"/>
      <c r="M67" s="854"/>
      <c r="N67" s="854"/>
      <c r="O67" s="855"/>
      <c r="P67" s="839"/>
      <c r="Q67" s="839"/>
    </row>
    <row r="68" spans="1:17" s="404" customFormat="1" ht="15">
      <c r="A68" s="856" t="s">
        <v>397</v>
      </c>
      <c r="B68" s="845"/>
      <c r="C68" s="857" t="s">
        <v>414</v>
      </c>
      <c r="D68" s="138"/>
      <c r="E68" s="138"/>
      <c r="F68" s="138"/>
      <c r="G68" s="138"/>
      <c r="H68" s="138"/>
      <c r="I68" s="138"/>
      <c r="J68" s="138"/>
      <c r="K68" s="138"/>
      <c r="L68" s="139"/>
      <c r="M68" s="1041"/>
      <c r="N68" s="2350"/>
      <c r="O68" s="2350"/>
      <c r="P68" s="861"/>
      <c r="Q68" s="839"/>
    </row>
    <row r="69" spans="1:17" s="404" customFormat="1" ht="15.75" thickBot="1">
      <c r="A69" s="856"/>
      <c r="B69" s="845"/>
      <c r="C69" s="974">
        <v>100</v>
      </c>
      <c r="D69" s="847"/>
      <c r="E69" s="847"/>
      <c r="F69" s="847"/>
      <c r="G69" s="847"/>
      <c r="H69" s="847"/>
      <c r="I69" s="847"/>
      <c r="J69" s="847"/>
      <c r="K69" s="847"/>
      <c r="L69" s="847"/>
      <c r="M69" s="849"/>
      <c r="N69" s="2350"/>
      <c r="O69" s="2350"/>
      <c r="P69" s="839"/>
      <c r="Q69" s="839"/>
    </row>
    <row r="70" spans="1:17">
      <c r="A70" s="862" t="s">
        <v>415</v>
      </c>
      <c r="B70" s="863" t="s">
        <v>416</v>
      </c>
      <c r="C70" s="120"/>
      <c r="D70" s="120"/>
      <c r="E70" s="120"/>
      <c r="F70" s="120"/>
      <c r="G70" s="120"/>
      <c r="H70" s="120"/>
      <c r="I70" s="120"/>
      <c r="J70" s="120"/>
      <c r="K70" s="121"/>
      <c r="L70" s="122"/>
      <c r="M70" s="123"/>
      <c r="N70" s="2351"/>
      <c r="O70" s="2351"/>
      <c r="P70" s="332"/>
      <c r="Q70" s="839"/>
    </row>
    <row r="71" spans="1:17" ht="15.75" thickBot="1">
      <c r="A71" s="869"/>
      <c r="B71" s="870"/>
      <c r="C71" s="871"/>
      <c r="D71" s="871"/>
      <c r="E71" s="871"/>
      <c r="F71" s="871"/>
      <c r="G71" s="871"/>
      <c r="H71" s="871"/>
      <c r="I71" s="871"/>
      <c r="J71" s="871"/>
      <c r="K71" s="871"/>
      <c r="L71" s="871"/>
      <c r="M71" s="872"/>
      <c r="N71" s="2352"/>
      <c r="O71" s="2352"/>
      <c r="P71" s="332"/>
      <c r="Q71" s="839"/>
    </row>
    <row r="72" spans="1:17" ht="27.75" thickTop="1">
      <c r="A72" s="869"/>
      <c r="B72" s="873" t="s">
        <v>401</v>
      </c>
      <c r="C72" s="874"/>
      <c r="D72" s="874"/>
      <c r="E72" s="874"/>
      <c r="F72" s="874"/>
      <c r="G72" s="874"/>
      <c r="H72" s="874"/>
      <c r="I72" s="874"/>
      <c r="J72" s="874"/>
      <c r="K72" s="875"/>
      <c r="L72" s="876"/>
      <c r="M72" s="877"/>
      <c r="N72" s="2351"/>
      <c r="O72" s="2351"/>
      <c r="P72" s="332"/>
      <c r="Q72" s="839"/>
    </row>
    <row r="73" spans="1:17" ht="15.75" thickBot="1">
      <c r="A73" s="869"/>
      <c r="B73" s="878"/>
      <c r="C73" s="879"/>
      <c r="D73" s="879"/>
      <c r="E73" s="879"/>
      <c r="F73" s="879"/>
      <c r="G73" s="879"/>
      <c r="H73" s="879"/>
      <c r="I73" s="879"/>
      <c r="J73" s="879"/>
      <c r="K73" s="879"/>
      <c r="L73" s="879"/>
      <c r="M73" s="880"/>
      <c r="N73" s="2352"/>
      <c r="O73" s="2352"/>
      <c r="P73" s="332"/>
      <c r="Q73" s="839"/>
    </row>
    <row r="74" spans="1:17" ht="15.75" thickTop="1">
      <c r="A74" s="869"/>
      <c r="B74" s="1046" t="s">
        <v>93</v>
      </c>
      <c r="C74" s="882" t="str">
        <f>C75&amp;"（含）"&amp;"-"&amp;D75</f>
        <v>（含）-</v>
      </c>
      <c r="D74" s="882" t="str">
        <f t="shared" ref="D74:L74" si="20">D75&amp;"（含）"&amp;"-"&amp;E75</f>
        <v>（含）-</v>
      </c>
      <c r="E74" s="882" t="str">
        <f t="shared" si="20"/>
        <v>（含）-</v>
      </c>
      <c r="F74" s="882" t="str">
        <f t="shared" si="20"/>
        <v>（含）-</v>
      </c>
      <c r="G74" s="882" t="str">
        <f t="shared" si="20"/>
        <v>（含）-</v>
      </c>
      <c r="H74" s="882" t="str">
        <f t="shared" si="20"/>
        <v>（含）-</v>
      </c>
      <c r="I74" s="882" t="str">
        <f t="shared" si="20"/>
        <v>（含）-</v>
      </c>
      <c r="J74" s="882" t="str">
        <f t="shared" si="20"/>
        <v>（含）-</v>
      </c>
      <c r="K74" s="882" t="str">
        <f t="shared" si="20"/>
        <v>（含）-</v>
      </c>
      <c r="L74" s="882" t="str">
        <f t="shared" si="20"/>
        <v>（含）-</v>
      </c>
      <c r="M74" s="784" t="str">
        <f>M75&amp;"（含）"&amp;"-"&amp;P75</f>
        <v>（含）-</v>
      </c>
      <c r="N74" s="2352"/>
      <c r="O74" s="2352"/>
      <c r="P74" s="332"/>
      <c r="Q74" s="839"/>
    </row>
    <row r="75" spans="1:17" ht="15">
      <c r="A75" s="869"/>
      <c r="B75" s="1047"/>
      <c r="C75" s="884"/>
      <c r="D75" s="884"/>
      <c r="E75" s="884"/>
      <c r="F75" s="884"/>
      <c r="G75" s="884"/>
      <c r="H75" s="884"/>
      <c r="I75" s="884"/>
      <c r="J75" s="884"/>
      <c r="K75" s="885"/>
      <c r="L75" s="886"/>
      <c r="M75" s="887"/>
      <c r="N75" s="2351"/>
      <c r="O75" s="2351"/>
      <c r="P75" s="332"/>
      <c r="Q75" s="839"/>
    </row>
    <row r="76" spans="1:17" ht="15.75" thickBot="1">
      <c r="A76" s="869"/>
      <c r="B76" s="1043"/>
      <c r="C76" s="879">
        <v>100</v>
      </c>
      <c r="D76" s="879">
        <f>IF($B$41="单位面积地价",C76+$K11,C76-$K11)</f>
        <v>100</v>
      </c>
      <c r="E76" s="879">
        <f t="shared" ref="E76:M76" si="21">IF($B$41="单位面积地价",D76+$K11,D76-$K11)</f>
        <v>100</v>
      </c>
      <c r="F76" s="879">
        <f t="shared" si="21"/>
        <v>100</v>
      </c>
      <c r="G76" s="879">
        <f t="shared" si="21"/>
        <v>100</v>
      </c>
      <c r="H76" s="879">
        <f t="shared" si="21"/>
        <v>100</v>
      </c>
      <c r="I76" s="879">
        <f t="shared" si="21"/>
        <v>100</v>
      </c>
      <c r="J76" s="879">
        <f t="shared" si="21"/>
        <v>100</v>
      </c>
      <c r="K76" s="879">
        <f t="shared" si="21"/>
        <v>100</v>
      </c>
      <c r="L76" s="879">
        <f t="shared" si="21"/>
        <v>100</v>
      </c>
      <c r="M76" s="879">
        <f t="shared" si="21"/>
        <v>100</v>
      </c>
      <c r="N76" s="2352"/>
      <c r="O76" s="2352"/>
      <c r="P76" s="332"/>
      <c r="Q76" s="839"/>
    </row>
    <row r="77" spans="1:17" s="806" customFormat="1" ht="15.75" thickTop="1">
      <c r="A77" s="888"/>
      <c r="B77" s="1044">
        <f>B12</f>
        <v>111</v>
      </c>
      <c r="C77" s="137"/>
      <c r="D77" s="137"/>
      <c r="E77" s="137"/>
      <c r="F77" s="137"/>
      <c r="G77" s="137"/>
      <c r="H77" s="1049"/>
      <c r="I77" s="1049"/>
      <c r="J77" s="1049"/>
      <c r="K77" s="1049"/>
      <c r="L77" s="1050"/>
      <c r="M77" s="1051"/>
      <c r="N77" s="2353"/>
      <c r="O77" s="2353"/>
      <c r="P77" s="893"/>
      <c r="Q77" s="894"/>
    </row>
    <row r="78" spans="1:17" s="806" customFormat="1" ht="15.75" thickBot="1">
      <c r="A78" s="888"/>
      <c r="B78" s="1045"/>
      <c r="C78" s="895"/>
      <c r="D78" s="871"/>
      <c r="E78" s="871"/>
      <c r="F78" s="871"/>
      <c r="G78" s="871"/>
      <c r="H78" s="871"/>
      <c r="I78" s="871"/>
      <c r="J78" s="871"/>
      <c r="K78" s="871"/>
      <c r="L78" s="871"/>
      <c r="M78" s="872"/>
      <c r="N78" s="2352"/>
      <c r="O78" s="2352"/>
      <c r="P78" s="893"/>
      <c r="Q78" s="894"/>
    </row>
    <row r="79" spans="1:17" s="806" customFormat="1" ht="15.75" thickTop="1">
      <c r="A79" s="888"/>
      <c r="B79" s="1044">
        <f>B13</f>
        <v>111</v>
      </c>
      <c r="C79" s="137"/>
      <c r="D79" s="137"/>
      <c r="E79" s="137"/>
      <c r="F79" s="137"/>
      <c r="G79" s="137"/>
      <c r="H79" s="1049"/>
      <c r="I79" s="1049"/>
      <c r="J79" s="1049"/>
      <c r="K79" s="1049"/>
      <c r="L79" s="1050"/>
      <c r="M79" s="1051"/>
      <c r="N79" s="2353"/>
      <c r="O79" s="2353"/>
      <c r="P79" s="805"/>
      <c r="Q79" s="896"/>
    </row>
    <row r="80" spans="1:17" s="806" customFormat="1" ht="15.75" thickBot="1">
      <c r="A80" s="888"/>
      <c r="B80" s="1045"/>
      <c r="C80" s="895"/>
      <c r="D80" s="895"/>
      <c r="E80" s="895"/>
      <c r="F80" s="895"/>
      <c r="G80" s="895"/>
      <c r="H80" s="897"/>
      <c r="I80" s="897"/>
      <c r="J80" s="897"/>
      <c r="K80" s="897"/>
      <c r="L80" s="897"/>
      <c r="M80" s="898"/>
      <c r="N80" s="2353"/>
      <c r="O80" s="2353"/>
      <c r="P80" s="893"/>
      <c r="Q80" s="894"/>
    </row>
    <row r="81" spans="1:17" s="806" customFormat="1" ht="15.75" thickTop="1">
      <c r="A81" s="888"/>
      <c r="B81" s="1046">
        <f>B14</f>
        <v>111</v>
      </c>
      <c r="C81" s="138"/>
      <c r="D81" s="138"/>
      <c r="E81" s="138"/>
      <c r="F81" s="138"/>
      <c r="G81" s="138"/>
      <c r="H81" s="1056"/>
      <c r="I81" s="1056"/>
      <c r="J81" s="1056"/>
      <c r="K81" s="1056"/>
      <c r="L81" s="1057"/>
      <c r="M81" s="1058"/>
      <c r="N81" s="2353"/>
      <c r="O81" s="2353"/>
      <c r="P81" s="902"/>
      <c r="Q81" s="894"/>
    </row>
    <row r="82" spans="1:17" s="806" customFormat="1" ht="15.75" thickBot="1">
      <c r="A82" s="903"/>
      <c r="B82" s="1061"/>
      <c r="C82" s="905"/>
      <c r="D82" s="905"/>
      <c r="E82" s="905"/>
      <c r="F82" s="905"/>
      <c r="G82" s="905"/>
      <c r="H82" s="906"/>
      <c r="I82" s="906"/>
      <c r="J82" s="906"/>
      <c r="K82" s="906"/>
      <c r="L82" s="906"/>
      <c r="M82" s="907"/>
      <c r="N82" s="2353"/>
      <c r="O82" s="2353"/>
      <c r="P82" s="893"/>
      <c r="Q82" s="894"/>
    </row>
    <row r="83" spans="1:17">
      <c r="A83" s="862" t="s">
        <v>403</v>
      </c>
      <c r="B83" s="284" t="s">
        <v>159</v>
      </c>
      <c r="C83" s="908" t="s">
        <v>422</v>
      </c>
      <c r="D83" s="908" t="s">
        <v>423</v>
      </c>
      <c r="E83" s="908" t="s">
        <v>424</v>
      </c>
      <c r="F83" s="908" t="s">
        <v>425</v>
      </c>
      <c r="G83" s="908" t="s">
        <v>426</v>
      </c>
      <c r="H83" s="864"/>
      <c r="I83" s="864"/>
      <c r="J83" s="864"/>
      <c r="K83" s="909"/>
      <c r="L83" s="910"/>
      <c r="M83" s="911"/>
      <c r="N83" s="2351"/>
      <c r="O83" s="2351"/>
      <c r="P83" s="912"/>
      <c r="Q83" s="839"/>
    </row>
    <row r="84" spans="1:17" ht="15.75" thickBot="1">
      <c r="A84" s="869"/>
      <c r="B84" s="1045"/>
      <c r="C84" s="879">
        <v>100</v>
      </c>
      <c r="D84" s="879">
        <f>C84-$K15</f>
        <v>100</v>
      </c>
      <c r="E84" s="879">
        <f>D84-$K15</f>
        <v>100</v>
      </c>
      <c r="F84" s="879">
        <f>E84-$K15</f>
        <v>100</v>
      </c>
      <c r="G84" s="879">
        <f>F84-$K15</f>
        <v>100</v>
      </c>
      <c r="H84" s="879"/>
      <c r="I84" s="879"/>
      <c r="J84" s="879"/>
      <c r="K84" s="879"/>
      <c r="L84" s="879"/>
      <c r="M84" s="880"/>
      <c r="N84" s="2352"/>
      <c r="O84" s="2352"/>
      <c r="P84" s="332"/>
      <c r="Q84" s="839"/>
    </row>
    <row r="85" spans="1:17" ht="15.75" thickTop="1">
      <c r="A85" s="869"/>
      <c r="B85" s="1044" t="s">
        <v>92</v>
      </c>
      <c r="C85" s="913" t="s">
        <v>422</v>
      </c>
      <c r="D85" s="913" t="s">
        <v>423</v>
      </c>
      <c r="E85" s="913" t="s">
        <v>424</v>
      </c>
      <c r="F85" s="913" t="s">
        <v>425</v>
      </c>
      <c r="G85" s="913" t="s">
        <v>426</v>
      </c>
      <c r="H85" s="874"/>
      <c r="I85" s="874"/>
      <c r="J85" s="874"/>
      <c r="K85" s="875"/>
      <c r="L85" s="876"/>
      <c r="M85" s="877"/>
      <c r="N85" s="2351"/>
      <c r="O85" s="2351"/>
      <c r="P85" s="332"/>
      <c r="Q85" s="839"/>
    </row>
    <row r="86" spans="1:17" ht="15.75" thickBot="1">
      <c r="A86" s="869"/>
      <c r="B86" s="1045"/>
      <c r="C86" s="879">
        <v>100</v>
      </c>
      <c r="D86" s="879">
        <f>C86-$K17</f>
        <v>100</v>
      </c>
      <c r="E86" s="879">
        <f>D86-$K17</f>
        <v>100</v>
      </c>
      <c r="F86" s="879">
        <f>E86-$K17</f>
        <v>100</v>
      </c>
      <c r="G86" s="879">
        <f>F86-$K17</f>
        <v>100</v>
      </c>
      <c r="H86" s="879"/>
      <c r="I86" s="879"/>
      <c r="J86" s="879"/>
      <c r="K86" s="879"/>
      <c r="L86" s="879"/>
      <c r="M86" s="880"/>
      <c r="N86" s="2352"/>
      <c r="O86" s="2352"/>
      <c r="P86" s="332"/>
      <c r="Q86" s="839"/>
    </row>
    <row r="87" spans="1:17" s="404" customFormat="1" ht="27.75" thickTop="1">
      <c r="A87" s="914"/>
      <c r="B87" s="1044" t="s">
        <v>109</v>
      </c>
      <c r="C87" s="908" t="s">
        <v>422</v>
      </c>
      <c r="D87" s="908" t="s">
        <v>423</v>
      </c>
      <c r="E87" s="908" t="s">
        <v>424</v>
      </c>
      <c r="F87" s="908" t="s">
        <v>425</v>
      </c>
      <c r="G87" s="908" t="s">
        <v>426</v>
      </c>
      <c r="H87" s="913"/>
      <c r="I87" s="913"/>
      <c r="J87" s="913"/>
      <c r="K87" s="913"/>
      <c r="L87" s="1097"/>
      <c r="M87" s="957"/>
      <c r="N87" s="2350"/>
      <c r="O87" s="2350"/>
      <c r="P87" s="332"/>
      <c r="Q87" s="839"/>
    </row>
    <row r="88" spans="1:17" s="404" customFormat="1" ht="15.75" thickBot="1">
      <c r="A88" s="914"/>
      <c r="B88" s="1045"/>
      <c r="C88" s="917">
        <v>100</v>
      </c>
      <c r="D88" s="879">
        <f>C88-$K19</f>
        <v>100</v>
      </c>
      <c r="E88" s="879">
        <f>D88-$K19</f>
        <v>100</v>
      </c>
      <c r="F88" s="879">
        <f>E88-$K19</f>
        <v>100</v>
      </c>
      <c r="G88" s="879">
        <f>F88-$K19</f>
        <v>100</v>
      </c>
      <c r="H88" s="879"/>
      <c r="I88" s="879"/>
      <c r="J88" s="879"/>
      <c r="K88" s="879"/>
      <c r="L88" s="879"/>
      <c r="M88" s="880"/>
      <c r="N88" s="2352"/>
      <c r="O88" s="2352"/>
      <c r="P88" s="332"/>
      <c r="Q88" s="839"/>
    </row>
    <row r="89" spans="1:17" s="404" customFormat="1" ht="27.75" thickTop="1">
      <c r="A89" s="914"/>
      <c r="B89" s="1044" t="s">
        <v>154</v>
      </c>
      <c r="C89" s="908" t="s">
        <v>422</v>
      </c>
      <c r="D89" s="908" t="s">
        <v>423</v>
      </c>
      <c r="E89" s="908" t="s">
        <v>424</v>
      </c>
      <c r="F89" s="908" t="s">
        <v>425</v>
      </c>
      <c r="G89" s="908" t="s">
        <v>426</v>
      </c>
      <c r="H89" s="913"/>
      <c r="I89" s="913"/>
      <c r="J89" s="913"/>
      <c r="K89" s="913"/>
      <c r="L89" s="913"/>
      <c r="M89" s="957"/>
      <c r="N89" s="2350"/>
      <c r="O89" s="2350"/>
      <c r="P89" s="332"/>
      <c r="Q89" s="839"/>
    </row>
    <row r="90" spans="1:17" s="404" customFormat="1" ht="15.75" thickBot="1">
      <c r="A90" s="914"/>
      <c r="B90" s="1045"/>
      <c r="C90" s="879">
        <v>100</v>
      </c>
      <c r="D90" s="879">
        <f>C90-$K21</f>
        <v>100</v>
      </c>
      <c r="E90" s="879">
        <f>D90-$K21</f>
        <v>100</v>
      </c>
      <c r="F90" s="879">
        <f>E90-$K21</f>
        <v>100</v>
      </c>
      <c r="G90" s="879">
        <f>F90-$K21</f>
        <v>100</v>
      </c>
      <c r="H90" s="879"/>
      <c r="I90" s="879"/>
      <c r="J90" s="879"/>
      <c r="K90" s="879"/>
      <c r="L90" s="879"/>
      <c r="M90" s="880"/>
      <c r="N90" s="2352"/>
      <c r="O90" s="2352"/>
      <c r="P90" s="332"/>
      <c r="Q90" s="839"/>
    </row>
    <row r="91" spans="1:17" s="806" customFormat="1" ht="15.75" thickTop="1">
      <c r="A91" s="888"/>
      <c r="B91" s="1044" t="s">
        <v>2660</v>
      </c>
      <c r="C91" s="908" t="s">
        <v>422</v>
      </c>
      <c r="D91" s="908" t="s">
        <v>423</v>
      </c>
      <c r="E91" s="908" t="s">
        <v>424</v>
      </c>
      <c r="F91" s="908" t="s">
        <v>425</v>
      </c>
      <c r="G91" s="908" t="s">
        <v>426</v>
      </c>
      <c r="H91" s="935"/>
      <c r="I91" s="935"/>
      <c r="J91" s="935"/>
      <c r="K91" s="935"/>
      <c r="L91" s="936"/>
      <c r="M91" s="937"/>
      <c r="N91" s="2353"/>
      <c r="O91" s="2353"/>
      <c r="P91" s="893"/>
      <c r="Q91" s="894"/>
    </row>
    <row r="92" spans="1:17" s="806" customFormat="1" ht="15.75" thickBot="1">
      <c r="A92" s="888"/>
      <c r="B92" s="1045"/>
      <c r="C92" s="879">
        <v>100</v>
      </c>
      <c r="D92" s="879">
        <f>C92-$K23</f>
        <v>100</v>
      </c>
      <c r="E92" s="879">
        <f>D92-$K23</f>
        <v>100</v>
      </c>
      <c r="F92" s="879">
        <f>E92-$K23</f>
        <v>100</v>
      </c>
      <c r="G92" s="879">
        <f>F92-$K23</f>
        <v>100</v>
      </c>
      <c r="H92" s="942"/>
      <c r="I92" s="942"/>
      <c r="J92" s="942"/>
      <c r="K92" s="942"/>
      <c r="L92" s="942"/>
      <c r="M92" s="943"/>
      <c r="N92" s="2353"/>
      <c r="O92" s="2353"/>
      <c r="P92" s="893"/>
      <c r="Q92" s="894"/>
    </row>
    <row r="93" spans="1:17" s="806" customFormat="1" ht="15.75" thickTop="1">
      <c r="A93" s="888"/>
      <c r="B93" s="1046" t="s">
        <v>2662</v>
      </c>
      <c r="C93" s="211" t="s">
        <v>2648</v>
      </c>
      <c r="D93" s="211" t="s">
        <v>2649</v>
      </c>
      <c r="E93" s="211" t="s">
        <v>2650</v>
      </c>
      <c r="F93" s="211" t="s">
        <v>2651</v>
      </c>
      <c r="G93" s="211" t="s">
        <v>2652</v>
      </c>
      <c r="H93" s="935"/>
      <c r="I93" s="935"/>
      <c r="J93" s="935"/>
      <c r="K93" s="935"/>
      <c r="L93" s="935"/>
      <c r="M93" s="937"/>
      <c r="N93" s="2353"/>
      <c r="O93" s="2353"/>
      <c r="P93" s="893"/>
      <c r="Q93" s="894"/>
    </row>
    <row r="94" spans="1:17" s="806" customFormat="1" ht="15.75" thickBot="1">
      <c r="A94" s="888"/>
      <c r="B94" s="1046"/>
      <c r="C94" s="879">
        <v>100</v>
      </c>
      <c r="D94" s="879">
        <f>C94-$K25</f>
        <v>100</v>
      </c>
      <c r="E94" s="879">
        <f>D94-$K25</f>
        <v>100</v>
      </c>
      <c r="F94" s="879">
        <f>E94-$K25</f>
        <v>100</v>
      </c>
      <c r="G94" s="879">
        <f>F94-$K25</f>
        <v>100</v>
      </c>
      <c r="H94" s="883"/>
      <c r="I94" s="883"/>
      <c r="J94" s="883"/>
      <c r="K94" s="883"/>
      <c r="L94" s="883"/>
      <c r="M94" s="2751"/>
      <c r="N94" s="2353"/>
      <c r="O94" s="2353"/>
      <c r="P94" s="893"/>
      <c r="Q94" s="894"/>
    </row>
    <row r="95" spans="1:17" ht="15.75" thickTop="1">
      <c r="A95" s="869"/>
      <c r="B95" s="1044" t="str">
        <f>B27</f>
        <v>临街状况</v>
      </c>
      <c r="C95" s="874" t="s">
        <v>505</v>
      </c>
      <c r="D95" s="874" t="s">
        <v>506</v>
      </c>
      <c r="E95" s="874" t="s">
        <v>507</v>
      </c>
      <c r="F95" s="874" t="s">
        <v>508</v>
      </c>
      <c r="G95" s="874"/>
      <c r="H95" s="874"/>
      <c r="I95" s="874"/>
      <c r="J95" s="874"/>
      <c r="K95" s="875"/>
      <c r="L95" s="876"/>
      <c r="M95" s="877"/>
      <c r="N95" s="2351"/>
      <c r="O95" s="2351"/>
      <c r="P95" s="332"/>
      <c r="Q95" s="839"/>
    </row>
    <row r="96" spans="1:17" ht="15.75" thickBot="1">
      <c r="A96" s="869"/>
      <c r="B96" s="1045"/>
      <c r="C96" s="879">
        <v>100</v>
      </c>
      <c r="D96" s="879">
        <f t="shared" ref="D96:M96" si="22">C96-$K27</f>
        <v>100</v>
      </c>
      <c r="E96" s="879">
        <f t="shared" si="22"/>
        <v>100</v>
      </c>
      <c r="F96" s="879">
        <f t="shared" si="22"/>
        <v>100</v>
      </c>
      <c r="G96" s="879">
        <f t="shared" si="22"/>
        <v>100</v>
      </c>
      <c r="H96" s="879">
        <f t="shared" si="22"/>
        <v>100</v>
      </c>
      <c r="I96" s="879">
        <f t="shared" si="22"/>
        <v>100</v>
      </c>
      <c r="J96" s="879">
        <f t="shared" si="22"/>
        <v>100</v>
      </c>
      <c r="K96" s="879">
        <f t="shared" si="22"/>
        <v>100</v>
      </c>
      <c r="L96" s="879">
        <f t="shared" si="22"/>
        <v>100</v>
      </c>
      <c r="M96" s="879">
        <f t="shared" si="22"/>
        <v>100</v>
      </c>
      <c r="N96" s="2352"/>
      <c r="O96" s="2352"/>
      <c r="P96" s="332"/>
      <c r="Q96" s="839"/>
    </row>
    <row r="97" spans="1:17" ht="27.75" thickTop="1">
      <c r="A97" s="869"/>
      <c r="B97" s="1044" t="s">
        <v>144</v>
      </c>
      <c r="C97" s="137"/>
      <c r="D97" s="137"/>
      <c r="E97" s="137"/>
      <c r="F97" s="137"/>
      <c r="G97" s="137"/>
      <c r="H97" s="129"/>
      <c r="I97" s="129"/>
      <c r="J97" s="129"/>
      <c r="K97" s="130"/>
      <c r="L97" s="131"/>
      <c r="M97" s="132"/>
      <c r="N97" s="2351"/>
      <c r="O97" s="2351"/>
      <c r="P97" s="332"/>
      <c r="Q97" s="839"/>
    </row>
    <row r="98" spans="1:17" ht="15.75" thickBot="1">
      <c r="A98" s="869"/>
      <c r="B98" s="1045"/>
      <c r="C98" s="879">
        <v>100</v>
      </c>
      <c r="D98" s="879">
        <f t="shared" ref="D98:M98" si="23">C98-$K28</f>
        <v>100</v>
      </c>
      <c r="E98" s="879">
        <f t="shared" si="23"/>
        <v>100</v>
      </c>
      <c r="F98" s="879">
        <f t="shared" si="23"/>
        <v>100</v>
      </c>
      <c r="G98" s="879">
        <f t="shared" si="23"/>
        <v>100</v>
      </c>
      <c r="H98" s="879">
        <f t="shared" si="23"/>
        <v>100</v>
      </c>
      <c r="I98" s="879">
        <f t="shared" si="23"/>
        <v>100</v>
      </c>
      <c r="J98" s="879">
        <f t="shared" si="23"/>
        <v>100</v>
      </c>
      <c r="K98" s="879">
        <f t="shared" si="23"/>
        <v>100</v>
      </c>
      <c r="L98" s="879">
        <f t="shared" si="23"/>
        <v>100</v>
      </c>
      <c r="M98" s="879">
        <f t="shared" si="23"/>
        <v>100</v>
      </c>
      <c r="N98" s="2352"/>
      <c r="O98" s="2352"/>
      <c r="P98" s="332"/>
      <c r="Q98" s="839"/>
    </row>
    <row r="99" spans="1:17" ht="15.75" thickTop="1">
      <c r="A99" s="869"/>
      <c r="B99" s="1044" t="s">
        <v>153</v>
      </c>
      <c r="C99" s="918"/>
      <c r="D99" s="918"/>
      <c r="E99" s="918"/>
      <c r="F99" s="918"/>
      <c r="G99" s="918"/>
      <c r="H99" s="918"/>
      <c r="I99" s="918"/>
      <c r="J99" s="918"/>
      <c r="K99" s="919"/>
      <c r="L99" s="920"/>
      <c r="M99" s="921"/>
      <c r="N99" s="2351"/>
      <c r="O99" s="2351"/>
      <c r="P99" s="332"/>
      <c r="Q99" s="839"/>
    </row>
    <row r="100" spans="1:17" ht="15.75" thickBot="1">
      <c r="A100" s="869"/>
      <c r="B100" s="1045"/>
      <c r="C100" s="879">
        <v>100</v>
      </c>
      <c r="D100" s="879">
        <f t="shared" ref="D100:M100" si="24">C100-$K30</f>
        <v>100</v>
      </c>
      <c r="E100" s="879">
        <f t="shared" si="24"/>
        <v>100</v>
      </c>
      <c r="F100" s="879">
        <f t="shared" si="24"/>
        <v>100</v>
      </c>
      <c r="G100" s="879">
        <f t="shared" si="24"/>
        <v>100</v>
      </c>
      <c r="H100" s="879">
        <f t="shared" si="24"/>
        <v>100</v>
      </c>
      <c r="I100" s="879">
        <f t="shared" si="24"/>
        <v>100</v>
      </c>
      <c r="J100" s="879">
        <f t="shared" si="24"/>
        <v>100</v>
      </c>
      <c r="K100" s="879">
        <f t="shared" si="24"/>
        <v>100</v>
      </c>
      <c r="L100" s="879">
        <f t="shared" si="24"/>
        <v>100</v>
      </c>
      <c r="M100" s="879">
        <f t="shared" si="24"/>
        <v>100</v>
      </c>
      <c r="N100" s="2352"/>
      <c r="O100" s="2352"/>
      <c r="P100" s="332"/>
      <c r="Q100" s="839"/>
    </row>
    <row r="101" spans="1:17" ht="15.75" thickTop="1">
      <c r="A101" s="869"/>
      <c r="B101" s="1046">
        <f>B31</f>
        <v>111</v>
      </c>
      <c r="C101" s="137"/>
      <c r="D101" s="137"/>
      <c r="E101" s="137"/>
      <c r="F101" s="137"/>
      <c r="G101" s="133"/>
      <c r="H101" s="133"/>
      <c r="I101" s="133"/>
      <c r="J101" s="133"/>
      <c r="K101" s="134"/>
      <c r="L101" s="135"/>
      <c r="M101" s="136"/>
      <c r="N101" s="2351"/>
      <c r="O101" s="2351"/>
      <c r="P101" s="332"/>
      <c r="Q101" s="839"/>
    </row>
    <row r="102" spans="1:17" ht="15.75" thickBot="1">
      <c r="A102" s="869"/>
      <c r="B102" s="1061"/>
      <c r="C102" s="895"/>
      <c r="D102" s="871"/>
      <c r="E102" s="871"/>
      <c r="F102" s="871"/>
      <c r="G102" s="926"/>
      <c r="H102" s="926"/>
      <c r="I102" s="926"/>
      <c r="J102" s="926"/>
      <c r="K102" s="926"/>
      <c r="L102" s="926"/>
      <c r="M102" s="927"/>
      <c r="N102" s="2352"/>
      <c r="O102" s="2352"/>
      <c r="P102" s="332"/>
      <c r="Q102" s="839"/>
    </row>
    <row r="103" spans="1:17" ht="15" thickTop="1">
      <c r="A103" s="1074"/>
      <c r="B103" s="1044">
        <f>B32</f>
        <v>111</v>
      </c>
      <c r="C103" s="137"/>
      <c r="D103" s="137"/>
      <c r="E103" s="137"/>
      <c r="F103" s="137"/>
      <c r="G103" s="129"/>
      <c r="H103" s="129"/>
      <c r="I103" s="129"/>
      <c r="J103" s="129"/>
      <c r="K103" s="130"/>
      <c r="L103" s="131"/>
      <c r="M103" s="132"/>
      <c r="N103" s="2351"/>
      <c r="O103" s="2351"/>
      <c r="P103" s="332"/>
      <c r="Q103" s="839"/>
    </row>
    <row r="104" spans="1:17" ht="15.75" thickBot="1">
      <c r="A104" s="869"/>
      <c r="B104" s="1045"/>
      <c r="C104" s="895"/>
      <c r="D104" s="895"/>
      <c r="E104" s="895"/>
      <c r="F104" s="895"/>
      <c r="G104" s="871"/>
      <c r="H104" s="871"/>
      <c r="I104" s="871"/>
      <c r="J104" s="871"/>
      <c r="K104" s="871"/>
      <c r="L104" s="871"/>
      <c r="M104" s="872"/>
      <c r="N104" s="2352"/>
      <c r="O104" s="2352"/>
      <c r="P104" s="332"/>
      <c r="Q104" s="839"/>
    </row>
    <row r="105" spans="1:17" s="806" customFormat="1" ht="15" thickTop="1">
      <c r="A105" s="928"/>
      <c r="B105" s="1064">
        <f>B33</f>
        <v>111</v>
      </c>
      <c r="C105" s="138"/>
      <c r="D105" s="138"/>
      <c r="E105" s="138"/>
      <c r="F105" s="138"/>
      <c r="G105" s="1065"/>
      <c r="H105" s="1065"/>
      <c r="I105" s="1065"/>
      <c r="J105" s="1066"/>
      <c r="K105" s="1066"/>
      <c r="L105" s="1067"/>
      <c r="M105" s="1068"/>
      <c r="N105" s="2353"/>
      <c r="O105" s="2353"/>
      <c r="P105" s="893"/>
      <c r="Q105" s="894"/>
    </row>
    <row r="106" spans="1:17" s="806" customFormat="1" ht="15.75" thickBot="1">
      <c r="A106" s="888"/>
      <c r="B106" s="1046"/>
      <c r="C106" s="905"/>
      <c r="D106" s="905"/>
      <c r="E106" s="905"/>
      <c r="F106" s="905"/>
      <c r="G106" s="1076"/>
      <c r="H106" s="1076"/>
      <c r="I106" s="1076"/>
      <c r="J106" s="1076"/>
      <c r="K106" s="1076"/>
      <c r="L106" s="1076"/>
      <c r="M106" s="1098"/>
      <c r="N106" s="2352"/>
      <c r="O106" s="2352"/>
      <c r="P106" s="893"/>
      <c r="Q106" s="894"/>
    </row>
    <row r="107" spans="1:17">
      <c r="A107" s="862" t="s">
        <v>405</v>
      </c>
      <c r="B107" s="284" t="s">
        <v>87</v>
      </c>
      <c r="C107" s="864" t="str">
        <f t="shared" ref="C107:L107" si="25">C108&amp;"(含)"&amp;"-"&amp;D108</f>
        <v>(含)-</v>
      </c>
      <c r="D107" s="864" t="str">
        <f t="shared" si="25"/>
        <v>(含)-</v>
      </c>
      <c r="E107" s="864" t="str">
        <f t="shared" si="25"/>
        <v>(含)-</v>
      </c>
      <c r="F107" s="864" t="str">
        <f t="shared" si="25"/>
        <v>(含)-</v>
      </c>
      <c r="G107" s="864" t="str">
        <f t="shared" si="25"/>
        <v>(含)-</v>
      </c>
      <c r="H107" s="864" t="str">
        <f t="shared" si="25"/>
        <v>(含)-</v>
      </c>
      <c r="I107" s="864" t="str">
        <f t="shared" si="25"/>
        <v>(含)-</v>
      </c>
      <c r="J107" s="864" t="str">
        <f t="shared" si="25"/>
        <v>(含)-</v>
      </c>
      <c r="K107" s="3278" t="str">
        <f t="shared" si="25"/>
        <v>(含)-</v>
      </c>
      <c r="L107" s="3278" t="str">
        <f t="shared" si="25"/>
        <v>(含)-</v>
      </c>
      <c r="M107" s="3279" t="str">
        <f>M108&amp;"(含)"&amp;"-"&amp;P108</f>
        <v>(含)-</v>
      </c>
      <c r="N107" s="2351"/>
      <c r="O107" s="2351"/>
      <c r="P107" s="332"/>
      <c r="Q107" s="839"/>
    </row>
    <row r="108" spans="1:17" ht="15">
      <c r="A108" s="869"/>
      <c r="B108" s="1046"/>
      <c r="C108" s="930"/>
      <c r="D108" s="930"/>
      <c r="E108" s="930"/>
      <c r="F108" s="930"/>
      <c r="G108" s="930"/>
      <c r="H108" s="930"/>
      <c r="I108" s="930"/>
      <c r="J108" s="931"/>
      <c r="K108" s="931"/>
      <c r="L108" s="932"/>
      <c r="M108" s="933"/>
      <c r="N108" s="2351"/>
      <c r="O108" s="2351"/>
      <c r="P108" s="332"/>
      <c r="Q108" s="839"/>
    </row>
    <row r="109" spans="1:17" ht="15.75" thickBot="1">
      <c r="A109" s="869"/>
      <c r="B109" s="1045"/>
      <c r="C109" s="905"/>
      <c r="D109" s="926"/>
      <c r="E109" s="926"/>
      <c r="F109" s="926"/>
      <c r="G109" s="926"/>
      <c r="H109" s="926"/>
      <c r="I109" s="926"/>
      <c r="J109" s="926"/>
      <c r="K109" s="926"/>
      <c r="L109" s="926"/>
      <c r="M109" s="927"/>
      <c r="N109" s="2352"/>
      <c r="O109" s="2352"/>
      <c r="P109" s="332"/>
      <c r="Q109" s="839"/>
    </row>
    <row r="110" spans="1:17" ht="15" thickTop="1">
      <c r="A110" s="934"/>
      <c r="B110" s="1044" t="s">
        <v>86</v>
      </c>
      <c r="C110" s="129"/>
      <c r="D110" s="129"/>
      <c r="E110" s="129"/>
      <c r="F110" s="129"/>
      <c r="G110" s="129"/>
      <c r="H110" s="129"/>
      <c r="I110" s="129"/>
      <c r="J110" s="129"/>
      <c r="K110" s="130"/>
      <c r="L110" s="131"/>
      <c r="M110" s="132"/>
      <c r="N110" s="2351"/>
      <c r="O110" s="2351"/>
      <c r="P110" s="332"/>
      <c r="Q110" s="839"/>
    </row>
    <row r="111" spans="1:17" ht="15.75" thickBot="1">
      <c r="A111" s="869"/>
      <c r="B111" s="1045"/>
      <c r="C111" s="879">
        <v>100</v>
      </c>
      <c r="D111" s="879">
        <f t="shared" ref="D111:M111" si="26">C111-$K35</f>
        <v>100</v>
      </c>
      <c r="E111" s="879">
        <f t="shared" si="26"/>
        <v>100</v>
      </c>
      <c r="F111" s="879">
        <f t="shared" si="26"/>
        <v>100</v>
      </c>
      <c r="G111" s="879">
        <f t="shared" si="26"/>
        <v>100</v>
      </c>
      <c r="H111" s="879">
        <f t="shared" si="26"/>
        <v>100</v>
      </c>
      <c r="I111" s="879">
        <f t="shared" si="26"/>
        <v>100</v>
      </c>
      <c r="J111" s="879">
        <f t="shared" si="26"/>
        <v>100</v>
      </c>
      <c r="K111" s="879">
        <f t="shared" si="26"/>
        <v>100</v>
      </c>
      <c r="L111" s="879">
        <f t="shared" si="26"/>
        <v>100</v>
      </c>
      <c r="M111" s="880">
        <f t="shared" si="26"/>
        <v>100</v>
      </c>
      <c r="N111" s="2352"/>
      <c r="O111" s="2352"/>
      <c r="P111" s="332"/>
      <c r="Q111" s="839"/>
    </row>
    <row r="112" spans="1:17" s="806" customFormat="1" ht="15" thickTop="1">
      <c r="A112" s="928"/>
      <c r="B112" s="1044" t="s">
        <v>2494</v>
      </c>
      <c r="C112" s="137"/>
      <c r="D112" s="137"/>
      <c r="E112" s="137"/>
      <c r="F112" s="137"/>
      <c r="G112" s="137"/>
      <c r="H112" s="129"/>
      <c r="I112" s="129"/>
      <c r="J112" s="129"/>
      <c r="K112" s="130"/>
      <c r="L112" s="131"/>
      <c r="M112" s="132"/>
      <c r="N112" s="2353"/>
      <c r="O112" s="2353"/>
      <c r="P112" s="893"/>
      <c r="Q112" s="894"/>
    </row>
    <row r="113" spans="1:17" s="806" customFormat="1" ht="15.75" thickBot="1">
      <c r="A113" s="888"/>
      <c r="B113" s="1045"/>
      <c r="C113" s="879">
        <v>100</v>
      </c>
      <c r="D113" s="879">
        <f t="shared" ref="D113:M113" si="27">C113-$K36</f>
        <v>100</v>
      </c>
      <c r="E113" s="879">
        <f t="shared" si="27"/>
        <v>100</v>
      </c>
      <c r="F113" s="879">
        <f t="shared" si="27"/>
        <v>100</v>
      </c>
      <c r="G113" s="879">
        <f t="shared" si="27"/>
        <v>100</v>
      </c>
      <c r="H113" s="879">
        <f t="shared" si="27"/>
        <v>100</v>
      </c>
      <c r="I113" s="879">
        <f t="shared" si="27"/>
        <v>100</v>
      </c>
      <c r="J113" s="879">
        <f t="shared" si="27"/>
        <v>100</v>
      </c>
      <c r="K113" s="879">
        <f t="shared" si="27"/>
        <v>100</v>
      </c>
      <c r="L113" s="879">
        <f t="shared" si="27"/>
        <v>100</v>
      </c>
      <c r="M113" s="880">
        <f t="shared" si="27"/>
        <v>100</v>
      </c>
      <c r="N113" s="2353"/>
      <c r="O113" s="2353"/>
      <c r="P113" s="893"/>
      <c r="Q113" s="894"/>
    </row>
    <row r="114" spans="1:17" ht="15" thickTop="1">
      <c r="A114" s="934"/>
      <c r="B114" s="1044" t="s">
        <v>85</v>
      </c>
      <c r="C114" s="137"/>
      <c r="D114" s="137"/>
      <c r="E114" s="129"/>
      <c r="F114" s="129"/>
      <c r="G114" s="129"/>
      <c r="H114" s="129"/>
      <c r="I114" s="129"/>
      <c r="J114" s="129"/>
      <c r="K114" s="130"/>
      <c r="L114" s="131"/>
      <c r="M114" s="132"/>
      <c r="N114" s="2351"/>
      <c r="O114" s="2351"/>
      <c r="P114" s="332"/>
      <c r="Q114" s="839"/>
    </row>
    <row r="115" spans="1:17" ht="15.75" thickBot="1">
      <c r="A115" s="869"/>
      <c r="B115" s="1045"/>
      <c r="C115" s="879">
        <v>100</v>
      </c>
      <c r="D115" s="879">
        <f t="shared" ref="D115:M115" si="28">C115-$K37</f>
        <v>100</v>
      </c>
      <c r="E115" s="879">
        <f t="shared" si="28"/>
        <v>100</v>
      </c>
      <c r="F115" s="879">
        <f t="shared" si="28"/>
        <v>100</v>
      </c>
      <c r="G115" s="879">
        <f t="shared" si="28"/>
        <v>100</v>
      </c>
      <c r="H115" s="879">
        <f t="shared" si="28"/>
        <v>100</v>
      </c>
      <c r="I115" s="879">
        <f t="shared" si="28"/>
        <v>100</v>
      </c>
      <c r="J115" s="879">
        <f t="shared" si="28"/>
        <v>100</v>
      </c>
      <c r="K115" s="879">
        <f t="shared" si="28"/>
        <v>100</v>
      </c>
      <c r="L115" s="879">
        <f t="shared" si="28"/>
        <v>100</v>
      </c>
      <c r="M115" s="880">
        <f t="shared" si="28"/>
        <v>100</v>
      </c>
      <c r="N115" s="2352"/>
      <c r="O115" s="2352"/>
      <c r="P115" s="332"/>
      <c r="Q115" s="839"/>
    </row>
    <row r="116" spans="1:17" ht="15" thickTop="1">
      <c r="A116" s="934"/>
      <c r="B116" s="1044">
        <f>B38</f>
        <v>111</v>
      </c>
      <c r="C116" s="137"/>
      <c r="D116" s="137"/>
      <c r="E116" s="137"/>
      <c r="F116" s="137"/>
      <c r="G116" s="137"/>
      <c r="H116" s="129"/>
      <c r="I116" s="129"/>
      <c r="J116" s="129"/>
      <c r="K116" s="130"/>
      <c r="L116" s="131"/>
      <c r="M116" s="132"/>
      <c r="N116" s="2351"/>
      <c r="O116" s="2351"/>
      <c r="P116" s="332"/>
      <c r="Q116" s="839"/>
    </row>
    <row r="117" spans="1:17" ht="15.75" thickBot="1">
      <c r="A117" s="869"/>
      <c r="B117" s="1045"/>
      <c r="C117" s="895"/>
      <c r="D117" s="871"/>
      <c r="E117" s="871"/>
      <c r="F117" s="871"/>
      <c r="G117" s="871"/>
      <c r="H117" s="871"/>
      <c r="I117" s="871"/>
      <c r="J117" s="871"/>
      <c r="K117" s="871"/>
      <c r="L117" s="871"/>
      <c r="M117" s="872"/>
      <c r="N117" s="2352"/>
      <c r="O117" s="2352"/>
      <c r="P117" s="332"/>
      <c r="Q117" s="839"/>
    </row>
    <row r="118" spans="1:17" ht="15" thickTop="1">
      <c r="A118" s="934"/>
      <c r="B118" s="1044">
        <f>B39</f>
        <v>111</v>
      </c>
      <c r="C118" s="137"/>
      <c r="D118" s="137"/>
      <c r="E118" s="137"/>
      <c r="F118" s="137"/>
      <c r="G118" s="129"/>
      <c r="H118" s="129"/>
      <c r="I118" s="129"/>
      <c r="J118" s="129"/>
      <c r="K118" s="130"/>
      <c r="L118" s="131"/>
      <c r="M118" s="132"/>
      <c r="N118" s="2351"/>
      <c r="O118" s="2351"/>
      <c r="P118" s="332"/>
      <c r="Q118" s="839"/>
    </row>
    <row r="119" spans="1:17" ht="15.75" thickBot="1">
      <c r="A119" s="869"/>
      <c r="B119" s="1045"/>
      <c r="C119" s="895"/>
      <c r="D119" s="895"/>
      <c r="E119" s="895"/>
      <c r="F119" s="895"/>
      <c r="G119" s="871"/>
      <c r="H119" s="871"/>
      <c r="I119" s="871"/>
      <c r="J119" s="871"/>
      <c r="K119" s="871"/>
      <c r="L119" s="871"/>
      <c r="M119" s="872"/>
      <c r="N119" s="2352"/>
      <c r="O119" s="2352"/>
      <c r="P119" s="332"/>
      <c r="Q119" s="839"/>
    </row>
    <row r="120" spans="1:17" s="806" customFormat="1" ht="15" thickTop="1">
      <c r="A120" s="928"/>
      <c r="B120" s="1044">
        <f>B40</f>
        <v>111</v>
      </c>
      <c r="C120" s="138"/>
      <c r="D120" s="138"/>
      <c r="E120" s="138"/>
      <c r="F120" s="138"/>
      <c r="G120" s="1049"/>
      <c r="H120" s="1049"/>
      <c r="I120" s="1049"/>
      <c r="J120" s="1049"/>
      <c r="K120" s="1049"/>
      <c r="L120" s="1050"/>
      <c r="M120" s="1051"/>
      <c r="N120" s="2353"/>
      <c r="O120" s="2353"/>
      <c r="P120" s="893"/>
      <c r="Q120" s="894"/>
    </row>
    <row r="121" spans="1:17" s="806" customFormat="1" ht="15.75" thickBot="1">
      <c r="A121" s="903"/>
      <c r="B121" s="1069"/>
      <c r="C121" s="905"/>
      <c r="D121" s="905"/>
      <c r="E121" s="905"/>
      <c r="F121" s="905"/>
      <c r="G121" s="926"/>
      <c r="H121" s="926"/>
      <c r="I121" s="926"/>
      <c r="J121" s="926"/>
      <c r="K121" s="926"/>
      <c r="L121" s="926"/>
      <c r="M121" s="927"/>
      <c r="N121" s="2353"/>
      <c r="O121" s="2353"/>
      <c r="P121" s="893"/>
      <c r="Q121" s="894"/>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107" sqref="C107"/>
    </sheetView>
  </sheetViews>
  <sheetFormatPr defaultColWidth="12" defaultRowHeight="12"/>
  <cols>
    <col min="1" max="1" width="9.75" style="1609" customWidth="1"/>
    <col min="2" max="2" width="19.25" style="1729" customWidth="1"/>
    <col min="3" max="4" width="12" style="1610"/>
    <col min="5" max="5" width="14.625" style="1610" customWidth="1"/>
    <col min="6" max="8" width="12" style="1610"/>
    <col min="9" max="9" width="12.25" style="1610" bestFit="1" customWidth="1"/>
    <col min="10" max="10" width="12" style="1610"/>
    <col min="11" max="11" width="8.125" style="1607" customWidth="1"/>
    <col min="12" max="12" width="12" style="1610"/>
    <col min="13" max="13" width="8.5" style="1610" customWidth="1"/>
    <col min="14" max="14" width="9.75" style="1610" customWidth="1"/>
    <col min="15" max="25" width="12" style="1610"/>
    <col min="26" max="26" width="9.375" style="1609" customWidth="1"/>
    <col min="27" max="32" width="9.375" style="1608" customWidth="1"/>
    <col min="33" max="36" width="9.375" style="1609" customWidth="1"/>
    <col min="37" max="38" width="9.375" style="1610" customWidth="1"/>
    <col min="39" max="16384" width="12" style="1610"/>
  </cols>
  <sheetData>
    <row r="1" spans="1:36" ht="28.5">
      <c r="A1" s="1462" t="s">
        <v>1787</v>
      </c>
      <c r="B1" s="1463"/>
      <c r="C1" s="86" t="s">
        <v>2495</v>
      </c>
      <c r="D1" s="1721">
        <f>SUM(D29:D30,D33:D39)</f>
        <v>0</v>
      </c>
      <c r="E1" s="1606"/>
      <c r="F1" s="1606"/>
      <c r="G1" s="1606"/>
      <c r="H1" s="1606"/>
      <c r="I1" s="1606"/>
      <c r="J1" s="1606"/>
      <c r="K1" s="2363"/>
      <c r="L1" s="1867" t="s">
        <v>1219</v>
      </c>
      <c r="M1" s="2118">
        <f>SUMPRODUCT((区片价!B5:B9=I2)*(区片价!C3:F3=E2)*(区片价!C5:F9))</f>
        <v>0</v>
      </c>
      <c r="N1" s="2121">
        <f>SUMPRODUCT((因素修正幅度!B5:B9=I2)*(因素修正幅度!C3:F3=E2)*(因素修正幅度!C5:F9))</f>
        <v>0</v>
      </c>
      <c r="O1" s="2367"/>
      <c r="P1" s="2367"/>
      <c r="Q1" s="2363"/>
      <c r="R1" s="3053" t="s">
        <v>2882</v>
      </c>
      <c r="S1" s="3053" t="s">
        <v>2883</v>
      </c>
      <c r="T1" s="3053" t="s">
        <v>2884</v>
      </c>
      <c r="U1" s="3053" t="s">
        <v>2885</v>
      </c>
      <c r="V1" s="3053" t="s">
        <v>2886</v>
      </c>
      <c r="W1" s="3054"/>
      <c r="X1" s="3054"/>
      <c r="Y1" s="3054"/>
      <c r="Z1" s="3054"/>
      <c r="AA1" s="3054"/>
      <c r="AB1" s="3054"/>
      <c r="AC1" s="3055"/>
      <c r="AD1" s="3056"/>
      <c r="AE1" s="3056"/>
      <c r="AF1" s="3056"/>
      <c r="AG1" s="3056"/>
      <c r="AH1" s="3056"/>
      <c r="AI1" s="3056"/>
      <c r="AJ1" s="3057"/>
    </row>
    <row r="2" spans="1:36" ht="15.75">
      <c r="A2" s="86" t="s">
        <v>1788</v>
      </c>
      <c r="B2" s="576" t="e">
        <f>C26</f>
        <v>#DIV/0!</v>
      </c>
      <c r="C2" s="1461" t="s">
        <v>1129</v>
      </c>
      <c r="D2" s="1611" t="s">
        <v>1789</v>
      </c>
      <c r="E2" s="1765"/>
      <c r="F2" s="1611" t="s">
        <v>1790</v>
      </c>
      <c r="G2" s="1588" t="str">
        <f>IF(E2="商业",项目基本情况!B37,IF(E2="办公",项目基本情况!C37,IF(E2="住宅",项目基本情况!D37,项目基本情况!E37)))</f>
        <v>八级</v>
      </c>
      <c r="H2" s="1611" t="s">
        <v>1791</v>
      </c>
      <c r="I2" s="1588" t="str">
        <f>IF(E2="商业",项目基本情况!B38,IF(E2="办公",项目基本情况!C38,IF(E2="住宅",项目基本情况!D38,项目基本情况!E38)))</f>
        <v>Ⅷ-兴1</v>
      </c>
      <c r="J2" s="1612"/>
      <c r="K2" s="2363"/>
      <c r="L2" s="1868" t="s">
        <v>1276</v>
      </c>
      <c r="M2" s="2119">
        <f>SUMPRODUCT((区片价!B10:B28=I2)*(区片价!C3:F3=E2)*(区片价!C10:F28))</f>
        <v>0</v>
      </c>
      <c r="N2" s="2121">
        <f>SUMPRODUCT((因素修正幅度!B10:B28=I2)*(因素修正幅度!C3:F3=E2)*(因素修正幅度!C10:F28))</f>
        <v>0</v>
      </c>
      <c r="O2" s="2363"/>
      <c r="P2" s="2363"/>
      <c r="Q2" s="2363"/>
      <c r="R2" s="3058">
        <v>1</v>
      </c>
      <c r="S2" s="3058">
        <f>ROUND(IF(G3&gt;1,IF(R2&lt;7,SUMPRODUCT((B93:B98=R2)*(C92:N92=G2)*(C93:N98)),SUMIF(C92:N92,G2,C100:N100)),IF(R2&lt;7,SUMPRODUCT((B102:B107=R2)*(C92:N92=G2)*(C102:N107)),SUMIF(C92:N92,G2,C109:N109))),4)</f>
        <v>1.9419999999999999</v>
      </c>
      <c r="T2" s="3058" t="e">
        <f>ROUND($C$5*$C$18*$C$19*$C$20*S2*$C$24,0)</f>
        <v>#DIV/0!</v>
      </c>
      <c r="U2" s="3059"/>
      <c r="V2" s="3058" t="e">
        <f>ROUND(T2*U2/10000,0)</f>
        <v>#DIV/0!</v>
      </c>
      <c r="W2" s="3054"/>
      <c r="X2" s="3054"/>
      <c r="Y2" s="3054"/>
      <c r="Z2" s="3054"/>
      <c r="AA2" s="3054"/>
      <c r="AB2" s="3054"/>
      <c r="AC2" s="3055"/>
      <c r="AD2" s="3056"/>
      <c r="AE2" s="3056"/>
      <c r="AF2" s="3056"/>
      <c r="AG2" s="3056"/>
      <c r="AH2" s="3056"/>
      <c r="AI2" s="3056"/>
      <c r="AJ2" s="3057"/>
    </row>
    <row r="3" spans="1:36" ht="15.75">
      <c r="A3" s="87" t="s">
        <v>1792</v>
      </c>
      <c r="B3" s="576" t="e">
        <f>ROUND(B2*10000/D1,0)</f>
        <v>#DIV/0!</v>
      </c>
      <c r="C3" s="1461" t="s">
        <v>1793</v>
      </c>
      <c r="D3" s="1611" t="s">
        <v>1132</v>
      </c>
      <c r="E3" s="1766"/>
      <c r="F3" s="1767" t="s">
        <v>3012</v>
      </c>
      <c r="G3" s="1613">
        <f>IF(F3="宗地容积率",'数据-汇总表'!I4,IF(F3="估价对象容积率",'数据-汇总表'!I6,'数据-汇总表'!I7))</f>
        <v>1.02</v>
      </c>
      <c r="H3" s="1614" t="s">
        <v>1133</v>
      </c>
      <c r="I3" s="1768"/>
      <c r="J3" s="1612" t="s">
        <v>1134</v>
      </c>
      <c r="K3" s="2363"/>
      <c r="L3" s="1868" t="s">
        <v>1449</v>
      </c>
      <c r="M3" s="2119">
        <f>SUMPRODUCT((区片价!B29:B48=I2)*(区片价!C3:F3=E2)*(区片价!C29:F48))</f>
        <v>0</v>
      </c>
      <c r="N3" s="2121">
        <f>SUMPRODUCT((因素修正幅度!B29:B48=I2)*(因素修正幅度!C3:F3=E2)*(因素修正幅度!C29:F48))</f>
        <v>0</v>
      </c>
      <c r="O3" s="2363"/>
      <c r="P3" s="2363"/>
      <c r="Q3" s="2363"/>
      <c r="R3" s="3058">
        <v>2</v>
      </c>
      <c r="S3" s="3058">
        <f>ROUND(IF(G3&gt;1,IF(R3&lt;7,SUMPRODUCT((B93:B98=R3)*(C92:N92=G2)*(C93:N98)),SUMIF(C92:N92,G2,C100:N100)),IF(R3&lt;7,SUMPRODUCT((B102:B107=R3)*(C92:N92=G2)*(C102:N107)),SUMIF(C92:N92,G2,C109:N109))),4)</f>
        <v>1.2799</v>
      </c>
      <c r="T3" s="3058" t="e">
        <f t="shared" ref="T3:T16" si="0">ROUND($C$5*$C$18*$C$19*$C$20*S3*$C$24,0)</f>
        <v>#DIV/0!</v>
      </c>
      <c r="U3" s="3059"/>
      <c r="V3" s="3058" t="e">
        <f t="shared" ref="V3:V16" si="1">ROUND(T3*U3/10000,0)</f>
        <v>#DIV/0!</v>
      </c>
      <c r="W3" s="3054"/>
      <c r="X3" s="3054"/>
      <c r="Y3" s="3054"/>
      <c r="Z3" s="3054"/>
      <c r="AA3" s="3054"/>
      <c r="AB3" s="3054"/>
      <c r="AC3" s="3055"/>
      <c r="AD3" s="3056"/>
      <c r="AE3" s="3056"/>
      <c r="AF3" s="3056"/>
      <c r="AG3" s="3056"/>
      <c r="AH3" s="3056"/>
      <c r="AI3" s="3056"/>
      <c r="AJ3" s="3057"/>
    </row>
    <row r="4" spans="1:36" ht="15">
      <c r="A4" s="3740"/>
      <c r="B4" s="3741"/>
      <c r="C4" s="3741"/>
      <c r="D4" s="3742"/>
      <c r="E4" s="3742"/>
      <c r="F4" s="3742"/>
      <c r="G4" s="3742"/>
      <c r="H4" s="3742"/>
      <c r="I4" s="3742"/>
      <c r="J4" s="3743"/>
      <c r="K4" s="2363"/>
      <c r="L4" s="1868" t="s">
        <v>1130</v>
      </c>
      <c r="M4" s="2119">
        <f>SUMPRODUCT((区片价!B49:B75=I2)*(区片价!C3:F3=E2)*(区片价!C49:F75))</f>
        <v>0</v>
      </c>
      <c r="N4" s="2121">
        <f>SUMPRODUCT((因素修正幅度!B49:B75=I2)*(因素修正幅度!C3:F3=E2)*(因素修正幅度!C49:F75))</f>
        <v>0</v>
      </c>
      <c r="O4" s="2363"/>
      <c r="P4" s="2363"/>
      <c r="Q4" s="2363"/>
      <c r="R4" s="3058">
        <v>3</v>
      </c>
      <c r="S4" s="3058">
        <f>ROUND(IF(G3&gt;1,IF(R4&lt;7,SUMPRODUCT((B93:B98=R4)*(C92:N92=G2)*(C93:N98)),SUMIF(C92:N92,G2,C100:N100)),IF(R4&lt;7,SUMPRODUCT((B102:B107=R4)*(C92:N92=G2)*(C102:N107)),SUMIF(C92:N92,G2,C109:N109))),4)</f>
        <v>1.0072000000000001</v>
      </c>
      <c r="T4" s="3058" t="e">
        <f t="shared" si="0"/>
        <v>#DIV/0!</v>
      </c>
      <c r="U4" s="3059"/>
      <c r="V4" s="3058" t="e">
        <f t="shared" si="1"/>
        <v>#DIV/0!</v>
      </c>
      <c r="W4" s="3054"/>
      <c r="X4" s="3054"/>
      <c r="Y4" s="3054"/>
      <c r="Z4" s="3054"/>
      <c r="AA4" s="3054"/>
      <c r="AB4" s="3054"/>
      <c r="AC4" s="3055"/>
      <c r="AD4" s="3056"/>
      <c r="AE4" s="3056"/>
      <c r="AF4" s="3056"/>
      <c r="AG4" s="3056"/>
      <c r="AH4" s="3056"/>
      <c r="AI4" s="3056"/>
      <c r="AJ4" s="3057"/>
    </row>
    <row r="5" spans="1:36" s="1621" customFormat="1" ht="15.75" thickBot="1">
      <c r="A5" s="1861" t="s">
        <v>1930</v>
      </c>
      <c r="B5" s="1615" t="s">
        <v>1794</v>
      </c>
      <c r="C5" s="1616" t="e">
        <f>ROUND(IF(E2="商业",IF(F16="增加",C6*C7+C16,C6*C7-C16),IF(E2="住宅",IF(F16="增加",C6*C12+C16,C6*C12-C16),IF(F16="增加",C6+C16,C6-C16))),0)</f>
        <v>#DIV/0!</v>
      </c>
      <c r="D5" s="3325">
        <f>ROUND(IF(E2="商业",IF(F16="增加",C6+C16,C6-C16)),0)</f>
        <v>0</v>
      </c>
      <c r="E5" s="1617"/>
      <c r="F5" s="1617"/>
      <c r="G5" s="1618"/>
      <c r="H5" s="1618"/>
      <c r="I5" s="1618"/>
      <c r="J5" s="1619"/>
      <c r="K5" s="2368"/>
      <c r="L5" s="1868" t="s">
        <v>1530</v>
      </c>
      <c r="M5" s="2119">
        <f>SUMPRODUCT((区片价!B76:B109=I2)*(区片价!C3:F3=E2)*(区片价!C76:F109))</f>
        <v>0</v>
      </c>
      <c r="N5" s="2121">
        <f>SUMPRODUCT((因素修正幅度!B76:B109=I2)*(因素修正幅度!C3:F3=E2)*(因素修正幅度!C76:F109))</f>
        <v>0</v>
      </c>
      <c r="O5" s="2363"/>
      <c r="P5" s="2363"/>
      <c r="Q5" s="2363"/>
      <c r="R5" s="3058">
        <v>4</v>
      </c>
      <c r="S5" s="3058">
        <f>ROUND(IF(G3&gt;1,IF(R5&lt;7,SUMPRODUCT((B93:B98=R5)*(C92:N92=G2)*(C93:N98)),SUMIF(C92:N92,G2,C100:N100)),IF(R5&lt;7,SUMPRODUCT((B102:B107=R5)*(C92:N92=G2)*(C102:N107)),SUMIF(C92:N92,G2,C109:N109))),4)</f>
        <v>0.75249999999999995</v>
      </c>
      <c r="T5" s="3058" t="e">
        <f t="shared" si="0"/>
        <v>#DIV/0!</v>
      </c>
      <c r="U5" s="3059"/>
      <c r="V5" s="3058" t="e">
        <f t="shared" si="1"/>
        <v>#DIV/0!</v>
      </c>
      <c r="W5" s="3054"/>
      <c r="X5" s="3054"/>
      <c r="Y5" s="3054"/>
      <c r="Z5" s="3054"/>
      <c r="AA5" s="3054"/>
      <c r="AB5" s="3054"/>
      <c r="AC5" s="3060"/>
      <c r="AD5" s="3061"/>
      <c r="AE5" s="3061"/>
      <c r="AF5" s="3061"/>
      <c r="AG5" s="3061"/>
      <c r="AH5" s="3061"/>
      <c r="AI5" s="3061"/>
      <c r="AJ5" s="3062"/>
    </row>
    <row r="6" spans="1:36" ht="15.75" thickBot="1">
      <c r="A6" s="1865" t="s">
        <v>1937</v>
      </c>
      <c r="B6" s="1622" t="s">
        <v>1794</v>
      </c>
      <c r="C6" s="1623">
        <f>SUMIF(L1:L12,G2,M1:M12)</f>
        <v>0</v>
      </c>
      <c r="D6" s="1624" t="s">
        <v>1795</v>
      </c>
      <c r="E6" s="1625"/>
      <c r="F6" s="1625"/>
      <c r="G6" s="1626"/>
      <c r="H6" s="1626"/>
      <c r="I6" s="1626"/>
      <c r="J6" s="1627"/>
      <c r="K6" s="2369"/>
      <c r="L6" s="1868" t="s">
        <v>202</v>
      </c>
      <c r="M6" s="2119">
        <f>SUMPRODUCT((区片价!B110:B157=I2)*(区片价!C3:F3=E2)*(区片价!C110:F157))</f>
        <v>0</v>
      </c>
      <c r="N6" s="2121">
        <f>SUMPRODUCT((因素修正幅度!B110:B157=I2)*(因素修正幅度!C3:F3=E2)*(因素修正幅度!C110:F157))</f>
        <v>0</v>
      </c>
      <c r="O6" s="2363"/>
      <c r="P6" s="2363"/>
      <c r="Q6" s="2363"/>
      <c r="R6" s="3058">
        <v>5</v>
      </c>
      <c r="S6" s="3058">
        <f>ROUND(IF(G3&gt;1,IF(R6&lt;7,SUMPRODUCT((B93:B98=R6)*(C92:N92=G2)*(C93:N98)),SUMIF(C92:N92,G2,C100:N100)),IF(R6&lt;7,SUMPRODUCT((B102:B107=R6)*(C92:N92=G2)*(C102:N107)),SUMIF(C92:N92,G2,C109:N109))),4)</f>
        <v>0.56589999999999996</v>
      </c>
      <c r="T6" s="3058" t="e">
        <f t="shared" si="0"/>
        <v>#DIV/0!</v>
      </c>
      <c r="U6" s="3059"/>
      <c r="V6" s="3058" t="e">
        <f t="shared" si="1"/>
        <v>#DIV/0!</v>
      </c>
      <c r="W6" s="3054"/>
      <c r="X6" s="3054"/>
      <c r="Y6" s="3054"/>
      <c r="Z6" s="3054"/>
      <c r="AA6" s="3054"/>
      <c r="AB6" s="3054"/>
      <c r="AC6" s="3060"/>
      <c r="AD6" s="3061"/>
      <c r="AE6" s="3061"/>
      <c r="AF6" s="3061"/>
      <c r="AG6" s="3061"/>
      <c r="AH6" s="3061"/>
      <c r="AI6" s="3061"/>
      <c r="AJ6" s="3062"/>
    </row>
    <row r="7" spans="1:36" ht="24">
      <c r="A7" s="3744" t="str">
        <f>IF(E2="商业",IF(C8="不临58条商业街","",2),"")</f>
        <v/>
      </c>
      <c r="B7" s="1628" t="s">
        <v>1796</v>
      </c>
      <c r="C7" s="1629" t="e">
        <f>IF(C8="不临58条商业街",1,ROUND(1+(1.6*E8+1.2*E9+0.8*E10+0.4*E11)*C9,4))</f>
        <v>#DIV/0!</v>
      </c>
      <c r="D7" s="1630" t="s">
        <v>1797</v>
      </c>
      <c r="E7" s="1769"/>
      <c r="F7" s="1631"/>
      <c r="G7" s="1632"/>
      <c r="H7" s="1632"/>
      <c r="I7" s="1632"/>
      <c r="J7" s="1633"/>
      <c r="K7" s="2369"/>
      <c r="L7" s="1868" t="s">
        <v>1533</v>
      </c>
      <c r="M7" s="2119">
        <f>SUMPRODUCT((区片价!B158:B205=I2)*(区片价!C3:F3=E2)*(区片价!C158:F205))</f>
        <v>0</v>
      </c>
      <c r="N7" s="2121">
        <f>SUMPRODUCT((因素修正幅度!B158:B205=I2)*(因素修正幅度!C3:F3=E2)*(因素修正幅度!C158:F205))</f>
        <v>0</v>
      </c>
      <c r="O7" s="2363"/>
      <c r="P7" s="2363"/>
      <c r="Q7" s="2363"/>
      <c r="R7" s="3058">
        <v>6</v>
      </c>
      <c r="S7" s="3058">
        <f>ROUND(IF(G3&gt;1,IF(R7&lt;7,SUMPRODUCT((B93:B98=R7)*(C92:N92=G2)*(C93:N98)),SUMIF(C92:N92,G2,C100:N100)),IF(R7&lt;7,SUMPRODUCT((B102:B107=R7)*(C92:N92=G2)*(C102:N107)),SUMIF(C92:N92,G2,C109:N109))),4)</f>
        <v>0.45250000000000001</v>
      </c>
      <c r="T7" s="3058" t="e">
        <f t="shared" si="0"/>
        <v>#DIV/0!</v>
      </c>
      <c r="U7" s="3059"/>
      <c r="V7" s="3058" t="e">
        <f t="shared" si="1"/>
        <v>#DIV/0!</v>
      </c>
      <c r="W7" s="3063" t="s">
        <v>2887</v>
      </c>
      <c r="X7" s="3064" t="str">
        <f>G2</f>
        <v>八级</v>
      </c>
      <c r="Y7" s="3064" t="s">
        <v>2888</v>
      </c>
      <c r="Z7" s="3065">
        <f>G3</f>
        <v>1.02</v>
      </c>
      <c r="AA7" s="3066"/>
      <c r="AB7" s="3066"/>
      <c r="AC7" s="3067"/>
      <c r="AD7" s="3068"/>
      <c r="AE7" s="3068"/>
      <c r="AF7" s="3068"/>
      <c r="AG7" s="3068"/>
      <c r="AH7" s="3068"/>
      <c r="AI7" s="3068"/>
      <c r="AJ7" s="3069"/>
    </row>
    <row r="8" spans="1:36" ht="15">
      <c r="A8" s="3745"/>
      <c r="B8" s="1614" t="s">
        <v>1798</v>
      </c>
      <c r="C8" s="1770"/>
      <c r="D8" s="1634" t="s">
        <v>1135</v>
      </c>
      <c r="E8" s="1635" t="e">
        <f>ROUND(C11/E7,4)</f>
        <v>#DIV/0!</v>
      </c>
      <c r="F8" s="1636" t="s">
        <v>1799</v>
      </c>
      <c r="G8" s="1637"/>
      <c r="H8" s="1637"/>
      <c r="I8" s="1637"/>
      <c r="J8" s="1638"/>
      <c r="K8" s="2363"/>
      <c r="L8" s="1868" t="s">
        <v>1535</v>
      </c>
      <c r="M8" s="2119">
        <f>SUMPRODUCT((区片价!B206:B244=I2)*(区片价!C3:F3=E2)*(区片价!C206:F244))</f>
        <v>0</v>
      </c>
      <c r="N8" s="2121">
        <f>SUMPRODUCT((因素修正幅度!B206:B244=I2)*(因素修正幅度!C3:F3=E2)*(因素修正幅度!C206:F244))</f>
        <v>0</v>
      </c>
      <c r="O8" s="2363"/>
      <c r="P8" s="2363"/>
      <c r="Q8" s="2363"/>
      <c r="R8" s="3058">
        <v>7</v>
      </c>
      <c r="S8" s="3059"/>
      <c r="T8" s="3058" t="e">
        <f t="shared" si="0"/>
        <v>#DIV/0!</v>
      </c>
      <c r="U8" s="3059"/>
      <c r="V8" s="3058" t="e">
        <f t="shared" si="1"/>
        <v>#DIV/0!</v>
      </c>
      <c r="W8" s="3737" t="s">
        <v>2889</v>
      </c>
      <c r="X8" s="3738"/>
      <c r="Y8" s="3070" t="s">
        <v>164</v>
      </c>
      <c r="Z8" s="3070" t="s">
        <v>165</v>
      </c>
      <c r="AA8" s="3070" t="s">
        <v>160</v>
      </c>
      <c r="AB8" s="3070" t="s">
        <v>161</v>
      </c>
      <c r="AC8" s="3070" t="s">
        <v>162</v>
      </c>
      <c r="AD8" s="3070" t="s">
        <v>163</v>
      </c>
      <c r="AE8" s="3070" t="s">
        <v>1170</v>
      </c>
      <c r="AF8" s="3070" t="s">
        <v>1171</v>
      </c>
      <c r="AG8" s="3070" t="s">
        <v>1172</v>
      </c>
      <c r="AH8" s="3070" t="s">
        <v>1173</v>
      </c>
      <c r="AI8" s="3070" t="s">
        <v>1174</v>
      </c>
      <c r="AJ8" s="3070" t="s">
        <v>1175</v>
      </c>
    </row>
    <row r="9" spans="1:36" ht="15">
      <c r="A9" s="3745"/>
      <c r="B9" s="1614" t="s">
        <v>1800</v>
      </c>
      <c r="C9" s="1639">
        <f>SUMIF(修正!C59:C119,C8,修正!E59:E119)</f>
        <v>0</v>
      </c>
      <c r="D9" s="528" t="s">
        <v>1136</v>
      </c>
      <c r="E9" s="528" t="e">
        <f>ROUND(C11/E7,4)</f>
        <v>#DIV/0!</v>
      </c>
      <c r="F9" s="1636" t="s">
        <v>1801</v>
      </c>
      <c r="G9" s="1637"/>
      <c r="H9" s="1637"/>
      <c r="I9" s="1637"/>
      <c r="J9" s="1638"/>
      <c r="K9" s="2363"/>
      <c r="L9" s="1868" t="s">
        <v>1537</v>
      </c>
      <c r="M9" s="2119">
        <f>SUMPRODUCT((区片价!B245:B289=I2)*(区片价!C3:F3=E2)*(区片价!C245:F289))</f>
        <v>0</v>
      </c>
      <c r="N9" s="2121">
        <f>SUMPRODUCT((因素修正幅度!B245:B289=I2)*(因素修正幅度!C3:F3=E2)*(因素修正幅度!C245:F289))</f>
        <v>0</v>
      </c>
      <c r="O9" s="2363"/>
      <c r="P9" s="2363"/>
      <c r="Q9" s="2363"/>
      <c r="R9" s="3058">
        <v>8</v>
      </c>
      <c r="S9" s="3059"/>
      <c r="T9" s="3058" t="e">
        <f t="shared" si="0"/>
        <v>#DIV/0!</v>
      </c>
      <c r="U9" s="3059"/>
      <c r="V9" s="3058" t="e">
        <f t="shared" si="1"/>
        <v>#DIV/0!</v>
      </c>
      <c r="W9" s="3739" t="s">
        <v>2890</v>
      </c>
      <c r="X9" s="3071" t="s">
        <v>1757</v>
      </c>
      <c r="Y9" s="3292"/>
      <c r="Z9" s="3072">
        <f>$Y$9</f>
        <v>0</v>
      </c>
      <c r="AA9" s="3072">
        <f t="shared" ref="AA9:AJ9" si="2">$Y$9</f>
        <v>0</v>
      </c>
      <c r="AB9" s="3072">
        <f t="shared" si="2"/>
        <v>0</v>
      </c>
      <c r="AC9" s="3072">
        <f t="shared" si="2"/>
        <v>0</v>
      </c>
      <c r="AD9" s="3072">
        <f t="shared" si="2"/>
        <v>0</v>
      </c>
      <c r="AE9" s="3072">
        <f t="shared" si="2"/>
        <v>0</v>
      </c>
      <c r="AF9" s="3072">
        <f t="shared" si="2"/>
        <v>0</v>
      </c>
      <c r="AG9" s="3072">
        <f t="shared" si="2"/>
        <v>0</v>
      </c>
      <c r="AH9" s="3072">
        <f t="shared" si="2"/>
        <v>0</v>
      </c>
      <c r="AI9" s="3072">
        <f t="shared" si="2"/>
        <v>0</v>
      </c>
      <c r="AJ9" s="3072">
        <f t="shared" si="2"/>
        <v>0</v>
      </c>
    </row>
    <row r="10" spans="1:36" ht="15">
      <c r="A10" s="3745"/>
      <c r="B10" s="1614" t="s">
        <v>1802</v>
      </c>
      <c r="C10" s="528">
        <f>SUMIF(修正!C59:C119,C8,修正!F59:F119)</f>
        <v>0</v>
      </c>
      <c r="D10" s="528" t="s">
        <v>1137</v>
      </c>
      <c r="E10" s="528" t="e">
        <f>ROUND(C11/E7,4)</f>
        <v>#DIV/0!</v>
      </c>
      <c r="F10" s="1636" t="s">
        <v>1803</v>
      </c>
      <c r="G10" s="1637"/>
      <c r="H10" s="1637"/>
      <c r="I10" s="1637"/>
      <c r="J10" s="1638"/>
      <c r="K10" s="2363"/>
      <c r="L10" s="1868" t="s">
        <v>1541</v>
      </c>
      <c r="M10" s="2119">
        <f>SUMPRODUCT((区片价!B290:B316=I2)*(区片价!C3:F3=E2)*(区片价!C290:F316))</f>
        <v>0</v>
      </c>
      <c r="N10" s="2121">
        <f>SUMPRODUCT((因素修正幅度!B290:B316=I2)*(因素修正幅度!C3:F3=E2)*(因素修正幅度!C290:F316))</f>
        <v>0</v>
      </c>
      <c r="O10" s="2363"/>
      <c r="P10" s="2363"/>
      <c r="Q10" s="2363"/>
      <c r="R10" s="3058">
        <v>9</v>
      </c>
      <c r="S10" s="3059"/>
      <c r="T10" s="3058" t="e">
        <f t="shared" si="0"/>
        <v>#DIV/0!</v>
      </c>
      <c r="U10" s="3059"/>
      <c r="V10" s="3058" t="e">
        <f t="shared" si="1"/>
        <v>#DIV/0!</v>
      </c>
      <c r="W10" s="3739"/>
      <c r="X10" s="3071">
        <v>7</v>
      </c>
      <c r="Y10" s="3073">
        <f>(-0.163*(Y9^2)-0.59*Y9+7617)*(10^(-4))</f>
        <v>0.76170000000000004</v>
      </c>
      <c r="Z10" s="3073">
        <f>(-0.163*(Z9^2)-0.59*Z9+7617)*(10^(-4))</f>
        <v>0.76170000000000004</v>
      </c>
      <c r="AA10" s="3073">
        <f>(-0.161*(AA9^2)-7.509*AA9+6533)*(10^(-4))</f>
        <v>0.65329999999999999</v>
      </c>
      <c r="AB10" s="3073">
        <f>(-0.161*(AB9^2)-7.509*AB9+6533)*(10^(-4))</f>
        <v>0.65329999999999999</v>
      </c>
      <c r="AC10" s="3073">
        <f>(-0.161*(AC9^2)-7.509*AC9+6533)*(10^(-4))</f>
        <v>0.65329999999999999</v>
      </c>
      <c r="AD10" s="3073">
        <f>(-0.161*(AD9^2)-7.509*AD9+6533)*(10^(-4))</f>
        <v>0.65329999999999999</v>
      </c>
      <c r="AE10" s="3073">
        <f>(-0.161*(AE9^2)-7.509*AE9+6533)*(10^(-4))</f>
        <v>0.65329999999999999</v>
      </c>
      <c r="AF10" s="3073">
        <f>(-0.214*(AF9^2)-21.991*AF9+4665)*(10^(-4))</f>
        <v>0.46650000000000003</v>
      </c>
      <c r="AG10" s="3073">
        <f>(-0.214*(AG9^2)-21.991*AG9+4665)*(10^(-4))</f>
        <v>0.46650000000000003</v>
      </c>
      <c r="AH10" s="3073">
        <f>(-0.214*(AH9^2)-21.991*AH9+4665)*(10^(-4))</f>
        <v>0.46650000000000003</v>
      </c>
      <c r="AI10" s="3073">
        <f>(-0.214*(AI9^2)-21.991*AI9+4665)*(10^(-4))</f>
        <v>0.46650000000000003</v>
      </c>
      <c r="AJ10" s="3073">
        <f>(-0.214*(AJ9^2)-21.991*AJ9+4665)*(10^(-4))</f>
        <v>0.46650000000000003</v>
      </c>
    </row>
    <row r="11" spans="1:36" ht="15.75" thickBot="1">
      <c r="A11" s="3745"/>
      <c r="B11" s="1640" t="s">
        <v>1804</v>
      </c>
      <c r="C11" s="1641">
        <f>C10/4</f>
        <v>0</v>
      </c>
      <c r="D11" s="1641" t="s">
        <v>1138</v>
      </c>
      <c r="E11" s="1641" t="e">
        <f>ROUND(C11/E7,4)</f>
        <v>#DIV/0!</v>
      </c>
      <c r="F11" s="1642" t="s">
        <v>1805</v>
      </c>
      <c r="G11" s="1643"/>
      <c r="H11" s="1643"/>
      <c r="I11" s="1643"/>
      <c r="J11" s="1644"/>
      <c r="K11" s="2363"/>
      <c r="L11" s="1868" t="s">
        <v>1940</v>
      </c>
      <c r="M11" s="2119">
        <f>SUMPRODUCT((区片价!B317:B337=I2)*(区片价!C3:F3=E2)*(区片价!C317:F337))</f>
        <v>0</v>
      </c>
      <c r="N11" s="2121">
        <f>SUMPRODUCT((因素修正幅度!B317:B337=I2)*(因素修正幅度!C3:F3=E2)*(因素修正幅度!C317:F337))</f>
        <v>0</v>
      </c>
      <c r="O11" s="2363"/>
      <c r="P11" s="2363"/>
      <c r="Q11" s="2363"/>
      <c r="R11" s="3058">
        <v>10</v>
      </c>
      <c r="S11" s="3059"/>
      <c r="T11" s="3058" t="e">
        <f t="shared" si="0"/>
        <v>#DIV/0!</v>
      </c>
      <c r="U11" s="3059"/>
      <c r="V11" s="3058" t="e">
        <f t="shared" si="1"/>
        <v>#DIV/0!</v>
      </c>
      <c r="W11" s="3739" t="s">
        <v>2891</v>
      </c>
      <c r="X11" s="3074" t="s">
        <v>2888</v>
      </c>
      <c r="Y11" s="3075">
        <f>$G$3</f>
        <v>1.02</v>
      </c>
      <c r="Z11" s="3075">
        <f t="shared" ref="Z11:AJ11" si="3">$G$3</f>
        <v>1.02</v>
      </c>
      <c r="AA11" s="3075">
        <f t="shared" si="3"/>
        <v>1.02</v>
      </c>
      <c r="AB11" s="3075">
        <f t="shared" si="3"/>
        <v>1.02</v>
      </c>
      <c r="AC11" s="3075">
        <f t="shared" si="3"/>
        <v>1.02</v>
      </c>
      <c r="AD11" s="3075">
        <f t="shared" si="3"/>
        <v>1.02</v>
      </c>
      <c r="AE11" s="3075">
        <f t="shared" si="3"/>
        <v>1.02</v>
      </c>
      <c r="AF11" s="3075">
        <f t="shared" si="3"/>
        <v>1.02</v>
      </c>
      <c r="AG11" s="3075">
        <f t="shared" si="3"/>
        <v>1.02</v>
      </c>
      <c r="AH11" s="3075">
        <f t="shared" si="3"/>
        <v>1.02</v>
      </c>
      <c r="AI11" s="3075">
        <f t="shared" si="3"/>
        <v>1.02</v>
      </c>
      <c r="AJ11" s="3075">
        <f t="shared" si="3"/>
        <v>1.02</v>
      </c>
    </row>
    <row r="12" spans="1:36" ht="26.25" thickBot="1">
      <c r="A12" s="3744" t="s">
        <v>1938</v>
      </c>
      <c r="B12" s="1645" t="s">
        <v>1806</v>
      </c>
      <c r="C12" s="1629">
        <f>ROUND(C15*D15*E15*F15*G15*H15*I15*J15,4)</f>
        <v>1</v>
      </c>
      <c r="D12" s="1646" t="s">
        <v>1807</v>
      </c>
      <c r="E12" s="1647"/>
      <c r="F12" s="1647"/>
      <c r="G12" s="1648"/>
      <c r="H12" s="1648"/>
      <c r="I12" s="1648"/>
      <c r="J12" s="1649"/>
      <c r="K12" s="2363"/>
      <c r="L12" s="1869" t="s">
        <v>1941</v>
      </c>
      <c r="M12" s="2120">
        <f>SUMPRODUCT((区片价!B338:B344=I2)*(区片价!C3:F3=E2)*(区片价!C338:F344))</f>
        <v>0</v>
      </c>
      <c r="N12" s="2121">
        <f>SUMPRODUCT((因素修正幅度!B338:B344=I2)*(因素修正幅度!C3:F3=E2)*(因素修正幅度!C338:F344))</f>
        <v>0</v>
      </c>
      <c r="O12" s="2363"/>
      <c r="P12" s="2363"/>
      <c r="Q12" s="2363"/>
      <c r="R12" s="3058">
        <v>11</v>
      </c>
      <c r="S12" s="3059"/>
      <c r="T12" s="3058" t="e">
        <f t="shared" si="0"/>
        <v>#DIV/0!</v>
      </c>
      <c r="U12" s="3059"/>
      <c r="V12" s="3058" t="e">
        <f t="shared" si="1"/>
        <v>#DIV/0!</v>
      </c>
      <c r="W12" s="3739"/>
      <c r="X12" s="3076" t="s">
        <v>1760</v>
      </c>
      <c r="Y12" s="3072">
        <f t="shared" ref="Y12:AJ12" si="4">Y9</f>
        <v>0</v>
      </c>
      <c r="Z12" s="3072">
        <f t="shared" si="4"/>
        <v>0</v>
      </c>
      <c r="AA12" s="3072">
        <f t="shared" si="4"/>
        <v>0</v>
      </c>
      <c r="AB12" s="3072">
        <f t="shared" si="4"/>
        <v>0</v>
      </c>
      <c r="AC12" s="3072">
        <f t="shared" si="4"/>
        <v>0</v>
      </c>
      <c r="AD12" s="3072">
        <f t="shared" si="4"/>
        <v>0</v>
      </c>
      <c r="AE12" s="3072">
        <f t="shared" si="4"/>
        <v>0</v>
      </c>
      <c r="AF12" s="3072">
        <f t="shared" si="4"/>
        <v>0</v>
      </c>
      <c r="AG12" s="3072">
        <f t="shared" si="4"/>
        <v>0</v>
      </c>
      <c r="AH12" s="3072">
        <f t="shared" si="4"/>
        <v>0</v>
      </c>
      <c r="AI12" s="3072">
        <f t="shared" si="4"/>
        <v>0</v>
      </c>
      <c r="AJ12" s="3072">
        <f t="shared" si="4"/>
        <v>0</v>
      </c>
    </row>
    <row r="13" spans="1:36" ht="24">
      <c r="A13" s="3746"/>
      <c r="B13" s="1650" t="s">
        <v>1808</v>
      </c>
      <c r="C13" s="1651" t="s">
        <v>1809</v>
      </c>
      <c r="D13" s="1652" t="s">
        <v>1810</v>
      </c>
      <c r="E13" s="1652" t="s">
        <v>1811</v>
      </c>
      <c r="F13" s="81" t="s">
        <v>1139</v>
      </c>
      <c r="G13" s="1771" t="s">
        <v>1862</v>
      </c>
      <c r="H13" s="1771" t="s">
        <v>1862</v>
      </c>
      <c r="I13" s="1771" t="s">
        <v>1862</v>
      </c>
      <c r="J13" s="1772" t="s">
        <v>1862</v>
      </c>
      <c r="K13" s="2363"/>
      <c r="L13" s="2363"/>
      <c r="M13" s="2363"/>
      <c r="N13" s="2363"/>
      <c r="O13" s="2363"/>
      <c r="P13" s="2363"/>
      <c r="Q13" s="2363"/>
      <c r="R13" s="3058">
        <v>12</v>
      </c>
      <c r="S13" s="3059"/>
      <c r="T13" s="3058" t="e">
        <f t="shared" si="0"/>
        <v>#DIV/0!</v>
      </c>
      <c r="U13" s="3059"/>
      <c r="V13" s="3058" t="e">
        <f t="shared" si="1"/>
        <v>#DIV/0!</v>
      </c>
      <c r="W13" s="3739"/>
      <c r="X13" s="3076"/>
      <c r="Y13" s="3073">
        <f>(-0.163*(Y12^2)-0.59*Y12+7617)*(10^(-4))/Y11</f>
        <v>0.746764705882353</v>
      </c>
      <c r="Z13" s="3073">
        <f t="shared" ref="Z13:AJ13" si="5">(-0.163*(Z12^2)-0.59*Z12+7617)*(10^(-4))/Z11</f>
        <v>0.746764705882353</v>
      </c>
      <c r="AA13" s="3073">
        <f t="shared" si="5"/>
        <v>0.746764705882353</v>
      </c>
      <c r="AB13" s="3073">
        <f t="shared" si="5"/>
        <v>0.746764705882353</v>
      </c>
      <c r="AC13" s="3073">
        <f t="shared" si="5"/>
        <v>0.746764705882353</v>
      </c>
      <c r="AD13" s="3073">
        <f t="shared" si="5"/>
        <v>0.746764705882353</v>
      </c>
      <c r="AE13" s="3073">
        <f t="shared" si="5"/>
        <v>0.746764705882353</v>
      </c>
      <c r="AF13" s="3073">
        <f t="shared" si="5"/>
        <v>0.746764705882353</v>
      </c>
      <c r="AG13" s="3073">
        <f t="shared" si="5"/>
        <v>0.746764705882353</v>
      </c>
      <c r="AH13" s="3073">
        <f t="shared" si="5"/>
        <v>0.746764705882353</v>
      </c>
      <c r="AI13" s="3073">
        <f t="shared" si="5"/>
        <v>0.746764705882353</v>
      </c>
      <c r="AJ13" s="3073">
        <f t="shared" si="5"/>
        <v>0.746764705882353</v>
      </c>
    </row>
    <row r="14" spans="1:36" ht="15">
      <c r="A14" s="3746"/>
      <c r="B14" s="1653"/>
      <c r="C14" s="1773"/>
      <c r="D14" s="1470"/>
      <c r="E14" s="1470"/>
      <c r="F14" s="1774"/>
      <c r="G14" s="1654" t="s">
        <v>1839</v>
      </c>
      <c r="H14" s="1655"/>
      <c r="I14" s="1656"/>
      <c r="J14" s="1657"/>
      <c r="K14" s="2363"/>
      <c r="L14" s="2363"/>
      <c r="M14" s="2363"/>
      <c r="N14" s="2363"/>
      <c r="O14" s="2363"/>
      <c r="P14" s="2363"/>
      <c r="Q14" s="2363"/>
      <c r="R14" s="3058">
        <v>13</v>
      </c>
      <c r="S14" s="3059"/>
      <c r="T14" s="3058" t="e">
        <f t="shared" si="0"/>
        <v>#DIV/0!</v>
      </c>
      <c r="U14" s="3059"/>
      <c r="V14" s="3058" t="e">
        <f t="shared" si="1"/>
        <v>#DIV/0!</v>
      </c>
      <c r="W14" s="3054"/>
      <c r="X14" s="3054"/>
      <c r="Y14" s="3054"/>
      <c r="Z14" s="3054"/>
      <c r="AA14" s="3054"/>
      <c r="AB14" s="3054"/>
      <c r="AC14" s="3055"/>
      <c r="AD14" s="3056"/>
      <c r="AE14" s="3056"/>
      <c r="AF14" s="3056"/>
      <c r="AG14" s="3056"/>
      <c r="AH14" s="3056"/>
      <c r="AI14" s="3056"/>
      <c r="AJ14" s="3057"/>
    </row>
    <row r="15" spans="1:36" ht="15.75" thickBot="1">
      <c r="A15" s="3747"/>
      <c r="B15" s="1658" t="s">
        <v>1812</v>
      </c>
      <c r="C15" s="557">
        <f>IF(C14="有",1.1,1)</f>
        <v>1</v>
      </c>
      <c r="D15" s="557">
        <f>IF(D14="有",1.1,1)</f>
        <v>1</v>
      </c>
      <c r="E15" s="557">
        <f>IF(E14="有",1.1,1)</f>
        <v>1</v>
      </c>
      <c r="F15" s="557">
        <f>IF(F14="500米范围内",1.2,IF(F14="500-1000米",1.1,1))</f>
        <v>1</v>
      </c>
      <c r="G15" s="1775">
        <v>1</v>
      </c>
      <c r="H15" s="1775">
        <v>1</v>
      </c>
      <c r="I15" s="1775">
        <v>1</v>
      </c>
      <c r="J15" s="1776">
        <v>1</v>
      </c>
      <c r="K15" s="2363"/>
      <c r="L15" s="1689" t="s">
        <v>1828</v>
      </c>
      <c r="M15" s="1690" t="s">
        <v>1829</v>
      </c>
      <c r="N15" s="1690" t="s">
        <v>1830</v>
      </c>
      <c r="O15" s="1690" t="s">
        <v>975</v>
      </c>
      <c r="P15" s="1691" t="s">
        <v>1831</v>
      </c>
      <c r="Q15" s="2363"/>
      <c r="R15" s="3058">
        <v>14</v>
      </c>
      <c r="S15" s="3059"/>
      <c r="T15" s="3058" t="e">
        <f t="shared" si="0"/>
        <v>#DIV/0!</v>
      </c>
      <c r="U15" s="3059"/>
      <c r="V15" s="3058" t="e">
        <f t="shared" si="1"/>
        <v>#DIV/0!</v>
      </c>
      <c r="W15" s="3054"/>
      <c r="X15" s="3054"/>
      <c r="Y15" s="3054"/>
      <c r="Z15" s="3054"/>
      <c r="AA15" s="3054"/>
      <c r="AB15" s="3054"/>
      <c r="AC15" s="3055"/>
      <c r="AD15" s="3056"/>
      <c r="AE15" s="3056"/>
      <c r="AF15" s="3056"/>
      <c r="AG15" s="3056"/>
      <c r="AH15" s="3056"/>
      <c r="AI15" s="3056"/>
      <c r="AJ15" s="3057"/>
    </row>
    <row r="16" spans="1:36" ht="24">
      <c r="A16" s="3744" t="s">
        <v>1939</v>
      </c>
      <c r="B16" s="1628" t="s">
        <v>1813</v>
      </c>
      <c r="C16" s="1761" t="e">
        <f>ROUND(SUM(G17:J17)/C17,0)</f>
        <v>#DIV/0!</v>
      </c>
      <c r="D16" s="1659" t="s">
        <v>1814</v>
      </c>
      <c r="E16" s="1777"/>
      <c r="F16" s="1778"/>
      <c r="G16" s="1779"/>
      <c r="H16" s="1779"/>
      <c r="I16" s="1779"/>
      <c r="J16" s="1780"/>
      <c r="K16" s="2363"/>
      <c r="L16" s="1695" t="s">
        <v>1833</v>
      </c>
      <c r="M16" s="1639">
        <v>0.25</v>
      </c>
      <c r="N16" s="1639">
        <v>0.2</v>
      </c>
      <c r="O16" s="1639">
        <v>0.15</v>
      </c>
      <c r="P16" s="2713">
        <v>0.1</v>
      </c>
      <c r="Q16" s="2714"/>
      <c r="R16" s="3058">
        <v>15</v>
      </c>
      <c r="S16" s="3059"/>
      <c r="T16" s="3058" t="e">
        <f t="shared" si="0"/>
        <v>#DIV/0!</v>
      </c>
      <c r="U16" s="3059"/>
      <c r="V16" s="3058" t="e">
        <f t="shared" si="1"/>
        <v>#DIV/0!</v>
      </c>
      <c r="W16" s="3066"/>
      <c r="X16" s="3066"/>
      <c r="Y16" s="3066"/>
      <c r="Z16" s="3066"/>
      <c r="AA16" s="3066"/>
      <c r="AB16" s="3066"/>
      <c r="AC16" s="3067"/>
      <c r="AD16" s="3056"/>
      <c r="AE16" s="3056"/>
      <c r="AF16" s="3056"/>
      <c r="AG16" s="3056"/>
      <c r="AH16" s="3056"/>
      <c r="AI16" s="3056"/>
      <c r="AJ16" s="3057"/>
    </row>
    <row r="17" spans="1:37" ht="13.5" thickBot="1">
      <c r="A17" s="3745"/>
      <c r="B17" s="1660" t="s">
        <v>1815</v>
      </c>
      <c r="C17" s="1661">
        <f>SUMPRODUCT((修正!A2:A5=E2)*(修正!B1:M1=G2)*(修正!B2:M5))</f>
        <v>0</v>
      </c>
      <c r="D17" s="1662" t="s">
        <v>1816</v>
      </c>
      <c r="E17" s="1732" t="str">
        <f>IF(OR(G2="八级",G2="九级",G2="十级",G2="十一级",G2="十二级"),"五通一平","七通一平")</f>
        <v>五通一平</v>
      </c>
      <c r="F17" s="1663" t="s">
        <v>1817</v>
      </c>
      <c r="G17" s="1661">
        <f>SUMPRODUCT((七通一平=G16)*(修正!B1:M1=G2)*(修正!B6:M14))</f>
        <v>0</v>
      </c>
      <c r="H17" s="1661">
        <f>SUMPRODUCT((七通一平=H16)*(修正!B1:M1=G2)*(修正!B6:M14))</f>
        <v>0</v>
      </c>
      <c r="I17" s="1661">
        <f>SUMPRODUCT((七通一平=I16)*(修正!B1:M1=G2)*(修正!B6:M14))</f>
        <v>0</v>
      </c>
      <c r="J17" s="1664">
        <f>SUMPRODUCT((七通一平=J16)*(修正!B1:M1=G2)*(修正!B6:M14))</f>
        <v>0</v>
      </c>
      <c r="K17" s="2363"/>
      <c r="L17" s="1702" t="s">
        <v>1822</v>
      </c>
      <c r="M17" s="539">
        <f ca="1">ROUND($E$20*(1+M16),3)</f>
        <v>5.3999999999999999E-2</v>
      </c>
      <c r="N17" s="539">
        <f ca="1">ROUND($E$20*(1+N16),3)</f>
        <v>5.1999999999999998E-2</v>
      </c>
      <c r="O17" s="539">
        <f ca="1">ROUND($E$20*(1+O16),3)</f>
        <v>0.05</v>
      </c>
      <c r="P17" s="2717">
        <f ca="1">ROUND($E$20*(1+P16),3)</f>
        <v>4.8000000000000001E-2</v>
      </c>
      <c r="Q17" s="2714"/>
      <c r="R17" s="2714"/>
      <c r="S17" s="2714"/>
      <c r="T17" s="2714"/>
      <c r="U17" s="2714"/>
      <c r="V17" s="2714"/>
      <c r="W17" s="2714"/>
      <c r="X17" s="2714"/>
      <c r="Y17" s="2714"/>
      <c r="Z17" s="2715"/>
      <c r="AA17" s="2716"/>
      <c r="AB17" s="2716"/>
      <c r="AC17" s="2716"/>
      <c r="AD17" s="2716"/>
      <c r="AE17" s="1607"/>
      <c r="AF17" s="1607"/>
      <c r="AG17" s="1610"/>
      <c r="AH17" s="1610"/>
      <c r="AI17" s="1610"/>
      <c r="AJ17" s="1610"/>
    </row>
    <row r="18" spans="1:37" s="1621" customFormat="1" ht="15.75" thickBot="1">
      <c r="A18" s="1862" t="s">
        <v>1931</v>
      </c>
      <c r="B18" s="1665" t="s">
        <v>1818</v>
      </c>
      <c r="C18" s="1666">
        <f>SUMIF(修正!C18:C39,E3,修正!E18:E39)</f>
        <v>0</v>
      </c>
      <c r="D18" s="1667"/>
      <c r="E18" s="1668"/>
      <c r="F18" s="1669"/>
      <c r="G18" s="1670"/>
      <c r="H18" s="1670"/>
      <c r="I18" s="1670"/>
      <c r="J18" s="1671"/>
      <c r="K18" s="2370"/>
      <c r="O18" s="2719"/>
      <c r="P18" s="2719"/>
      <c r="Q18" s="2720"/>
      <c r="R18" s="2720"/>
      <c r="S18" s="2720"/>
      <c r="T18" s="2715"/>
      <c r="U18" s="2715"/>
      <c r="V18" s="2715"/>
      <c r="W18" s="2714"/>
      <c r="X18" s="2714"/>
      <c r="Y18" s="2714"/>
      <c r="Z18" s="2721"/>
      <c r="AA18" s="2722"/>
      <c r="AB18" s="2722"/>
      <c r="AC18" s="2722"/>
      <c r="AD18" s="2722"/>
      <c r="AE18" s="1608"/>
      <c r="AF18" s="1608"/>
      <c r="AG18" s="1609"/>
      <c r="AH18" s="1609"/>
      <c r="AI18" s="1609"/>
    </row>
    <row r="19" spans="1:37" s="1621" customFormat="1" ht="27.75" thickBot="1">
      <c r="A19" s="1862" t="s">
        <v>1932</v>
      </c>
      <c r="B19" s="1665" t="s">
        <v>1819</v>
      </c>
      <c r="C19" s="1674" t="e">
        <f>ROUND(IF(H19="按公示增长率计算",SUMPRODUCT((地价!A3:A19=YEAR(G19)&amp;"-"&amp;ROUNDUP(MONTH(G19)/3,0))*(地价!X2:AB2=E2)*(地价!X3:AB19)),IF(H19="地价指数",M20/M19,(1+I19)^O19)),4)</f>
        <v>#DIV/0!</v>
      </c>
      <c r="D19" s="1675" t="s">
        <v>1140</v>
      </c>
      <c r="E19" s="1676">
        <v>41640</v>
      </c>
      <c r="F19" s="1675" t="s">
        <v>1141</v>
      </c>
      <c r="G19" s="1677">
        <f>'数据-取费表'!B2</f>
        <v>43006</v>
      </c>
      <c r="H19" s="3000" t="s">
        <v>2950</v>
      </c>
      <c r="I19" s="1678" t="str">
        <f>IF(H19="季度增幅（自定义）",SUMIF(N21:N24,E2,O21:O24),"")</f>
        <v/>
      </c>
      <c r="J19" s="1671"/>
      <c r="K19" s="2370"/>
      <c r="L19" s="3226" t="s">
        <v>2948</v>
      </c>
      <c r="M19" s="3228">
        <f>ROUND(SUMIF(地价!B2:F2,E2,地价!B19:F19),0)</f>
        <v>0</v>
      </c>
      <c r="N19" s="3224" t="s">
        <v>1864</v>
      </c>
      <c r="O19" s="1679">
        <f>ROUNDDOWN(DATEDIF(E19,G19,"M")/3,0)</f>
        <v>14</v>
      </c>
      <c r="P19" s="2718"/>
      <c r="Q19" s="2720"/>
      <c r="R19" s="2720"/>
      <c r="S19" s="2720"/>
      <c r="T19" s="2715"/>
      <c r="U19" s="2715"/>
      <c r="V19" s="2715"/>
      <c r="W19" s="2714"/>
      <c r="X19" s="2714"/>
      <c r="Y19" s="2714"/>
      <c r="Z19" s="2721"/>
      <c r="AA19" s="2722"/>
      <c r="AB19" s="2722"/>
      <c r="AC19" s="2722"/>
      <c r="AD19" s="2722"/>
      <c r="AE19" s="1672"/>
      <c r="AF19" s="1673"/>
      <c r="AG19" s="1680"/>
      <c r="AH19" s="1609"/>
      <c r="AI19" s="1620"/>
      <c r="AJ19" s="1620"/>
      <c r="AK19" s="1620"/>
    </row>
    <row r="20" spans="1:37" s="1621" customFormat="1" ht="27.75" thickBot="1">
      <c r="A20" s="1863" t="s">
        <v>1933</v>
      </c>
      <c r="B20" s="1734" t="s">
        <v>1820</v>
      </c>
      <c r="C20" s="1681" t="e">
        <f>ROUND(POWER(1+G20,J20-I20)*(POWER(1+G20,I20)-1)/(POWER(1+G20,J20)-1),4)</f>
        <v>#DIV/0!</v>
      </c>
      <c r="D20" s="1735" t="s">
        <v>1821</v>
      </c>
      <c r="E20" s="3280">
        <f ca="1">存贷款利率!D4/100</f>
        <v>4.3499999999999997E-2</v>
      </c>
      <c r="F20" s="1735" t="s">
        <v>1822</v>
      </c>
      <c r="G20" s="1736">
        <f>SUMIF(M15:P15,E2,M17:P17)</f>
        <v>0</v>
      </c>
      <c r="H20" s="1735" t="s">
        <v>1823</v>
      </c>
      <c r="I20" s="1737" t="e">
        <f>SUMIF('数据-取费表'!C6:C15,E2,'数据-取费表'!F6:F15)/COUNTIF('数据-取费表'!C6:C15,E2)</f>
        <v>#DIV/0!</v>
      </c>
      <c r="J20" s="1738">
        <f>IF(E2="住宅",70,IF(E2="商业",40,50))</f>
        <v>50</v>
      </c>
      <c r="K20" s="2370"/>
      <c r="L20" s="3227" t="s">
        <v>2949</v>
      </c>
      <c r="M20" s="3229">
        <f>ROUND(SUMPRODUCT((地价!A4:A19=YEAR(G19)&amp;"-"&amp;ROUNDUP(MONTH(G19)/3,0))*(地价!B2:F2=E2)*(地价!B4:F19)),0)</f>
        <v>0</v>
      </c>
      <c r="N20" s="3225" t="s">
        <v>2777</v>
      </c>
      <c r="O20" s="3001" t="s">
        <v>2778</v>
      </c>
      <c r="P20" s="3002" t="s">
        <v>2787</v>
      </c>
      <c r="R20" s="2720"/>
      <c r="S20" s="2720"/>
      <c r="T20" s="2715"/>
      <c r="U20" s="2715"/>
      <c r="V20" s="2715"/>
      <c r="W20" s="2714"/>
      <c r="X20" s="2714"/>
      <c r="Y20" s="2714"/>
      <c r="Z20" s="2721"/>
      <c r="AA20" s="2722"/>
      <c r="AB20" s="2722"/>
      <c r="AC20" s="2722"/>
      <c r="AD20" s="2722"/>
      <c r="AE20" s="1672"/>
      <c r="AF20" s="1672"/>
    </row>
    <row r="21" spans="1:37" s="1621" customFormat="1" ht="14.25">
      <c r="A21" s="1864" t="s">
        <v>1934</v>
      </c>
      <c r="B21" s="1781" t="s">
        <v>2489</v>
      </c>
      <c r="C21" s="1739">
        <f>IF(B21="容积率修正",IF(G3&lt;=10,D22,J22),C23)</f>
        <v>0</v>
      </c>
      <c r="D21" s="1740"/>
      <c r="E21" s="1740"/>
      <c r="F21" s="1740"/>
      <c r="G21" s="1740"/>
      <c r="H21" s="1740"/>
      <c r="I21" s="1740"/>
      <c r="J21" s="1741"/>
      <c r="K21" s="2370"/>
      <c r="N21" s="3003" t="s">
        <v>2779</v>
      </c>
      <c r="O21" s="3004"/>
      <c r="P21" s="3005">
        <f>SUMPRODUCT((地价!A3:A19=YEAR(G19)&amp;"-"&amp;ROUNDUP(MONTH(G19)/3,0))*(地价!AD2:AH2=N21)*(地价!AD3:AH19))</f>
        <v>1.6E-2</v>
      </c>
      <c r="R21" s="2720"/>
      <c r="S21" s="2720"/>
      <c r="T21" s="2715"/>
      <c r="U21" s="2715"/>
      <c r="V21" s="2715"/>
      <c r="W21" s="2714"/>
      <c r="X21" s="2714"/>
      <c r="Y21" s="2714"/>
      <c r="Z21" s="2721"/>
      <c r="AA21" s="2722"/>
      <c r="AB21" s="2722"/>
      <c r="AC21" s="2722"/>
      <c r="AD21" s="2722"/>
      <c r="AE21" s="1672"/>
      <c r="AF21" s="1672"/>
    </row>
    <row r="22" spans="1:37" s="1621" customFormat="1" ht="14.25">
      <c r="A22" s="188" t="s">
        <v>1937</v>
      </c>
      <c r="B22" s="1683" t="s">
        <v>1824</v>
      </c>
      <c r="C22" s="1762" t="s">
        <v>1837</v>
      </c>
      <c r="D22" s="1762">
        <f>IF(E22=G22,F22,IF(G3&lt;=10,ROUND(F22+(H22-F22)*(G3-E22)/(G22-E22),4),"——"))</f>
        <v>0.1875</v>
      </c>
      <c r="E22" s="1613">
        <f>ROUNDDOWN(G3,1)</f>
        <v>1</v>
      </c>
      <c r="F22" s="176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13">
        <f>ROUNDUP(G3,1)</f>
        <v>1.1000000000000001</v>
      </c>
      <c r="H22" s="17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0.93730000000000002</v>
      </c>
      <c r="I22" s="1762" t="s">
        <v>1154</v>
      </c>
      <c r="J22" s="1742" t="str">
        <f>IF(G3&gt;10,D113,"——")</f>
        <v>——</v>
      </c>
      <c r="K22" s="2370"/>
      <c r="N22" s="3003" t="s">
        <v>2780</v>
      </c>
      <c r="O22" s="3004"/>
      <c r="P22" s="3005">
        <f>SUMPRODUCT((地价!A3:A19=YEAR(G19)&amp;"-"&amp;ROUNDUP(MONTH(G19)/3,0))*(地价!AD2:AH2=N22)*(地价!AD3:AH19))</f>
        <v>1.6E-2</v>
      </c>
      <c r="R22" s="2720"/>
      <c r="S22" s="2720"/>
      <c r="T22" s="2715"/>
      <c r="U22" s="2715"/>
      <c r="V22" s="2715"/>
      <c r="W22" s="2714"/>
      <c r="X22" s="2714"/>
      <c r="Y22" s="2714"/>
      <c r="Z22" s="2721"/>
      <c r="AA22" s="2722"/>
      <c r="AB22" s="2722"/>
      <c r="AC22" s="2722"/>
      <c r="AD22" s="2722"/>
      <c r="AE22" s="1672"/>
      <c r="AF22" s="1672"/>
    </row>
    <row r="23" spans="1:37" ht="27.75" thickBot="1">
      <c r="A23" s="188" t="s">
        <v>1938</v>
      </c>
      <c r="B23" s="1854" t="s">
        <v>1825</v>
      </c>
      <c r="C23" s="1855">
        <f>ROUND(IF(G3&gt;1,IF(I3&lt;7,SUMPRODUCT((B93:B98=I3)*(C92:N92=G2)*(C93:N98)),SUMIF(C92:N92,G2,C100:N100)),IF(I3&lt;7,SUMPRODUCT((B102:B107=I3)*(C92:N92=G2)*(C102:N107)),SUMIF(C92:N92,G2,C109:N109))),4)</f>
        <v>0</v>
      </c>
      <c r="D23" s="1655"/>
      <c r="E23" s="1655"/>
      <c r="F23" s="1684"/>
      <c r="G23" s="1685"/>
      <c r="H23" s="1856"/>
      <c r="I23" s="1857"/>
      <c r="J23" s="1858"/>
      <c r="K23" s="2363"/>
      <c r="N23" s="3003" t="s">
        <v>40</v>
      </c>
      <c r="O23" s="3004"/>
      <c r="P23" s="3005">
        <f>SUMPRODUCT((地价!A3:A19=YEAR(G19)&amp;"-"&amp;ROUNDUP(MONTH(G19)/3,0))*(地价!AD2:AH2=N23)*(地价!AD3:AH19))</f>
        <v>2.75E-2</v>
      </c>
      <c r="R23" s="2720"/>
      <c r="S23" s="2720"/>
      <c r="T23" s="2715"/>
      <c r="U23" s="2715"/>
      <c r="V23" s="2715"/>
      <c r="W23" s="2714"/>
      <c r="X23" s="2714"/>
      <c r="Y23" s="2714"/>
      <c r="Z23" s="2721"/>
      <c r="AA23" s="2722"/>
      <c r="AB23" s="2722"/>
      <c r="AC23" s="2722"/>
      <c r="AD23" s="2722"/>
      <c r="AK23" s="1609"/>
    </row>
    <row r="24" spans="1:37" s="1621" customFormat="1" ht="15.75" thickBot="1">
      <c r="A24" s="1863" t="s">
        <v>1935</v>
      </c>
      <c r="B24" s="1665" t="s">
        <v>1826</v>
      </c>
      <c r="C24" s="1674">
        <f>SUMIF(A45:A88,E2,B45:B88)</f>
        <v>0</v>
      </c>
      <c r="D24" s="1669"/>
      <c r="E24" s="1859"/>
      <c r="F24" s="1859"/>
      <c r="G24" s="1859"/>
      <c r="H24" s="1859"/>
      <c r="I24" s="1859"/>
      <c r="J24" s="1860"/>
      <c r="K24" s="2370"/>
      <c r="N24" s="3006" t="s">
        <v>39</v>
      </c>
      <c r="O24" s="3007"/>
      <c r="P24" s="3008">
        <f>SUMPRODUCT((地价!A3:A19=YEAR(G19)&amp;"-"&amp;ROUNDUP(MONTH(G19)/3,0))*(地价!AD2:AH2=N24)*(地价!AD3:AH19))</f>
        <v>1.37E-2</v>
      </c>
      <c r="R24" s="2720"/>
      <c r="S24" s="2720"/>
      <c r="T24" s="2715"/>
      <c r="U24" s="2715"/>
      <c r="V24" s="2715"/>
      <c r="W24" s="2714"/>
      <c r="X24" s="2714"/>
      <c r="Y24" s="2714"/>
      <c r="Z24" s="2721"/>
      <c r="AA24" s="2722"/>
      <c r="AB24" s="2722"/>
      <c r="AC24" s="2722"/>
      <c r="AD24" s="2722"/>
      <c r="AE24" s="1672"/>
      <c r="AF24" s="1672"/>
    </row>
    <row r="25" spans="1:37" ht="15" thickBot="1">
      <c r="A25" s="1863" t="s">
        <v>1936</v>
      </c>
      <c r="B25" s="1686" t="s">
        <v>1827</v>
      </c>
      <c r="C25" s="1687"/>
      <c r="D25" s="1632"/>
      <c r="E25" s="1632"/>
      <c r="F25" s="1688"/>
      <c r="G25" s="1632"/>
      <c r="H25" s="1632"/>
      <c r="I25" s="1632"/>
      <c r="J25" s="1633"/>
      <c r="K25" s="2363"/>
      <c r="N25" s="3010" t="s">
        <v>2781</v>
      </c>
      <c r="O25" s="3009"/>
      <c r="P25" s="3008">
        <f>SUMPRODUCT((地价!A3:A19=YEAR(G19)&amp;"-"&amp;ROUNDUP(MONTH(G19)/3,0))*(地价!AD2:AH2=N25)*(地价!AD3:AH19))</f>
        <v>2.46E-2</v>
      </c>
      <c r="R25" s="2720"/>
      <c r="S25" s="2720"/>
      <c r="T25" s="2715"/>
      <c r="U25" s="2715"/>
      <c r="V25" s="2715"/>
      <c r="W25" s="2714"/>
      <c r="X25" s="2714"/>
      <c r="Y25" s="2714"/>
      <c r="Z25" s="2721"/>
      <c r="AA25" s="2722"/>
      <c r="AB25" s="2722"/>
      <c r="AC25" s="2722"/>
      <c r="AD25" s="2722"/>
    </row>
    <row r="26" spans="1:37" ht="14.25">
      <c r="A26" s="1866"/>
      <c r="B26" s="1683" t="s">
        <v>1858</v>
      </c>
      <c r="C26" s="534" t="e">
        <f>E29+SUM(E33:E39)</f>
        <v>#DIV/0!</v>
      </c>
      <c r="D26" s="1692"/>
      <c r="E26" s="1655"/>
      <c r="F26" s="1693"/>
      <c r="G26" s="1655"/>
      <c r="H26" s="1655"/>
      <c r="I26" s="1655"/>
      <c r="J26" s="1694"/>
      <c r="K26" s="2363"/>
      <c r="R26" s="2720"/>
      <c r="S26" s="2720"/>
      <c r="T26" s="2715"/>
      <c r="U26" s="2715"/>
      <c r="V26" s="2715"/>
      <c r="W26" s="2714"/>
      <c r="X26" s="2714"/>
      <c r="Y26" s="2714"/>
      <c r="Z26" s="2721"/>
      <c r="AA26" s="2722"/>
      <c r="AB26" s="2722"/>
      <c r="AC26" s="2722"/>
      <c r="AD26" s="2722"/>
    </row>
    <row r="27" spans="1:37" ht="15" thickBot="1">
      <c r="A27" s="1866"/>
      <c r="B27" s="1696" t="s">
        <v>1859</v>
      </c>
      <c r="C27" s="1697" t="e">
        <f>E30+SUM(I33:I39)</f>
        <v>#DIV/0!</v>
      </c>
      <c r="D27" s="1698"/>
      <c r="E27" s="1699"/>
      <c r="F27" s="1700"/>
      <c r="G27" s="1699"/>
      <c r="H27" s="1699"/>
      <c r="I27" s="1699"/>
      <c r="J27" s="1701"/>
      <c r="K27" s="2363"/>
      <c r="L27" s="2363"/>
      <c r="M27" s="2363"/>
      <c r="N27" s="2363"/>
      <c r="O27" s="2719"/>
      <c r="P27" s="2719"/>
      <c r="Q27" s="2720"/>
      <c r="R27" s="2720"/>
      <c r="S27" s="2720"/>
      <c r="T27" s="2715"/>
      <c r="U27" s="2715"/>
      <c r="V27" s="2715"/>
      <c r="W27" s="2714"/>
      <c r="X27" s="2714"/>
      <c r="Y27" s="2714"/>
      <c r="Z27" s="2721"/>
      <c r="AA27" s="2722"/>
      <c r="AB27" s="2722"/>
      <c r="AC27" s="2722"/>
      <c r="AD27" s="2722"/>
    </row>
    <row r="28" spans="1:37" ht="14.25">
      <c r="A28" s="1853"/>
      <c r="B28" s="1703" t="s">
        <v>1857</v>
      </c>
      <c r="C28" s="1704" t="s">
        <v>1832</v>
      </c>
      <c r="D28" s="1704" t="s">
        <v>1848</v>
      </c>
      <c r="E28" s="1705" t="s">
        <v>1849</v>
      </c>
      <c r="F28" s="1706"/>
      <c r="G28" s="1648"/>
      <c r="H28" s="1648"/>
      <c r="I28" s="1648"/>
      <c r="J28" s="1649"/>
      <c r="K28" s="2363"/>
      <c r="L28" s="2363"/>
      <c r="M28" s="2363"/>
      <c r="N28" s="2363"/>
      <c r="O28" s="2719"/>
      <c r="P28" s="2719"/>
      <c r="Q28" s="2720"/>
      <c r="R28" s="2720"/>
      <c r="S28" s="2720"/>
      <c r="T28" s="2715"/>
      <c r="U28" s="2715"/>
      <c r="V28" s="2715"/>
      <c r="W28" s="2714"/>
      <c r="X28" s="2714"/>
      <c r="Y28" s="2714"/>
      <c r="Z28" s="2721"/>
      <c r="AA28" s="2722"/>
      <c r="AB28" s="2722"/>
      <c r="AC28" s="2722"/>
      <c r="AD28" s="2722"/>
    </row>
    <row r="29" spans="1:37" ht="24">
      <c r="A29" s="1763"/>
      <c r="B29" s="1707" t="s">
        <v>1852</v>
      </c>
      <c r="C29" s="534" t="e">
        <f>ROUND(C5*C18*C19*C20*C21*C24,0)</f>
        <v>#DIV/0!</v>
      </c>
      <c r="D29" s="1730"/>
      <c r="E29" s="1764" t="e">
        <f>ROUND(C29*D29/10000,0)</f>
        <v>#DIV/0!</v>
      </c>
      <c r="F29" s="1708" t="s">
        <v>1834</v>
      </c>
      <c r="G29" s="1709"/>
      <c r="H29" s="1709"/>
      <c r="I29" s="1709"/>
      <c r="J29" s="1710"/>
      <c r="K29" s="2363"/>
      <c r="L29" s="2363"/>
      <c r="M29" s="2363"/>
      <c r="N29" s="2363"/>
      <c r="O29" s="2719"/>
      <c r="P29" s="2719"/>
      <c r="Q29" s="2720"/>
      <c r="R29" s="2720"/>
      <c r="S29" s="2720"/>
      <c r="T29" s="2715"/>
      <c r="U29" s="2715"/>
      <c r="V29" s="2715"/>
      <c r="W29" s="2714"/>
      <c r="X29" s="2714"/>
      <c r="Y29" s="2714"/>
      <c r="Z29" s="2721"/>
      <c r="AA29" s="2722"/>
      <c r="AB29" s="2722"/>
      <c r="AC29" s="2722"/>
      <c r="AD29" s="2722"/>
      <c r="AE29" s="1607"/>
      <c r="AF29" s="1607"/>
      <c r="AG29" s="1610"/>
      <c r="AH29" s="1610"/>
      <c r="AI29" s="1610"/>
      <c r="AJ29" s="1610"/>
    </row>
    <row r="30" spans="1:37" ht="24.75" thickBot="1">
      <c r="A30" s="1711"/>
      <c r="B30" s="1712" t="s">
        <v>1853</v>
      </c>
      <c r="C30" s="557" t="e">
        <f>ROUND(IF(E2="工业",C29*M39,C29*M38),0)</f>
        <v>#DIV/0!</v>
      </c>
      <c r="D30" s="1731"/>
      <c r="E30" s="1764" t="e">
        <f>ROUND(C30*D30/10000,0)</f>
        <v>#DIV/0!</v>
      </c>
      <c r="F30" s="1713" t="s">
        <v>1850</v>
      </c>
      <c r="G30" s="1714"/>
      <c r="H30" s="1714"/>
      <c r="I30" s="1714"/>
      <c r="J30" s="1715"/>
      <c r="K30" s="2363"/>
      <c r="L30" s="2363"/>
      <c r="M30" s="2363"/>
      <c r="N30" s="2363"/>
      <c r="O30" s="2719"/>
      <c r="P30" s="2719"/>
      <c r="Q30" s="2720"/>
      <c r="R30" s="2720"/>
      <c r="S30" s="2720"/>
      <c r="T30" s="2715"/>
      <c r="U30" s="2715"/>
      <c r="V30" s="2715"/>
      <c r="W30" s="2714"/>
      <c r="X30" s="2714"/>
      <c r="Y30" s="2714"/>
      <c r="Z30" s="2721"/>
      <c r="AA30" s="2722"/>
      <c r="AB30" s="2722"/>
      <c r="AC30" s="2722"/>
      <c r="AD30" s="2722"/>
      <c r="AE30" s="1607"/>
      <c r="AF30" s="1607"/>
      <c r="AG30" s="1610"/>
      <c r="AH30" s="1610"/>
      <c r="AI30" s="1610"/>
      <c r="AJ30" s="1610"/>
    </row>
    <row r="31" spans="1:37" ht="14.25">
      <c r="A31" s="1716"/>
      <c r="B31" s="1717" t="s">
        <v>1854</v>
      </c>
      <c r="C31" s="1718" t="s">
        <v>1855</v>
      </c>
      <c r="D31" s="1648"/>
      <c r="E31" s="1718"/>
      <c r="F31" s="1718"/>
      <c r="G31" s="1646" t="s">
        <v>1856</v>
      </c>
      <c r="H31" s="1648"/>
      <c r="I31" s="1719"/>
      <c r="J31" s="1649"/>
      <c r="K31" s="2363"/>
      <c r="L31" s="2363"/>
      <c r="M31" s="2363"/>
      <c r="N31" s="2363"/>
      <c r="O31" s="2719"/>
      <c r="P31" s="2719"/>
      <c r="Q31" s="2720"/>
      <c r="R31" s="2720"/>
      <c r="S31" s="2720"/>
      <c r="T31" s="2715"/>
      <c r="U31" s="2715"/>
      <c r="V31" s="2715"/>
      <c r="W31" s="2714"/>
      <c r="X31" s="2714"/>
      <c r="Y31" s="2714"/>
      <c r="Z31" s="2721"/>
      <c r="AA31" s="2722"/>
      <c r="AB31" s="2722"/>
      <c r="AC31" s="2722"/>
      <c r="AD31" s="2722"/>
      <c r="AE31" s="1607"/>
      <c r="AF31" s="1607"/>
      <c r="AG31" s="1610"/>
      <c r="AH31" s="1610"/>
      <c r="AI31" s="1610"/>
      <c r="AJ31" s="1610"/>
    </row>
    <row r="32" spans="1:37" ht="24">
      <c r="A32" s="1763"/>
      <c r="B32" s="1720"/>
      <c r="C32" s="169" t="s">
        <v>1832</v>
      </c>
      <c r="D32" s="166" t="s">
        <v>1848</v>
      </c>
      <c r="E32" s="166" t="s">
        <v>1849</v>
      </c>
      <c r="F32" s="1721" t="s">
        <v>1836</v>
      </c>
      <c r="G32" s="1682" t="s">
        <v>1832</v>
      </c>
      <c r="H32" s="1682" t="s">
        <v>1848</v>
      </c>
      <c r="I32" s="1682" t="s">
        <v>1849</v>
      </c>
      <c r="J32" s="1722"/>
      <c r="K32" s="2363"/>
      <c r="L32" s="2363"/>
      <c r="M32" s="2363"/>
      <c r="N32" s="2363"/>
      <c r="O32" s="2719"/>
      <c r="P32" s="2719"/>
      <c r="Q32" s="2720"/>
      <c r="R32" s="2720"/>
      <c r="S32" s="2720"/>
      <c r="T32" s="2715"/>
      <c r="U32" s="2715"/>
      <c r="V32" s="2715"/>
      <c r="W32" s="2714"/>
      <c r="X32" s="2714"/>
      <c r="Y32" s="2714"/>
      <c r="Z32" s="2721"/>
      <c r="AA32" s="2722"/>
      <c r="AB32" s="2722"/>
      <c r="AC32" s="2722"/>
      <c r="AD32" s="2722"/>
      <c r="AE32" s="1607"/>
      <c r="AF32" s="1607"/>
      <c r="AG32" s="1610"/>
      <c r="AH32" s="1610"/>
      <c r="AI32" s="1610"/>
      <c r="AJ32" s="1610"/>
    </row>
    <row r="33" spans="1:37" ht="36" customHeight="1">
      <c r="A33" s="3756" t="s">
        <v>3052</v>
      </c>
      <c r="B33" s="1724" t="s">
        <v>1156</v>
      </c>
      <c r="C33" s="534" t="e">
        <f>ROUND(D5*C19*C20*C24*F33,0)</f>
        <v>#DIV/0!</v>
      </c>
      <c r="D33" s="1730"/>
      <c r="E33" s="528" t="e">
        <f>ROUND(C33*D33/10000,0)</f>
        <v>#DIV/0!</v>
      </c>
      <c r="F33" s="528">
        <f>SUMIF(修正!A45:A56,G2,修正!B45:B56)</f>
        <v>0.6</v>
      </c>
      <c r="G33" s="528" t="e">
        <f t="shared" ref="G33:G39" si="6">ROUND(IF(E2="工业",C33*$M$39,C33*$M$38),0)</f>
        <v>#DIV/0!</v>
      </c>
      <c r="H33" s="528">
        <f>D33</f>
        <v>0</v>
      </c>
      <c r="I33" s="528" t="e">
        <f>ROUND(G33*H33/10000,0)</f>
        <v>#DIV/0!</v>
      </c>
      <c r="J33" s="1725"/>
      <c r="K33" s="2363"/>
      <c r="L33" s="2363"/>
      <c r="M33" s="2363"/>
      <c r="N33" s="2363"/>
      <c r="O33" s="2719"/>
      <c r="P33" s="2719"/>
      <c r="Q33" s="2720"/>
      <c r="R33" s="2720"/>
      <c r="S33" s="2720"/>
      <c r="T33" s="2715"/>
      <c r="U33" s="2715"/>
      <c r="V33" s="2715"/>
      <c r="W33" s="2714"/>
      <c r="X33" s="2714"/>
      <c r="Y33" s="2714"/>
      <c r="Z33" s="2721"/>
      <c r="AA33" s="2722"/>
      <c r="AB33" s="2722"/>
      <c r="AC33" s="2722"/>
      <c r="AD33" s="2722"/>
    </row>
    <row r="34" spans="1:37" ht="14.25">
      <c r="A34" s="3757"/>
      <c r="B34" s="1651" t="s">
        <v>1157</v>
      </c>
      <c r="C34" s="534" t="e">
        <f>ROUND(D5*C19*C20*C24*F34,0)</f>
        <v>#DIV/0!</v>
      </c>
      <c r="D34" s="1730"/>
      <c r="E34" s="528" t="e">
        <f t="shared" ref="E34:E39" si="7">ROUND(C34*D34/10000,0)</f>
        <v>#DIV/0!</v>
      </c>
      <c r="F34" s="528">
        <f>SUMIF(修正!A45:A56,G2,修正!C45:C56)</f>
        <v>0.3</v>
      </c>
      <c r="G34" s="528" t="e">
        <f t="shared" si="6"/>
        <v>#DIV/0!</v>
      </c>
      <c r="H34" s="528">
        <f t="shared" ref="H34:H39" si="8">D34</f>
        <v>0</v>
      </c>
      <c r="I34" s="528" t="e">
        <f t="shared" ref="I34:I39" si="9">ROUND(G34*H34/10000,0)</f>
        <v>#DIV/0!</v>
      </c>
      <c r="J34" s="1725"/>
      <c r="K34" s="2363"/>
      <c r="L34" s="2363"/>
      <c r="M34" s="2363"/>
      <c r="N34" s="2363"/>
      <c r="O34" s="2719"/>
      <c r="P34" s="2719"/>
      <c r="Q34" s="2720"/>
      <c r="R34" s="2720"/>
      <c r="S34" s="2720"/>
      <c r="T34" s="2715"/>
      <c r="U34" s="2715"/>
      <c r="V34" s="2715"/>
      <c r="W34" s="2714"/>
      <c r="X34" s="2714"/>
      <c r="Y34" s="2714"/>
      <c r="Z34" s="2721"/>
      <c r="AA34" s="2722"/>
      <c r="AB34" s="2722"/>
      <c r="AC34" s="2722"/>
      <c r="AD34" s="2722"/>
    </row>
    <row r="35" spans="1:37" ht="12.75">
      <c r="A35" s="3757"/>
      <c r="B35" s="1651" t="s">
        <v>1158</v>
      </c>
      <c r="C35" s="534" t="e">
        <f>ROUND(D5*C19*C20*C24*F35,0)</f>
        <v>#DIV/0!</v>
      </c>
      <c r="D35" s="1730"/>
      <c r="E35" s="528" t="e">
        <f t="shared" si="7"/>
        <v>#DIV/0!</v>
      </c>
      <c r="F35" s="528">
        <f>SUMIF(修正!A45:A56,G2,修正!D45:D56)</f>
        <v>0.2</v>
      </c>
      <c r="G35" s="528" t="e">
        <f t="shared" si="6"/>
        <v>#DIV/0!</v>
      </c>
      <c r="H35" s="528">
        <f t="shared" si="8"/>
        <v>0</v>
      </c>
      <c r="I35" s="528" t="e">
        <f t="shared" si="9"/>
        <v>#DIV/0!</v>
      </c>
      <c r="J35" s="1725"/>
      <c r="K35" s="2363"/>
      <c r="L35" s="2363"/>
      <c r="M35" s="2363"/>
      <c r="N35" s="2363"/>
      <c r="O35" s="2363"/>
      <c r="P35" s="2363"/>
      <c r="Q35" s="2363"/>
      <c r="R35" s="2363"/>
      <c r="S35" s="2363"/>
      <c r="T35" s="2363"/>
      <c r="U35" s="2363"/>
      <c r="V35" s="2363"/>
      <c r="W35" s="2363"/>
      <c r="X35" s="2363"/>
      <c r="Y35" s="2363"/>
      <c r="Z35" s="2364"/>
    </row>
    <row r="36" spans="1:37" ht="13.5" thickBot="1">
      <c r="A36" s="3758"/>
      <c r="B36" s="1651" t="s">
        <v>1159</v>
      </c>
      <c r="C36" s="534" t="e">
        <f>ROUND(D5*C19*C20*C24*F36,0)</f>
        <v>#DIV/0!</v>
      </c>
      <c r="D36" s="1730"/>
      <c r="E36" s="528" t="e">
        <f t="shared" si="7"/>
        <v>#DIV/0!</v>
      </c>
      <c r="F36" s="528">
        <f>SUMIF(修正!A45:A56,G2,修正!E45:E56)</f>
        <v>0.2</v>
      </c>
      <c r="G36" s="528" t="e">
        <f t="shared" si="6"/>
        <v>#DIV/0!</v>
      </c>
      <c r="H36" s="528">
        <f t="shared" si="8"/>
        <v>0</v>
      </c>
      <c r="I36" s="528" t="e">
        <f t="shared" si="9"/>
        <v>#DIV/0!</v>
      </c>
      <c r="J36" s="1725"/>
      <c r="K36" s="2363"/>
      <c r="L36" s="2367"/>
      <c r="M36" s="2367"/>
      <c r="N36" s="2363"/>
      <c r="O36" s="2363"/>
      <c r="P36" s="2363"/>
      <c r="Q36" s="2363"/>
      <c r="R36" s="2363"/>
      <c r="S36" s="2363"/>
      <c r="T36" s="2363"/>
      <c r="U36" s="2363"/>
      <c r="V36" s="2363"/>
      <c r="W36" s="2363"/>
      <c r="X36" s="2363"/>
      <c r="Y36" s="2363"/>
      <c r="Z36" s="2364"/>
    </row>
    <row r="37" spans="1:37" ht="12.75">
      <c r="A37" s="1723"/>
      <c r="B37" s="1651" t="s">
        <v>1160</v>
      </c>
      <c r="C37" s="528" t="e">
        <f>ROUND(C5*C19*C20*C24*F37,0)</f>
        <v>#DIV/0!</v>
      </c>
      <c r="D37" s="1730"/>
      <c r="E37" s="528" t="e">
        <f t="shared" si="7"/>
        <v>#DIV/0!</v>
      </c>
      <c r="F37" s="534">
        <f>SUMIF(修正!A45:A56,G2,修正!F45:F56)</f>
        <v>0.2</v>
      </c>
      <c r="G37" s="528" t="e">
        <f t="shared" si="6"/>
        <v>#DIV/0!</v>
      </c>
      <c r="H37" s="528">
        <f t="shared" si="8"/>
        <v>0</v>
      </c>
      <c r="I37" s="528" t="e">
        <f t="shared" si="9"/>
        <v>#DIV/0!</v>
      </c>
      <c r="J37" s="1725"/>
      <c r="K37" s="2363"/>
      <c r="L37" s="2371" t="s">
        <v>1851</v>
      </c>
      <c r="M37" s="2372"/>
      <c r="N37" s="2363"/>
      <c r="O37" s="2363"/>
      <c r="P37" s="2363"/>
      <c r="Q37" s="2363"/>
      <c r="R37" s="2363"/>
      <c r="S37" s="2363"/>
      <c r="T37" s="2363"/>
      <c r="U37" s="2363"/>
      <c r="V37" s="2363"/>
      <c r="W37" s="2363"/>
      <c r="X37" s="2363"/>
      <c r="Y37" s="2363"/>
      <c r="Z37" s="2364"/>
    </row>
    <row r="38" spans="1:37" ht="12.75">
      <c r="A38" s="1723"/>
      <c r="B38" s="1651" t="s">
        <v>1161</v>
      </c>
      <c r="C38" s="528" t="e">
        <f>ROUND(C5*C19*C20*C24*F38,0)</f>
        <v>#DIV/0!</v>
      </c>
      <c r="D38" s="1730"/>
      <c r="E38" s="528" t="e">
        <f t="shared" si="7"/>
        <v>#DIV/0!</v>
      </c>
      <c r="F38" s="534">
        <f>SUMIF(修正!A45:A56,G2,修正!G45:G56)</f>
        <v>0.2</v>
      </c>
      <c r="G38" s="528" t="e">
        <f t="shared" si="6"/>
        <v>#DIV/0!</v>
      </c>
      <c r="H38" s="528">
        <f t="shared" si="8"/>
        <v>0</v>
      </c>
      <c r="I38" s="528" t="e">
        <f t="shared" si="9"/>
        <v>#DIV/0!</v>
      </c>
      <c r="J38" s="1725"/>
      <c r="K38" s="2363"/>
      <c r="L38" s="1745" t="s">
        <v>1835</v>
      </c>
      <c r="M38" s="1746">
        <v>0.25</v>
      </c>
      <c r="N38" s="2363"/>
      <c r="O38" s="2363"/>
      <c r="P38" s="2363"/>
      <c r="Q38" s="2363"/>
      <c r="R38" s="2363"/>
      <c r="S38" s="2363"/>
      <c r="T38" s="2363"/>
      <c r="U38" s="2363"/>
      <c r="V38" s="2363"/>
      <c r="W38" s="2363"/>
      <c r="X38" s="2363"/>
      <c r="Y38" s="2363"/>
      <c r="Z38" s="2364"/>
    </row>
    <row r="39" spans="1:37" ht="13.5" thickBot="1">
      <c r="A39" s="1711"/>
      <c r="B39" s="1726" t="s">
        <v>1162</v>
      </c>
      <c r="C39" s="557" t="e">
        <f>ROUND(C5*C19*C20*C24*F39,0)</f>
        <v>#DIV/0!</v>
      </c>
      <c r="D39" s="1731"/>
      <c r="E39" s="557" t="e">
        <f t="shared" si="7"/>
        <v>#DIV/0!</v>
      </c>
      <c r="F39" s="1727">
        <f>SUMIF(修正!A45:A56,G2,修正!H45:H56)</f>
        <v>0.15</v>
      </c>
      <c r="G39" s="557" t="e">
        <f t="shared" si="6"/>
        <v>#DIV/0!</v>
      </c>
      <c r="H39" s="557">
        <f t="shared" si="8"/>
        <v>0</v>
      </c>
      <c r="I39" s="557" t="e">
        <f t="shared" si="9"/>
        <v>#DIV/0!</v>
      </c>
      <c r="J39" s="1728"/>
      <c r="K39" s="2363"/>
      <c r="L39" s="1747" t="s">
        <v>1831</v>
      </c>
      <c r="M39" s="1748">
        <v>0.15</v>
      </c>
      <c r="N39" s="2363"/>
      <c r="O39" s="2363"/>
      <c r="P39" s="2363"/>
      <c r="Q39" s="2363"/>
      <c r="R39" s="2363"/>
      <c r="S39" s="2363"/>
      <c r="T39" s="2363"/>
      <c r="U39" s="2363"/>
      <c r="V39" s="2363"/>
      <c r="W39" s="2363"/>
      <c r="X39" s="2363"/>
      <c r="Y39" s="2363"/>
      <c r="Z39" s="2364"/>
    </row>
    <row r="40" spans="1:37" s="2363" customFormat="1">
      <c r="Z40" s="2364"/>
      <c r="AA40" s="2364"/>
      <c r="AB40" s="2364"/>
      <c r="AC40" s="2364"/>
      <c r="AD40" s="2364"/>
      <c r="AE40" s="2364"/>
      <c r="AF40" s="2364"/>
      <c r="AG40" s="2364"/>
      <c r="AH40" s="2364"/>
      <c r="AI40" s="2364"/>
      <c r="AJ40" s="2364"/>
    </row>
    <row r="41" spans="1:37" s="2363" customFormat="1">
      <c r="A41" s="2364"/>
      <c r="B41" s="2365"/>
      <c r="Z41" s="2364"/>
      <c r="AA41" s="2364"/>
      <c r="AB41" s="2364"/>
      <c r="AC41" s="2364"/>
      <c r="AD41" s="2364"/>
      <c r="AE41" s="2364"/>
      <c r="AF41" s="2364"/>
      <c r="AG41" s="2364"/>
      <c r="AH41" s="2364"/>
      <c r="AI41" s="2364"/>
      <c r="AJ41" s="2364"/>
    </row>
    <row r="42" spans="1:37" s="2363" customFormat="1">
      <c r="A42" s="2364"/>
      <c r="B42" s="2365"/>
      <c r="Z42" s="2364"/>
      <c r="AA42" s="2364"/>
      <c r="AB42" s="2364"/>
      <c r="AC42" s="2364"/>
      <c r="AD42" s="2364"/>
      <c r="AE42" s="2364"/>
      <c r="AF42" s="2364"/>
      <c r="AG42" s="2364"/>
      <c r="AH42" s="2364"/>
      <c r="AI42" s="2364"/>
      <c r="AJ42" s="2364"/>
    </row>
    <row r="43" spans="1:37" s="2363" customFormat="1">
      <c r="A43" s="2364"/>
      <c r="B43" s="2365"/>
      <c r="Z43" s="2364"/>
      <c r="AA43" s="2364"/>
      <c r="AB43" s="2364"/>
      <c r="AC43" s="2364"/>
      <c r="AD43" s="2364"/>
      <c r="AE43" s="2364"/>
      <c r="AF43" s="2364"/>
      <c r="AG43" s="2364"/>
      <c r="AH43" s="2364"/>
      <c r="AI43" s="2364"/>
      <c r="AJ43" s="2364"/>
    </row>
    <row r="44" spans="1:37" s="2363" customFormat="1">
      <c r="A44" s="2364"/>
      <c r="B44" s="2365"/>
      <c r="Z44" s="2364"/>
      <c r="AA44" s="2364"/>
      <c r="AB44" s="2364"/>
      <c r="AC44" s="2364"/>
      <c r="AD44" s="2364"/>
      <c r="AE44" s="2364"/>
      <c r="AF44" s="2364"/>
      <c r="AG44" s="2364"/>
      <c r="AH44" s="2364"/>
      <c r="AI44" s="2364"/>
      <c r="AJ44" s="2364"/>
    </row>
    <row r="45" spans="1:37" s="2363" customFormat="1" ht="15" thickBot="1">
      <c r="A45" s="1471" t="s">
        <v>1771</v>
      </c>
      <c r="B45" s="1472"/>
      <c r="C45" s="1152"/>
      <c r="D45" s="292"/>
      <c r="E45" s="292"/>
      <c r="F45" s="290"/>
      <c r="G45" s="1528"/>
      <c r="H45" s="290"/>
      <c r="I45" s="1473"/>
      <c r="J45" s="1473"/>
      <c r="K45" s="1473"/>
      <c r="L45" s="1473"/>
      <c r="M45" s="1473"/>
      <c r="N45" s="1607"/>
      <c r="Z45" s="2364"/>
      <c r="AA45" s="2364"/>
      <c r="AB45" s="2364"/>
      <c r="AC45" s="2364"/>
      <c r="AD45" s="2364"/>
      <c r="AE45" s="2364"/>
      <c r="AF45" s="2364"/>
      <c r="AG45" s="2364"/>
      <c r="AH45" s="2364"/>
      <c r="AI45" s="2364"/>
      <c r="AJ45" s="2364"/>
    </row>
    <row r="46" spans="1:37" s="2363" customFormat="1" ht="15">
      <c r="A46" s="1474" t="s">
        <v>1</v>
      </c>
      <c r="B46" s="1475">
        <f>1+E48</f>
        <v>1</v>
      </c>
      <c r="C46" s="1476"/>
      <c r="D46" s="1477"/>
      <c r="E46" s="1478"/>
      <c r="F46" s="2117"/>
      <c r="G46" s="290"/>
      <c r="H46" s="1473"/>
      <c r="I46" s="1473"/>
      <c r="J46" s="1473"/>
      <c r="K46" s="1473"/>
      <c r="L46" s="1473"/>
      <c r="M46" s="1473"/>
      <c r="N46" s="1607"/>
      <c r="Z46" s="2364"/>
      <c r="AA46" s="2364"/>
      <c r="AB46" s="2364"/>
      <c r="AC46" s="2364"/>
      <c r="AD46" s="2364"/>
      <c r="AE46" s="2364"/>
      <c r="AF46" s="2364"/>
      <c r="AG46" s="2364"/>
      <c r="AH46" s="2364"/>
      <c r="AI46" s="2364"/>
      <c r="AJ46" s="2364"/>
    </row>
    <row r="47" spans="1:37" s="2363" customFormat="1" ht="24">
      <c r="A47" s="1480" t="s">
        <v>1772</v>
      </c>
      <c r="B47" s="1481" t="s">
        <v>1773</v>
      </c>
      <c r="C47" s="1482" t="s">
        <v>1774</v>
      </c>
      <c r="D47" s="1483" t="s">
        <v>1845</v>
      </c>
      <c r="E47" s="1484" t="s">
        <v>1847</v>
      </c>
      <c r="F47" s="2585" t="s">
        <v>2487</v>
      </c>
      <c r="G47" s="1483" t="s">
        <v>1843</v>
      </c>
      <c r="H47" s="2586" t="s">
        <v>2488</v>
      </c>
      <c r="I47" s="1483" t="s">
        <v>1846</v>
      </c>
      <c r="J47" s="938" t="s">
        <v>422</v>
      </c>
      <c r="K47" s="938" t="s">
        <v>423</v>
      </c>
      <c r="L47" s="938" t="s">
        <v>424</v>
      </c>
      <c r="M47" s="938" t="s">
        <v>425</v>
      </c>
      <c r="N47" s="938" t="s">
        <v>426</v>
      </c>
      <c r="AA47" s="2364"/>
      <c r="AB47" s="2364"/>
      <c r="AC47" s="2364"/>
      <c r="AD47" s="2364"/>
      <c r="AE47" s="2364"/>
      <c r="AF47" s="2364"/>
      <c r="AG47" s="2364"/>
      <c r="AH47" s="2364"/>
      <c r="AI47" s="2364"/>
      <c r="AJ47" s="2364"/>
      <c r="AK47" s="2364"/>
    </row>
    <row r="48" spans="1:37" s="2363" customFormat="1" ht="60">
      <c r="A48" s="1480" t="s">
        <v>1775</v>
      </c>
      <c r="B48" s="1485" t="str">
        <f>估价对象房地状况!C4</f>
        <v>估价对象周边2公里有帝园商城、星城商厦等商业项目，估价对象周边多为住宅配套商业，人流量一般，商业繁华度一般</v>
      </c>
      <c r="C48" s="1470"/>
      <c r="D48" s="2584">
        <f t="shared" ref="D48:D56" si="10">SUMIF($J$47:$N$47,C48,J48:N48)</f>
        <v>0</v>
      </c>
      <c r="E48" s="1487">
        <f>ROUND(SUM(D48:D56),4)</f>
        <v>0</v>
      </c>
      <c r="F48" s="1488" t="str">
        <f>IF(E2="商业",SUMIF(L1:L12,G2,N1:N12),"——")</f>
        <v>——</v>
      </c>
      <c r="G48" s="2582"/>
      <c r="H48" s="2600" t="str">
        <f t="shared" ref="H48:H56" si="11">IFERROR(ROUNDDOWN($F$48*I48/2,4),"——")</f>
        <v>——</v>
      </c>
      <c r="I48" s="1486">
        <v>0.33</v>
      </c>
      <c r="J48" s="2583">
        <f t="shared" ref="J48:J56" si="12">K48+$G48</f>
        <v>0</v>
      </c>
      <c r="K48" s="2583">
        <f t="shared" ref="K48:K56" si="13">$L48+$G48</f>
        <v>0</v>
      </c>
      <c r="L48" s="2583">
        <v>0</v>
      </c>
      <c r="M48" s="2583">
        <f t="shared" ref="M48:N56" si="14">L48-$G48</f>
        <v>0</v>
      </c>
      <c r="N48" s="2583">
        <f t="shared" si="14"/>
        <v>0</v>
      </c>
      <c r="AA48" s="2364"/>
      <c r="AB48" s="2364"/>
      <c r="AC48" s="2364"/>
      <c r="AD48" s="2364"/>
      <c r="AE48" s="2364"/>
      <c r="AF48" s="2364"/>
      <c r="AG48" s="2364"/>
      <c r="AH48" s="2364"/>
      <c r="AI48" s="2364"/>
      <c r="AJ48" s="2364"/>
      <c r="AK48" s="2364"/>
    </row>
    <row r="49" spans="1:37" s="2363" customFormat="1" ht="36">
      <c r="A49" s="1480" t="s">
        <v>92</v>
      </c>
      <c r="B49" s="1489" t="str">
        <f>估价对象房地状况!C18</f>
        <v>估价对象周边有849、兴23路等公交线路，综合评价交通便捷度一般</v>
      </c>
      <c r="C49" s="1470"/>
      <c r="D49" s="2584">
        <f t="shared" si="10"/>
        <v>0</v>
      </c>
      <c r="E49" s="1490"/>
      <c r="F49" s="1488"/>
      <c r="G49" s="2582"/>
      <c r="H49" s="2600" t="str">
        <f t="shared" si="11"/>
        <v>——</v>
      </c>
      <c r="I49" s="1486">
        <v>0.25</v>
      </c>
      <c r="J49" s="2583">
        <f t="shared" si="12"/>
        <v>0</v>
      </c>
      <c r="K49" s="2583">
        <f t="shared" si="13"/>
        <v>0</v>
      </c>
      <c r="L49" s="2583">
        <v>0</v>
      </c>
      <c r="M49" s="2583">
        <f t="shared" si="14"/>
        <v>0</v>
      </c>
      <c r="N49" s="2583">
        <f t="shared" si="14"/>
        <v>0</v>
      </c>
      <c r="AA49" s="2364"/>
      <c r="AB49" s="2364"/>
      <c r="AC49" s="2364"/>
      <c r="AD49" s="2364"/>
      <c r="AE49" s="2364"/>
      <c r="AF49" s="2364"/>
      <c r="AG49" s="2364"/>
      <c r="AH49" s="2364"/>
      <c r="AI49" s="2364"/>
      <c r="AJ49" s="2364"/>
      <c r="AK49" s="2364"/>
    </row>
    <row r="50" spans="1:37" s="2363" customFormat="1" ht="24">
      <c r="A50" s="1480" t="s">
        <v>109</v>
      </c>
      <c r="B50" s="1489">
        <f>估价对象房地状况!C19</f>
        <v>0</v>
      </c>
      <c r="C50" s="1470"/>
      <c r="D50" s="2584">
        <f t="shared" si="10"/>
        <v>0</v>
      </c>
      <c r="E50" s="1490"/>
      <c r="F50" s="1488"/>
      <c r="G50" s="2582"/>
      <c r="H50" s="2600" t="str">
        <f t="shared" si="11"/>
        <v>——</v>
      </c>
      <c r="I50" s="1486">
        <v>0.05</v>
      </c>
      <c r="J50" s="2583">
        <f t="shared" si="12"/>
        <v>0</v>
      </c>
      <c r="K50" s="2583">
        <f t="shared" si="13"/>
        <v>0</v>
      </c>
      <c r="L50" s="2583">
        <v>0</v>
      </c>
      <c r="M50" s="2583">
        <f t="shared" si="14"/>
        <v>0</v>
      </c>
      <c r="N50" s="2583">
        <f t="shared" si="14"/>
        <v>0</v>
      </c>
      <c r="AA50" s="2364"/>
      <c r="AB50" s="2364"/>
      <c r="AC50" s="2364"/>
      <c r="AD50" s="2364"/>
      <c r="AE50" s="2364"/>
      <c r="AF50" s="2364"/>
      <c r="AG50" s="2364"/>
      <c r="AH50" s="2364"/>
      <c r="AI50" s="2364"/>
      <c r="AJ50" s="2364"/>
      <c r="AK50" s="2364"/>
    </row>
    <row r="51" spans="1:37" s="2363" customFormat="1" ht="36">
      <c r="A51" s="1480" t="s">
        <v>1776</v>
      </c>
      <c r="B51" s="3283" t="s">
        <v>3014</v>
      </c>
      <c r="C51" s="1470"/>
      <c r="D51" s="2584">
        <f t="shared" si="10"/>
        <v>0</v>
      </c>
      <c r="E51" s="1490"/>
      <c r="F51" s="1488"/>
      <c r="G51" s="2582"/>
      <c r="H51" s="2600" t="str">
        <f t="shared" si="11"/>
        <v>——</v>
      </c>
      <c r="I51" s="1486">
        <v>0.05</v>
      </c>
      <c r="J51" s="2583">
        <f t="shared" si="12"/>
        <v>0</v>
      </c>
      <c r="K51" s="2583">
        <f t="shared" si="13"/>
        <v>0</v>
      </c>
      <c r="L51" s="2583">
        <v>0</v>
      </c>
      <c r="M51" s="2583">
        <f t="shared" si="14"/>
        <v>0</v>
      </c>
      <c r="N51" s="2583">
        <f t="shared" si="14"/>
        <v>0</v>
      </c>
      <c r="AA51" s="2364"/>
      <c r="AB51" s="2364"/>
      <c r="AC51" s="2364"/>
      <c r="AD51" s="2364"/>
      <c r="AE51" s="2364"/>
      <c r="AF51" s="2364"/>
      <c r="AG51" s="2364"/>
      <c r="AH51" s="2364"/>
      <c r="AI51" s="2364"/>
      <c r="AJ51" s="2364"/>
      <c r="AK51" s="2364"/>
    </row>
    <row r="52" spans="1:37" s="2363" customFormat="1" ht="24">
      <c r="A52" s="1480" t="s">
        <v>1777</v>
      </c>
      <c r="B52" s="1489" t="str">
        <f>估价对象房地状况!C24</f>
        <v>城市次干道——清源东路</v>
      </c>
      <c r="C52" s="1470"/>
      <c r="D52" s="2584">
        <f t="shared" si="10"/>
        <v>0</v>
      </c>
      <c r="E52" s="1490"/>
      <c r="F52" s="1488"/>
      <c r="G52" s="2582"/>
      <c r="H52" s="2600" t="str">
        <f t="shared" si="11"/>
        <v>——</v>
      </c>
      <c r="I52" s="1486">
        <v>0.08</v>
      </c>
      <c r="J52" s="2583">
        <f t="shared" si="12"/>
        <v>0</v>
      </c>
      <c r="K52" s="2583">
        <f t="shared" si="13"/>
        <v>0</v>
      </c>
      <c r="L52" s="2583">
        <v>0</v>
      </c>
      <c r="M52" s="2583">
        <f t="shared" si="14"/>
        <v>0</v>
      </c>
      <c r="N52" s="2583">
        <f t="shared" si="14"/>
        <v>0</v>
      </c>
      <c r="AA52" s="2364"/>
      <c r="AB52" s="2364"/>
      <c r="AC52" s="2364"/>
      <c r="AD52" s="2364"/>
      <c r="AE52" s="2364"/>
      <c r="AF52" s="2364"/>
      <c r="AG52" s="2364"/>
      <c r="AH52" s="2364"/>
      <c r="AI52" s="2364"/>
      <c r="AJ52" s="2364"/>
      <c r="AK52" s="2364"/>
    </row>
    <row r="53" spans="1:37" s="2363" customFormat="1" ht="24">
      <c r="A53" s="1480" t="s">
        <v>1778</v>
      </c>
      <c r="B53" s="3282" t="s">
        <v>3013</v>
      </c>
      <c r="C53" s="1470"/>
      <c r="D53" s="2584">
        <f t="shared" si="10"/>
        <v>0</v>
      </c>
      <c r="E53" s="1490"/>
      <c r="F53" s="1488"/>
      <c r="G53" s="2582"/>
      <c r="H53" s="2600" t="str">
        <f t="shared" si="11"/>
        <v>——</v>
      </c>
      <c r="I53" s="1486">
        <v>0.03</v>
      </c>
      <c r="J53" s="2583">
        <f t="shared" si="12"/>
        <v>0</v>
      </c>
      <c r="K53" s="2583">
        <f t="shared" si="13"/>
        <v>0</v>
      </c>
      <c r="L53" s="2583">
        <v>0</v>
      </c>
      <c r="M53" s="2583">
        <f t="shared" si="14"/>
        <v>0</v>
      </c>
      <c r="N53" s="2583">
        <f t="shared" si="14"/>
        <v>0</v>
      </c>
      <c r="AA53" s="2364"/>
      <c r="AB53" s="2364"/>
      <c r="AC53" s="2364"/>
      <c r="AD53" s="2364"/>
      <c r="AE53" s="2364"/>
      <c r="AF53" s="2364"/>
      <c r="AG53" s="2364"/>
      <c r="AH53" s="2364"/>
      <c r="AI53" s="2364"/>
      <c r="AJ53" s="2364"/>
      <c r="AK53" s="2364"/>
    </row>
    <row r="54" spans="1:37" s="2363" customFormat="1" ht="24">
      <c r="A54" s="1491" t="s">
        <v>1779</v>
      </c>
      <c r="B54" s="2580" t="str">
        <f>估价对象房地状况!C21</f>
        <v>估价对象所在区域公共配套设施齐备较齐备</v>
      </c>
      <c r="C54" s="1470"/>
      <c r="D54" s="2584">
        <f t="shared" si="10"/>
        <v>0</v>
      </c>
      <c r="E54" s="1490"/>
      <c r="F54" s="1488"/>
      <c r="G54" s="2582"/>
      <c r="H54" s="2600" t="str">
        <f t="shared" si="11"/>
        <v>——</v>
      </c>
      <c r="I54" s="1486">
        <v>0.05</v>
      </c>
      <c r="J54" s="2583">
        <f t="shared" si="12"/>
        <v>0</v>
      </c>
      <c r="K54" s="2583">
        <f t="shared" si="13"/>
        <v>0</v>
      </c>
      <c r="L54" s="2583">
        <v>0</v>
      </c>
      <c r="M54" s="2583">
        <f t="shared" si="14"/>
        <v>0</v>
      </c>
      <c r="N54" s="2583">
        <f t="shared" si="14"/>
        <v>0</v>
      </c>
      <c r="AA54" s="2364"/>
      <c r="AB54" s="2364"/>
      <c r="AC54" s="2364"/>
      <c r="AD54" s="2364"/>
      <c r="AE54" s="2364"/>
      <c r="AF54" s="2364"/>
      <c r="AG54" s="2364"/>
      <c r="AH54" s="2364"/>
      <c r="AI54" s="2364"/>
      <c r="AJ54" s="2364"/>
      <c r="AK54" s="2364"/>
    </row>
    <row r="55" spans="1:37" s="2363" customFormat="1" ht="24">
      <c r="A55" s="1491" t="s">
        <v>1780</v>
      </c>
      <c r="B55" s="1489" t="str">
        <f>估价对象房地状况!C22</f>
        <v>区域基础设施水平达七通</v>
      </c>
      <c r="C55" s="1470"/>
      <c r="D55" s="2584">
        <f t="shared" si="10"/>
        <v>0</v>
      </c>
      <c r="E55" s="1490"/>
      <c r="F55" s="1488"/>
      <c r="G55" s="2582"/>
      <c r="H55" s="2600" t="str">
        <f t="shared" si="11"/>
        <v>——</v>
      </c>
      <c r="I55" s="1486">
        <v>0.1</v>
      </c>
      <c r="J55" s="2583">
        <f t="shared" si="12"/>
        <v>0</v>
      </c>
      <c r="K55" s="2583">
        <f t="shared" si="13"/>
        <v>0</v>
      </c>
      <c r="L55" s="2583">
        <v>0</v>
      </c>
      <c r="M55" s="2583">
        <f t="shared" si="14"/>
        <v>0</v>
      </c>
      <c r="N55" s="2583">
        <f t="shared" si="14"/>
        <v>0</v>
      </c>
      <c r="AA55" s="2364"/>
      <c r="AB55" s="2364"/>
      <c r="AC55" s="2364"/>
      <c r="AD55" s="2364"/>
      <c r="AE55" s="2364"/>
      <c r="AF55" s="2364"/>
      <c r="AG55" s="2364"/>
      <c r="AH55" s="2364"/>
      <c r="AI55" s="2364"/>
      <c r="AJ55" s="2364"/>
      <c r="AK55" s="2364"/>
    </row>
    <row r="56" spans="1:37" s="2363" customFormat="1" ht="36.75" thickBot="1">
      <c r="A56" s="1493" t="s">
        <v>1781</v>
      </c>
      <c r="B56" s="1494" t="str">
        <f>估价对象房地状况!C20</f>
        <v>周边有北京广播电视大学、康庄公园；综合评价环境状况较好</v>
      </c>
      <c r="C56" s="1470"/>
      <c r="D56" s="2584">
        <f t="shared" si="10"/>
        <v>0</v>
      </c>
      <c r="E56" s="1496"/>
      <c r="F56" s="1488"/>
      <c r="G56" s="2582"/>
      <c r="H56" s="2600" t="str">
        <f t="shared" si="11"/>
        <v>——</v>
      </c>
      <c r="I56" s="1495">
        <v>0.06</v>
      </c>
      <c r="J56" s="2583">
        <f t="shared" si="12"/>
        <v>0</v>
      </c>
      <c r="K56" s="2583">
        <f t="shared" si="13"/>
        <v>0</v>
      </c>
      <c r="L56" s="2583">
        <v>0</v>
      </c>
      <c r="M56" s="2583">
        <f t="shared" si="14"/>
        <v>0</v>
      </c>
      <c r="N56" s="2583">
        <f t="shared" si="14"/>
        <v>0</v>
      </c>
      <c r="AA56" s="2364"/>
      <c r="AB56" s="2364"/>
      <c r="AC56" s="2364"/>
      <c r="AD56" s="2364"/>
      <c r="AE56" s="2364"/>
      <c r="AF56" s="2364"/>
      <c r="AG56" s="2364"/>
      <c r="AH56" s="2364"/>
      <c r="AI56" s="2364"/>
      <c r="AJ56" s="2364"/>
      <c r="AK56" s="2364"/>
    </row>
    <row r="57" spans="1:37" s="2363" customFormat="1" ht="15">
      <c r="A57" s="1474" t="s">
        <v>1155</v>
      </c>
      <c r="B57" s="1475">
        <f>1+E59</f>
        <v>1</v>
      </c>
      <c r="C57" s="1497"/>
      <c r="D57" s="1477"/>
      <c r="E57" s="1478"/>
      <c r="F57" s="2117"/>
      <c r="G57" s="290"/>
      <c r="H57" s="290"/>
      <c r="I57" s="290"/>
      <c r="J57" s="1473"/>
      <c r="K57" s="1473"/>
      <c r="L57" s="1473"/>
      <c r="M57" s="1473"/>
      <c r="N57" s="1473"/>
      <c r="AA57" s="2364"/>
      <c r="AB57" s="2364"/>
      <c r="AC57" s="2364"/>
      <c r="AD57" s="2364"/>
      <c r="AE57" s="2364"/>
      <c r="AF57" s="2364"/>
      <c r="AG57" s="2364"/>
      <c r="AH57" s="2364"/>
      <c r="AI57" s="2364"/>
      <c r="AJ57" s="2364"/>
      <c r="AK57" s="2364"/>
    </row>
    <row r="58" spans="1:37" s="2363" customFormat="1" ht="24">
      <c r="A58" s="1480" t="s">
        <v>1772</v>
      </c>
      <c r="B58" s="1481"/>
      <c r="C58" s="1482" t="s">
        <v>1774</v>
      </c>
      <c r="D58" s="1483" t="s">
        <v>1845</v>
      </c>
      <c r="E58" s="1484" t="s">
        <v>1847</v>
      </c>
      <c r="F58" s="2585" t="s">
        <v>2284</v>
      </c>
      <c r="G58" s="1483" t="s">
        <v>1843</v>
      </c>
      <c r="H58" s="2586" t="s">
        <v>2488</v>
      </c>
      <c r="I58" s="1483" t="s">
        <v>1846</v>
      </c>
      <c r="J58" s="938" t="s">
        <v>422</v>
      </c>
      <c r="K58" s="938" t="s">
        <v>423</v>
      </c>
      <c r="L58" s="938" t="s">
        <v>424</v>
      </c>
      <c r="M58" s="938" t="s">
        <v>425</v>
      </c>
      <c r="N58" s="938" t="s">
        <v>426</v>
      </c>
      <c r="AA58" s="2364"/>
      <c r="AB58" s="2364"/>
      <c r="AC58" s="2364"/>
      <c r="AD58" s="2364"/>
      <c r="AE58" s="2364"/>
      <c r="AF58" s="2364"/>
      <c r="AG58" s="2364"/>
      <c r="AH58" s="2364"/>
      <c r="AI58" s="2364"/>
      <c r="AJ58" s="2364"/>
      <c r="AK58" s="2364"/>
    </row>
    <row r="59" spans="1:37" s="2363" customFormat="1" ht="24">
      <c r="A59" s="1480" t="s">
        <v>1086</v>
      </c>
      <c r="B59" s="1485" t="str">
        <f>估价对象房地状况!C17</f>
        <v>估价对象周边办公楼项目较少，办公集聚程度较差</v>
      </c>
      <c r="C59" s="1470"/>
      <c r="D59" s="2584">
        <f t="shared" ref="D59:D67" si="15">SUMIF($J$58:$N$58,C59,J59:N59)</f>
        <v>0</v>
      </c>
      <c r="E59" s="1487">
        <f>ROUND(SUM(D59:D67),4)</f>
        <v>0</v>
      </c>
      <c r="F59" s="1488" t="str">
        <f>IF(E2="办公",SUMIF(L1:L12,G2,N1:N12),"——")</f>
        <v>——</v>
      </c>
      <c r="G59" s="2582"/>
      <c r="H59" s="2600" t="str">
        <f t="shared" ref="H59:H67" si="16">IFERROR(ROUNDDOWN($F$59*I59/2,4),"——")</f>
        <v>——</v>
      </c>
      <c r="I59" s="1486">
        <v>0.24</v>
      </c>
      <c r="J59" s="2583">
        <f t="shared" ref="J59:J67" si="17">K59+$G59</f>
        <v>0</v>
      </c>
      <c r="K59" s="2583">
        <f t="shared" ref="K59:K67" si="18">$L59+$G59</f>
        <v>0</v>
      </c>
      <c r="L59" s="2583">
        <v>0</v>
      </c>
      <c r="M59" s="2583">
        <f t="shared" ref="M59:N67" si="19">L59-$G59</f>
        <v>0</v>
      </c>
      <c r="N59" s="2583">
        <f t="shared" si="19"/>
        <v>0</v>
      </c>
      <c r="AA59" s="2364"/>
      <c r="AB59" s="2364"/>
      <c r="AC59" s="2364"/>
      <c r="AD59" s="2364"/>
      <c r="AE59" s="2364"/>
      <c r="AF59" s="2364"/>
      <c r="AG59" s="2364"/>
      <c r="AH59" s="2364"/>
      <c r="AI59" s="2364"/>
      <c r="AJ59" s="2364"/>
      <c r="AK59" s="2364"/>
    </row>
    <row r="60" spans="1:37" s="2363" customFormat="1" ht="36">
      <c r="A60" s="1480" t="s">
        <v>92</v>
      </c>
      <c r="B60" s="1489" t="str">
        <f>估价对象房地状况!C18</f>
        <v>估价对象周边有849、兴23路等公交线路，综合评价交通便捷度一般</v>
      </c>
      <c r="C60" s="1470"/>
      <c r="D60" s="2584">
        <f t="shared" si="15"/>
        <v>0</v>
      </c>
      <c r="E60" s="1490"/>
      <c r="F60" s="1488"/>
      <c r="G60" s="2582"/>
      <c r="H60" s="2600" t="str">
        <f t="shared" si="16"/>
        <v>——</v>
      </c>
      <c r="I60" s="1486">
        <v>0.3</v>
      </c>
      <c r="J60" s="2583">
        <f t="shared" si="17"/>
        <v>0</v>
      </c>
      <c r="K60" s="2583">
        <f t="shared" si="18"/>
        <v>0</v>
      </c>
      <c r="L60" s="2583">
        <v>0</v>
      </c>
      <c r="M60" s="2583">
        <f t="shared" si="19"/>
        <v>0</v>
      </c>
      <c r="N60" s="2583">
        <f t="shared" si="19"/>
        <v>0</v>
      </c>
      <c r="AA60" s="2364"/>
      <c r="AB60" s="2364"/>
      <c r="AC60" s="2364"/>
      <c r="AD60" s="2364"/>
      <c r="AE60" s="2364"/>
      <c r="AF60" s="2364"/>
      <c r="AG60" s="2364"/>
      <c r="AH60" s="2364"/>
      <c r="AI60" s="2364"/>
      <c r="AJ60" s="2364"/>
      <c r="AK60" s="2364"/>
    </row>
    <row r="61" spans="1:37" s="2363" customFormat="1" ht="24">
      <c r="A61" s="1480" t="s">
        <v>109</v>
      </c>
      <c r="B61" s="1489">
        <f>估价对象房地状况!C19</f>
        <v>0</v>
      </c>
      <c r="C61" s="1470"/>
      <c r="D61" s="2584">
        <f t="shared" si="15"/>
        <v>0</v>
      </c>
      <c r="E61" s="1490"/>
      <c r="F61" s="1488"/>
      <c r="G61" s="2582"/>
      <c r="H61" s="2600" t="str">
        <f t="shared" si="16"/>
        <v>——</v>
      </c>
      <c r="I61" s="1486">
        <v>0.08</v>
      </c>
      <c r="J61" s="2583">
        <f t="shared" si="17"/>
        <v>0</v>
      </c>
      <c r="K61" s="2583">
        <f t="shared" si="18"/>
        <v>0</v>
      </c>
      <c r="L61" s="2583">
        <v>0</v>
      </c>
      <c r="M61" s="2583">
        <f t="shared" si="19"/>
        <v>0</v>
      </c>
      <c r="N61" s="2583">
        <f t="shared" si="19"/>
        <v>0</v>
      </c>
      <c r="AA61" s="2364"/>
      <c r="AB61" s="2364"/>
      <c r="AC61" s="2364"/>
      <c r="AD61" s="2364"/>
      <c r="AE61" s="2364"/>
      <c r="AF61" s="2364"/>
      <c r="AG61" s="2364"/>
      <c r="AH61" s="2364"/>
      <c r="AI61" s="2364"/>
      <c r="AJ61" s="2364"/>
      <c r="AK61" s="2364"/>
    </row>
    <row r="62" spans="1:37" s="2363" customFormat="1" ht="36">
      <c r="A62" s="1480" t="s">
        <v>1776</v>
      </c>
      <c r="B62" s="3283" t="s">
        <v>3014</v>
      </c>
      <c r="C62" s="1470"/>
      <c r="D62" s="2584">
        <f t="shared" si="15"/>
        <v>0</v>
      </c>
      <c r="E62" s="1490"/>
      <c r="F62" s="1488"/>
      <c r="G62" s="2582"/>
      <c r="H62" s="2600" t="str">
        <f t="shared" si="16"/>
        <v>——</v>
      </c>
      <c r="I62" s="1486">
        <v>0.04</v>
      </c>
      <c r="J62" s="2583">
        <f t="shared" si="17"/>
        <v>0</v>
      </c>
      <c r="K62" s="2583">
        <f t="shared" si="18"/>
        <v>0</v>
      </c>
      <c r="L62" s="2583">
        <v>0</v>
      </c>
      <c r="M62" s="2583">
        <f t="shared" si="19"/>
        <v>0</v>
      </c>
      <c r="N62" s="2583">
        <f t="shared" si="19"/>
        <v>0</v>
      </c>
      <c r="AA62" s="2364"/>
      <c r="AB62" s="2364"/>
      <c r="AC62" s="2364"/>
      <c r="AD62" s="2364"/>
      <c r="AE62" s="2364"/>
      <c r="AF62" s="2364"/>
      <c r="AG62" s="2364"/>
      <c r="AH62" s="2364"/>
      <c r="AI62" s="2364"/>
      <c r="AJ62" s="2364"/>
      <c r="AK62" s="2364"/>
    </row>
    <row r="63" spans="1:37" s="2363" customFormat="1" ht="24">
      <c r="A63" s="1480" t="s">
        <v>1777</v>
      </c>
      <c r="B63" s="1489" t="str">
        <f>估价对象房地状况!C24</f>
        <v>城市次干道——清源东路</v>
      </c>
      <c r="C63" s="1470"/>
      <c r="D63" s="2584">
        <f t="shared" si="15"/>
        <v>0</v>
      </c>
      <c r="E63" s="1490"/>
      <c r="F63" s="1488"/>
      <c r="G63" s="2582"/>
      <c r="H63" s="2600" t="str">
        <f t="shared" si="16"/>
        <v>——</v>
      </c>
      <c r="I63" s="1486">
        <v>0.05</v>
      </c>
      <c r="J63" s="2583">
        <f t="shared" si="17"/>
        <v>0</v>
      </c>
      <c r="K63" s="2583">
        <f t="shared" si="18"/>
        <v>0</v>
      </c>
      <c r="L63" s="2583">
        <v>0</v>
      </c>
      <c r="M63" s="2583">
        <f t="shared" si="19"/>
        <v>0</v>
      </c>
      <c r="N63" s="2583">
        <f t="shared" si="19"/>
        <v>0</v>
      </c>
      <c r="AA63" s="2364"/>
      <c r="AB63" s="2364"/>
      <c r="AC63" s="2364"/>
      <c r="AD63" s="2364"/>
      <c r="AE63" s="2364"/>
      <c r="AF63" s="2364"/>
      <c r="AG63" s="2364"/>
      <c r="AH63" s="2364"/>
      <c r="AI63" s="2364"/>
      <c r="AJ63" s="2364"/>
      <c r="AK63" s="2364"/>
    </row>
    <row r="64" spans="1:37" s="2363" customFormat="1" ht="24">
      <c r="A64" s="1480" t="s">
        <v>1778</v>
      </c>
      <c r="B64" s="3282" t="s">
        <v>3013</v>
      </c>
      <c r="C64" s="1470"/>
      <c r="D64" s="2584">
        <f t="shared" si="15"/>
        <v>0</v>
      </c>
      <c r="E64" s="1490"/>
      <c r="F64" s="1488"/>
      <c r="G64" s="2582"/>
      <c r="H64" s="2600" t="str">
        <f t="shared" si="16"/>
        <v>——</v>
      </c>
      <c r="I64" s="1486">
        <v>0.05</v>
      </c>
      <c r="J64" s="2583">
        <f t="shared" si="17"/>
        <v>0</v>
      </c>
      <c r="K64" s="2583">
        <f t="shared" si="18"/>
        <v>0</v>
      </c>
      <c r="L64" s="2583">
        <v>0</v>
      </c>
      <c r="M64" s="2583">
        <f t="shared" si="19"/>
        <v>0</v>
      </c>
      <c r="N64" s="2583">
        <f t="shared" si="19"/>
        <v>0</v>
      </c>
      <c r="AA64" s="2364"/>
      <c r="AB64" s="2364"/>
      <c r="AC64" s="2364"/>
      <c r="AD64" s="2364"/>
      <c r="AE64" s="2364"/>
      <c r="AF64" s="2364"/>
      <c r="AG64" s="2364"/>
      <c r="AH64" s="2364"/>
      <c r="AI64" s="2364"/>
      <c r="AJ64" s="2364"/>
      <c r="AK64" s="2364"/>
    </row>
    <row r="65" spans="1:37" s="2363" customFormat="1" ht="24">
      <c r="A65" s="1480" t="s">
        <v>1779</v>
      </c>
      <c r="B65" s="2580" t="str">
        <f>估价对象房地状况!C21</f>
        <v>估价对象所在区域公共配套设施齐备较齐备</v>
      </c>
      <c r="C65" s="1470"/>
      <c r="D65" s="2584">
        <f t="shared" si="15"/>
        <v>0</v>
      </c>
      <c r="E65" s="1490"/>
      <c r="F65" s="1488"/>
      <c r="G65" s="2582"/>
      <c r="H65" s="2600" t="str">
        <f t="shared" si="16"/>
        <v>——</v>
      </c>
      <c r="I65" s="1486">
        <v>0.06</v>
      </c>
      <c r="J65" s="2583">
        <f t="shared" si="17"/>
        <v>0</v>
      </c>
      <c r="K65" s="2583">
        <f t="shared" si="18"/>
        <v>0</v>
      </c>
      <c r="L65" s="2583">
        <v>0</v>
      </c>
      <c r="M65" s="2583">
        <f t="shared" si="19"/>
        <v>0</v>
      </c>
      <c r="N65" s="2583">
        <f t="shared" si="19"/>
        <v>0</v>
      </c>
      <c r="AA65" s="2364"/>
      <c r="AB65" s="2364"/>
      <c r="AC65" s="2364"/>
      <c r="AD65" s="2364"/>
      <c r="AE65" s="2364"/>
      <c r="AF65" s="2364"/>
      <c r="AG65" s="2364"/>
      <c r="AH65" s="2364"/>
      <c r="AI65" s="2364"/>
      <c r="AJ65" s="2364"/>
      <c r="AK65" s="2364"/>
    </row>
    <row r="66" spans="1:37" s="2363" customFormat="1" ht="24">
      <c r="A66" s="1480" t="s">
        <v>1780</v>
      </c>
      <c r="B66" s="2580" t="str">
        <f>估价对象房地状况!C22</f>
        <v>区域基础设施水平达七通</v>
      </c>
      <c r="C66" s="1470"/>
      <c r="D66" s="2584">
        <f t="shared" si="15"/>
        <v>0</v>
      </c>
      <c r="E66" s="1490"/>
      <c r="F66" s="1488"/>
      <c r="G66" s="2582"/>
      <c r="H66" s="2600" t="str">
        <f t="shared" si="16"/>
        <v>——</v>
      </c>
      <c r="I66" s="1486">
        <v>0.12</v>
      </c>
      <c r="J66" s="2583">
        <f t="shared" si="17"/>
        <v>0</v>
      </c>
      <c r="K66" s="2583">
        <f t="shared" si="18"/>
        <v>0</v>
      </c>
      <c r="L66" s="2583">
        <v>0</v>
      </c>
      <c r="M66" s="2583">
        <f t="shared" si="19"/>
        <v>0</v>
      </c>
      <c r="N66" s="2583">
        <f t="shared" si="19"/>
        <v>0</v>
      </c>
      <c r="AA66" s="2364"/>
      <c r="AB66" s="2364"/>
      <c r="AC66" s="2364"/>
      <c r="AD66" s="2364"/>
      <c r="AE66" s="2364"/>
      <c r="AF66" s="2364"/>
      <c r="AG66" s="2364"/>
      <c r="AH66" s="2364"/>
      <c r="AI66" s="2364"/>
      <c r="AJ66" s="2364"/>
      <c r="AK66" s="2364"/>
    </row>
    <row r="67" spans="1:37" s="2363" customFormat="1" ht="36.75" thickBot="1">
      <c r="A67" s="1493" t="s">
        <v>1781</v>
      </c>
      <c r="B67" s="1498" t="str">
        <f>估价对象房地状况!C20</f>
        <v>周边有北京广播电视大学、康庄公园；综合评价环境状况较好</v>
      </c>
      <c r="C67" s="1470"/>
      <c r="D67" s="2584">
        <f t="shared" si="15"/>
        <v>0</v>
      </c>
      <c r="E67" s="1496"/>
      <c r="F67" s="1488"/>
      <c r="G67" s="2582"/>
      <c r="H67" s="2600" t="str">
        <f t="shared" si="16"/>
        <v>——</v>
      </c>
      <c r="I67" s="1495">
        <v>0.06</v>
      </c>
      <c r="J67" s="2583">
        <f t="shared" si="17"/>
        <v>0</v>
      </c>
      <c r="K67" s="2583">
        <f t="shared" si="18"/>
        <v>0</v>
      </c>
      <c r="L67" s="2583">
        <v>0</v>
      </c>
      <c r="M67" s="2583">
        <f t="shared" si="19"/>
        <v>0</v>
      </c>
      <c r="N67" s="2583">
        <f t="shared" si="19"/>
        <v>0</v>
      </c>
      <c r="AA67" s="2364"/>
      <c r="AB67" s="2364"/>
      <c r="AC67" s="2364"/>
      <c r="AD67" s="2364"/>
      <c r="AE67" s="2364"/>
      <c r="AF67" s="2364"/>
      <c r="AG67" s="2364"/>
      <c r="AH67" s="2364"/>
      <c r="AI67" s="2364"/>
      <c r="AJ67" s="2364"/>
      <c r="AK67" s="2364"/>
    </row>
    <row r="68" spans="1:37" s="2363" customFormat="1" ht="15">
      <c r="A68" s="1474" t="s">
        <v>975</v>
      </c>
      <c r="B68" s="1475">
        <f>1+E70</f>
        <v>1</v>
      </c>
      <c r="C68" s="1497"/>
      <c r="D68" s="1477"/>
      <c r="E68" s="1478"/>
      <c r="F68" s="2117"/>
      <c r="G68" s="290"/>
      <c r="H68" s="290"/>
      <c r="I68" s="290"/>
      <c r="J68" s="1473"/>
      <c r="K68" s="1473"/>
      <c r="L68" s="1473"/>
      <c r="M68" s="1473"/>
      <c r="N68" s="1473"/>
      <c r="AA68" s="2364"/>
      <c r="AB68" s="2364"/>
      <c r="AC68" s="2364"/>
      <c r="AD68" s="2364"/>
      <c r="AE68" s="2364"/>
      <c r="AF68" s="2364"/>
      <c r="AG68" s="2364"/>
      <c r="AH68" s="2364"/>
      <c r="AI68" s="2364"/>
      <c r="AJ68" s="2364"/>
      <c r="AK68" s="2364"/>
    </row>
    <row r="69" spans="1:37" s="2363" customFormat="1" ht="24">
      <c r="A69" s="1480" t="s">
        <v>1772</v>
      </c>
      <c r="B69" s="1481"/>
      <c r="C69" s="1482" t="s">
        <v>1774</v>
      </c>
      <c r="D69" s="1483" t="s">
        <v>1845</v>
      </c>
      <c r="E69" s="1484" t="s">
        <v>1847</v>
      </c>
      <c r="F69" s="2585" t="s">
        <v>2284</v>
      </c>
      <c r="G69" s="1483" t="s">
        <v>1843</v>
      </c>
      <c r="H69" s="2586" t="s">
        <v>2488</v>
      </c>
      <c r="I69" s="1483" t="s">
        <v>1846</v>
      </c>
      <c r="J69" s="938" t="s">
        <v>422</v>
      </c>
      <c r="K69" s="938" t="s">
        <v>423</v>
      </c>
      <c r="L69" s="938" t="s">
        <v>424</v>
      </c>
      <c r="M69" s="938" t="s">
        <v>425</v>
      </c>
      <c r="N69" s="938" t="s">
        <v>426</v>
      </c>
      <c r="AA69" s="2364"/>
      <c r="AB69" s="2364"/>
      <c r="AC69" s="2364"/>
      <c r="AD69" s="2364"/>
      <c r="AE69" s="2364"/>
      <c r="AF69" s="2364"/>
      <c r="AG69" s="2364"/>
      <c r="AH69" s="2364"/>
      <c r="AI69" s="2364"/>
      <c r="AJ69" s="2364"/>
      <c r="AK69" s="2364"/>
    </row>
    <row r="70" spans="1:37" s="2363" customFormat="1" ht="48">
      <c r="A70" s="1480" t="s">
        <v>110</v>
      </c>
      <c r="B70" s="1485" t="str">
        <f>估价对象房地状况!C15</f>
        <v>估价对象周边有新安里、双河北里等住宅小区，综合评价居住社区成熟度较好</v>
      </c>
      <c r="C70" s="1470"/>
      <c r="D70" s="2584">
        <f t="shared" ref="D70:D78" si="20">SUMIF($J$69:$N$69,C70,J70:N70)</f>
        <v>0</v>
      </c>
      <c r="E70" s="1487">
        <f>ROUND(SUM(D70:D78),4)</f>
        <v>0</v>
      </c>
      <c r="F70" s="1488" t="str">
        <f>IF(E2="住宅",SUMIF(L1:L12,G2,N1:N12),"——")</f>
        <v>——</v>
      </c>
      <c r="G70" s="2582"/>
      <c r="H70" s="2600" t="str">
        <f t="shared" ref="H70:H78" si="21">IFERROR(ROUNDDOWN($F$70*I70/2,4),"——")</f>
        <v>——</v>
      </c>
      <c r="I70" s="1486">
        <v>0.14000000000000001</v>
      </c>
      <c r="J70" s="2583">
        <f t="shared" ref="J70:J78" si="22">K70+$G70</f>
        <v>0</v>
      </c>
      <c r="K70" s="2583">
        <f t="shared" ref="K70:K78" si="23">$L70+$G70</f>
        <v>0</v>
      </c>
      <c r="L70" s="2583">
        <v>0</v>
      </c>
      <c r="M70" s="2583">
        <f t="shared" ref="M70:N78" si="24">L70-$G70</f>
        <v>0</v>
      </c>
      <c r="N70" s="2583">
        <f t="shared" si="24"/>
        <v>0</v>
      </c>
      <c r="AA70" s="2364"/>
      <c r="AB70" s="2364"/>
      <c r="AC70" s="2364"/>
      <c r="AD70" s="2364"/>
      <c r="AE70" s="2364"/>
      <c r="AF70" s="2364"/>
      <c r="AG70" s="2364"/>
      <c r="AH70" s="2364"/>
      <c r="AI70" s="2364"/>
      <c r="AJ70" s="2364"/>
      <c r="AK70" s="2364"/>
    </row>
    <row r="71" spans="1:37" s="2363" customFormat="1" ht="36">
      <c r="A71" s="1480" t="s">
        <v>92</v>
      </c>
      <c r="B71" s="1489" t="str">
        <f>估价对象房地状况!C18</f>
        <v>估价对象周边有849、兴23路等公交线路，综合评价交通便捷度一般</v>
      </c>
      <c r="C71" s="1470"/>
      <c r="D71" s="2584">
        <f t="shared" si="20"/>
        <v>0</v>
      </c>
      <c r="E71" s="1499"/>
      <c r="F71" s="1488"/>
      <c r="G71" s="2582"/>
      <c r="H71" s="2600" t="str">
        <f t="shared" si="21"/>
        <v>——</v>
      </c>
      <c r="I71" s="1486">
        <v>0.3</v>
      </c>
      <c r="J71" s="2583">
        <f t="shared" si="22"/>
        <v>0</v>
      </c>
      <c r="K71" s="2583">
        <f t="shared" si="23"/>
        <v>0</v>
      </c>
      <c r="L71" s="2583">
        <v>0</v>
      </c>
      <c r="M71" s="2583">
        <f t="shared" si="24"/>
        <v>0</v>
      </c>
      <c r="N71" s="2583">
        <f t="shared" si="24"/>
        <v>0</v>
      </c>
      <c r="AA71" s="2364"/>
      <c r="AB71" s="2364"/>
      <c r="AC71" s="2364"/>
      <c r="AD71" s="2364"/>
      <c r="AE71" s="2364"/>
      <c r="AF71" s="2364"/>
      <c r="AG71" s="2364"/>
      <c r="AH71" s="2364"/>
      <c r="AI71" s="2364"/>
      <c r="AJ71" s="2364"/>
      <c r="AK71" s="2364"/>
    </row>
    <row r="72" spans="1:37" s="2363" customFormat="1" ht="24">
      <c r="A72" s="1480" t="s">
        <v>109</v>
      </c>
      <c r="B72" s="1489">
        <f>估价对象房地状况!C19</f>
        <v>0</v>
      </c>
      <c r="C72" s="1470"/>
      <c r="D72" s="2584">
        <f t="shared" si="20"/>
        <v>0</v>
      </c>
      <c r="E72" s="1499"/>
      <c r="F72" s="1488"/>
      <c r="G72" s="2582"/>
      <c r="H72" s="2600" t="str">
        <f t="shared" si="21"/>
        <v>——</v>
      </c>
      <c r="I72" s="1486">
        <v>0.08</v>
      </c>
      <c r="J72" s="2583">
        <f t="shared" si="22"/>
        <v>0</v>
      </c>
      <c r="K72" s="2583">
        <f t="shared" si="23"/>
        <v>0</v>
      </c>
      <c r="L72" s="2583">
        <v>0</v>
      </c>
      <c r="M72" s="2583">
        <f t="shared" si="24"/>
        <v>0</v>
      </c>
      <c r="N72" s="2583">
        <f t="shared" si="24"/>
        <v>0</v>
      </c>
      <c r="AA72" s="2364"/>
      <c r="AB72" s="2364"/>
      <c r="AC72" s="2364"/>
      <c r="AD72" s="2364"/>
      <c r="AE72" s="2364"/>
      <c r="AF72" s="2364"/>
      <c r="AG72" s="2364"/>
      <c r="AH72" s="2364"/>
      <c r="AI72" s="2364"/>
      <c r="AJ72" s="2364"/>
      <c r="AK72" s="2364"/>
    </row>
    <row r="73" spans="1:37" s="2363" customFormat="1" ht="14.25">
      <c r="A73" s="1480" t="s">
        <v>1782</v>
      </c>
      <c r="B73" s="1489" t="str">
        <f>估价对象房地状况!C24</f>
        <v>城市次干道——清源东路</v>
      </c>
      <c r="C73" s="1470"/>
      <c r="D73" s="2584">
        <f t="shared" si="20"/>
        <v>0</v>
      </c>
      <c r="E73" s="1499"/>
      <c r="F73" s="1488"/>
      <c r="G73" s="2582"/>
      <c r="H73" s="2600" t="str">
        <f t="shared" si="21"/>
        <v>——</v>
      </c>
      <c r="I73" s="1486">
        <v>0.04</v>
      </c>
      <c r="J73" s="2583">
        <f t="shared" si="22"/>
        <v>0</v>
      </c>
      <c r="K73" s="2583">
        <f t="shared" si="23"/>
        <v>0</v>
      </c>
      <c r="L73" s="2583">
        <v>0</v>
      </c>
      <c r="M73" s="2583">
        <f t="shared" si="24"/>
        <v>0</v>
      </c>
      <c r="N73" s="2583">
        <f t="shared" si="24"/>
        <v>0</v>
      </c>
      <c r="AA73" s="2364"/>
      <c r="AB73" s="2364"/>
      <c r="AC73" s="2364"/>
      <c r="AD73" s="2364"/>
      <c r="AE73" s="2364"/>
      <c r="AF73" s="2364"/>
      <c r="AG73" s="2364"/>
      <c r="AH73" s="2364"/>
      <c r="AI73" s="2364"/>
      <c r="AJ73" s="2364"/>
      <c r="AK73" s="2364"/>
    </row>
    <row r="74" spans="1:37" s="2363" customFormat="1" ht="24">
      <c r="A74" s="1480" t="s">
        <v>1779</v>
      </c>
      <c r="B74" s="2580" t="str">
        <f>估价对象房地状况!C21</f>
        <v>估价对象所在区域公共配套设施齐备较齐备</v>
      </c>
      <c r="C74" s="1470"/>
      <c r="D74" s="2584">
        <f t="shared" si="20"/>
        <v>0</v>
      </c>
      <c r="E74" s="1499"/>
      <c r="F74" s="1488"/>
      <c r="G74" s="2582"/>
      <c r="H74" s="2600" t="str">
        <f t="shared" si="21"/>
        <v>——</v>
      </c>
      <c r="I74" s="1486">
        <v>0.08</v>
      </c>
      <c r="J74" s="2583">
        <f t="shared" si="22"/>
        <v>0</v>
      </c>
      <c r="K74" s="2583">
        <f t="shared" si="23"/>
        <v>0</v>
      </c>
      <c r="L74" s="2583">
        <v>0</v>
      </c>
      <c r="M74" s="2583">
        <f t="shared" si="24"/>
        <v>0</v>
      </c>
      <c r="N74" s="2583">
        <f t="shared" si="24"/>
        <v>0</v>
      </c>
      <c r="AA74" s="2364"/>
      <c r="AB74" s="2364"/>
      <c r="AC74" s="2364"/>
      <c r="AD74" s="2364"/>
      <c r="AE74" s="2364"/>
      <c r="AF74" s="2364"/>
      <c r="AG74" s="2364"/>
      <c r="AH74" s="2364"/>
      <c r="AI74" s="2364"/>
      <c r="AJ74" s="2364"/>
      <c r="AK74" s="2364"/>
    </row>
    <row r="75" spans="1:37" s="2363" customFormat="1" ht="24">
      <c r="A75" s="1480" t="s">
        <v>1780</v>
      </c>
      <c r="B75" s="2580" t="str">
        <f>估价对象房地状况!C22</f>
        <v>区域基础设施水平达七通</v>
      </c>
      <c r="C75" s="1470"/>
      <c r="D75" s="2584">
        <f t="shared" si="20"/>
        <v>0</v>
      </c>
      <c r="E75" s="1499"/>
      <c r="F75" s="1488"/>
      <c r="G75" s="2582"/>
      <c r="H75" s="2600" t="str">
        <f t="shared" si="21"/>
        <v>——</v>
      </c>
      <c r="I75" s="1486">
        <v>0.12</v>
      </c>
      <c r="J75" s="2583">
        <f t="shared" si="22"/>
        <v>0</v>
      </c>
      <c r="K75" s="2583">
        <f t="shared" si="23"/>
        <v>0</v>
      </c>
      <c r="L75" s="2583">
        <v>0</v>
      </c>
      <c r="M75" s="2583">
        <f t="shared" si="24"/>
        <v>0</v>
      </c>
      <c r="N75" s="2583">
        <f t="shared" si="24"/>
        <v>0</v>
      </c>
      <c r="AA75" s="2364"/>
      <c r="AB75" s="2364"/>
      <c r="AC75" s="2364"/>
      <c r="AD75" s="2364"/>
      <c r="AE75" s="2364"/>
      <c r="AF75" s="2364"/>
      <c r="AG75" s="2364"/>
      <c r="AH75" s="2364"/>
      <c r="AI75" s="2364"/>
      <c r="AJ75" s="2364"/>
      <c r="AK75" s="2364"/>
    </row>
    <row r="76" spans="1:37" s="2367" customFormat="1" ht="24">
      <c r="A76" s="1480" t="s">
        <v>1778</v>
      </c>
      <c r="B76" s="3282" t="s">
        <v>3013</v>
      </c>
      <c r="C76" s="1470"/>
      <c r="D76" s="2584">
        <f t="shared" si="20"/>
        <v>0</v>
      </c>
      <c r="E76" s="1499"/>
      <c r="F76" s="1488"/>
      <c r="G76" s="2582"/>
      <c r="H76" s="2600" t="str">
        <f t="shared" si="21"/>
        <v>——</v>
      </c>
      <c r="I76" s="1486">
        <v>0.05</v>
      </c>
      <c r="J76" s="2583">
        <f t="shared" si="22"/>
        <v>0</v>
      </c>
      <c r="K76" s="2583">
        <f t="shared" si="23"/>
        <v>0</v>
      </c>
      <c r="L76" s="2583">
        <v>0</v>
      </c>
      <c r="M76" s="2583">
        <f t="shared" si="24"/>
        <v>0</v>
      </c>
      <c r="N76" s="2583">
        <f t="shared" si="24"/>
        <v>0</v>
      </c>
      <c r="AA76" s="2366"/>
      <c r="AB76" s="2364"/>
      <c r="AC76" s="2364"/>
      <c r="AD76" s="2364"/>
      <c r="AE76" s="2364"/>
      <c r="AF76" s="2364"/>
      <c r="AG76" s="2364"/>
      <c r="AH76" s="2366"/>
      <c r="AI76" s="2366"/>
      <c r="AJ76" s="2366"/>
      <c r="AK76" s="2366"/>
    </row>
    <row r="77" spans="1:37" ht="36">
      <c r="A77" s="1480" t="s">
        <v>1781</v>
      </c>
      <c r="B77" s="1485" t="str">
        <f>估价对象房地状况!C20</f>
        <v>周边有北京广播电视大学、康庄公园；综合评价环境状况较好</v>
      </c>
      <c r="C77" s="1470"/>
      <c r="D77" s="2584">
        <f t="shared" si="20"/>
        <v>0</v>
      </c>
      <c r="E77" s="1499"/>
      <c r="F77" s="1488"/>
      <c r="G77" s="2582"/>
      <c r="H77" s="2600" t="str">
        <f t="shared" si="21"/>
        <v>——</v>
      </c>
      <c r="I77" s="1486">
        <v>0.15</v>
      </c>
      <c r="J77" s="2583">
        <f t="shared" si="22"/>
        <v>0</v>
      </c>
      <c r="K77" s="2583">
        <f t="shared" si="23"/>
        <v>0</v>
      </c>
      <c r="L77" s="2583">
        <v>0</v>
      </c>
      <c r="M77" s="2583">
        <f t="shared" si="24"/>
        <v>0</v>
      </c>
      <c r="N77" s="2583">
        <f t="shared" si="24"/>
        <v>0</v>
      </c>
      <c r="Z77" s="1610"/>
      <c r="AA77" s="1609"/>
      <c r="AG77" s="1608"/>
      <c r="AK77" s="1609"/>
    </row>
    <row r="78" spans="1:37" ht="24.75" thickBot="1">
      <c r="A78" s="1493" t="s">
        <v>1783</v>
      </c>
      <c r="B78" s="3281"/>
      <c r="C78" s="1470"/>
      <c r="D78" s="2584">
        <f t="shared" si="20"/>
        <v>0</v>
      </c>
      <c r="E78" s="1500"/>
      <c r="F78" s="1488"/>
      <c r="G78" s="2582"/>
      <c r="H78" s="2600" t="str">
        <f t="shared" si="21"/>
        <v>——</v>
      </c>
      <c r="I78" s="1495">
        <v>0.04</v>
      </c>
      <c r="J78" s="2583">
        <f t="shared" si="22"/>
        <v>0</v>
      </c>
      <c r="K78" s="2583">
        <f t="shared" si="23"/>
        <v>0</v>
      </c>
      <c r="L78" s="2583">
        <v>0</v>
      </c>
      <c r="M78" s="2583">
        <f t="shared" si="24"/>
        <v>0</v>
      </c>
      <c r="N78" s="2583">
        <f t="shared" si="24"/>
        <v>0</v>
      </c>
      <c r="Z78" s="1610"/>
      <c r="AA78" s="1609"/>
      <c r="AG78" s="1608"/>
      <c r="AK78" s="1609"/>
    </row>
    <row r="79" spans="1:37" ht="15">
      <c r="A79" s="1474" t="s">
        <v>1097</v>
      </c>
      <c r="B79" s="1475">
        <f>1+E81</f>
        <v>1</v>
      </c>
      <c r="C79" s="1497"/>
      <c r="D79" s="1477"/>
      <c r="E79" s="1478"/>
      <c r="F79" s="2117"/>
      <c r="G79" s="290"/>
      <c r="H79" s="290"/>
      <c r="I79" s="290"/>
      <c r="J79" s="1473"/>
      <c r="K79" s="1473"/>
      <c r="L79" s="1473"/>
      <c r="M79" s="1473"/>
      <c r="N79" s="1473"/>
      <c r="Z79" s="1610"/>
      <c r="AA79" s="1609"/>
      <c r="AG79" s="1608"/>
      <c r="AK79" s="1609"/>
    </row>
    <row r="80" spans="1:37" ht="24">
      <c r="A80" s="1480" t="s">
        <v>1772</v>
      </c>
      <c r="B80" s="1481"/>
      <c r="C80" s="1482" t="s">
        <v>1774</v>
      </c>
      <c r="D80" s="1483" t="s">
        <v>1845</v>
      </c>
      <c r="E80" s="1484" t="s">
        <v>1847</v>
      </c>
      <c r="F80" s="2585" t="s">
        <v>2284</v>
      </c>
      <c r="G80" s="1483" t="s">
        <v>1843</v>
      </c>
      <c r="H80" s="2586" t="s">
        <v>2488</v>
      </c>
      <c r="I80" s="1483" t="s">
        <v>1846</v>
      </c>
      <c r="J80" s="938" t="s">
        <v>422</v>
      </c>
      <c r="K80" s="938" t="s">
        <v>423</v>
      </c>
      <c r="L80" s="938" t="s">
        <v>424</v>
      </c>
      <c r="M80" s="938" t="s">
        <v>425</v>
      </c>
      <c r="N80" s="938" t="s">
        <v>426</v>
      </c>
      <c r="Z80" s="1610"/>
      <c r="AA80" s="1609"/>
      <c r="AG80" s="1608"/>
      <c r="AK80" s="1609"/>
    </row>
    <row r="81" spans="1:37" ht="36">
      <c r="A81" s="1480" t="s">
        <v>159</v>
      </c>
      <c r="B81" s="1489" t="str">
        <f>估价对象房地状况!G15</f>
        <v>估价对象位于XX开发区，园区建设成熟度XX，产业集聚程度XX</v>
      </c>
      <c r="C81" s="1470"/>
      <c r="D81" s="2584">
        <f t="shared" ref="D81:D88" si="25">SUMIF($J$80:$N$80,C81,J81:N81)</f>
        <v>0</v>
      </c>
      <c r="E81" s="1487">
        <f>ROUND(SUM(D81:D88),4)</f>
        <v>0</v>
      </c>
      <c r="F81" s="1488" t="str">
        <f>IF(E2="工业",SUMIF(L1:L12,G2,N1:N12),"——")</f>
        <v>——</v>
      </c>
      <c r="G81" s="2582"/>
      <c r="H81" s="2600" t="str">
        <f t="shared" ref="H81:H88" si="26">IFERROR(ROUNDDOWN($F$81*I81/2,4),"——")</f>
        <v>——</v>
      </c>
      <c r="I81" s="1486">
        <v>0.26</v>
      </c>
      <c r="J81" s="2583">
        <f t="shared" ref="J81:J88" si="27">K81+$G81</f>
        <v>0</v>
      </c>
      <c r="K81" s="2583">
        <f t="shared" ref="K81:K88" si="28">$L81+$G81</f>
        <v>0</v>
      </c>
      <c r="L81" s="2583">
        <v>0</v>
      </c>
      <c r="M81" s="2583">
        <f t="shared" ref="M81:N88" si="29">L81-$G81</f>
        <v>0</v>
      </c>
      <c r="N81" s="2583">
        <f t="shared" si="29"/>
        <v>0</v>
      </c>
      <c r="Z81" s="1610"/>
      <c r="AA81" s="1609"/>
      <c r="AG81" s="1608"/>
      <c r="AK81" s="1609"/>
    </row>
    <row r="82" spans="1:37" ht="48">
      <c r="A82" s="1480" t="s">
        <v>92</v>
      </c>
      <c r="B82" s="1489" t="str">
        <f>估价对象房地状况!G16</f>
        <v>估价对象周边道路状况、公共交通通达情况、停车便捷程度，综合评价交通便捷度较好</v>
      </c>
      <c r="C82" s="1470"/>
      <c r="D82" s="2584">
        <f t="shared" si="25"/>
        <v>0</v>
      </c>
      <c r="E82" s="1499"/>
      <c r="F82" s="1488"/>
      <c r="G82" s="2582"/>
      <c r="H82" s="2600" t="str">
        <f t="shared" si="26"/>
        <v>——</v>
      </c>
      <c r="I82" s="1486">
        <v>0.33</v>
      </c>
      <c r="J82" s="2583">
        <f t="shared" si="27"/>
        <v>0</v>
      </c>
      <c r="K82" s="2583">
        <f t="shared" si="28"/>
        <v>0</v>
      </c>
      <c r="L82" s="2583">
        <v>0</v>
      </c>
      <c r="M82" s="2583">
        <f t="shared" si="29"/>
        <v>0</v>
      </c>
      <c r="N82" s="2583">
        <f t="shared" si="29"/>
        <v>0</v>
      </c>
      <c r="Z82" s="1610"/>
      <c r="AA82" s="1609"/>
      <c r="AG82" s="1608"/>
      <c r="AK82" s="1609"/>
    </row>
    <row r="83" spans="1:37" ht="24">
      <c r="A83" s="1480" t="s">
        <v>109</v>
      </c>
      <c r="B83" s="1489">
        <f>估价对象房地状况!G17</f>
        <v>0</v>
      </c>
      <c r="C83" s="1470"/>
      <c r="D83" s="2584">
        <f t="shared" si="25"/>
        <v>0</v>
      </c>
      <c r="E83" s="1499"/>
      <c r="F83" s="1488"/>
      <c r="G83" s="2582"/>
      <c r="H83" s="2600" t="str">
        <f t="shared" si="26"/>
        <v>——</v>
      </c>
      <c r="I83" s="1486">
        <v>0.05</v>
      </c>
      <c r="J83" s="2583">
        <f t="shared" si="27"/>
        <v>0</v>
      </c>
      <c r="K83" s="2583">
        <f t="shared" si="28"/>
        <v>0</v>
      </c>
      <c r="L83" s="2583">
        <v>0</v>
      </c>
      <c r="M83" s="2583">
        <f t="shared" si="29"/>
        <v>0</v>
      </c>
      <c r="N83" s="2583">
        <f t="shared" si="29"/>
        <v>0</v>
      </c>
      <c r="Z83" s="1610"/>
      <c r="AA83" s="1609"/>
      <c r="AG83" s="1608"/>
      <c r="AK83" s="1609"/>
    </row>
    <row r="84" spans="1:37" ht="14.25">
      <c r="A84" s="1480" t="s">
        <v>1782</v>
      </c>
      <c r="B84" s="1489">
        <f>估价对象房地状况!G22</f>
        <v>0</v>
      </c>
      <c r="C84" s="1470"/>
      <c r="D84" s="2584">
        <f t="shared" si="25"/>
        <v>0</v>
      </c>
      <c r="E84" s="1499"/>
      <c r="F84" s="1488"/>
      <c r="G84" s="2582"/>
      <c r="H84" s="2600" t="str">
        <f t="shared" si="26"/>
        <v>——</v>
      </c>
      <c r="I84" s="1486">
        <v>0.04</v>
      </c>
      <c r="J84" s="2583">
        <f t="shared" si="27"/>
        <v>0</v>
      </c>
      <c r="K84" s="2583">
        <f t="shared" si="28"/>
        <v>0</v>
      </c>
      <c r="L84" s="2583">
        <v>0</v>
      </c>
      <c r="M84" s="2583">
        <f t="shared" si="29"/>
        <v>0</v>
      </c>
      <c r="N84" s="2583">
        <f t="shared" si="29"/>
        <v>0</v>
      </c>
      <c r="Z84" s="1610"/>
      <c r="AA84" s="1609"/>
      <c r="AG84" s="1608"/>
      <c r="AK84" s="1609"/>
    </row>
    <row r="85" spans="1:37" ht="24">
      <c r="A85" s="1480" t="s">
        <v>1779</v>
      </c>
      <c r="B85" s="2580" t="str">
        <f>估价对象房地状况!G19</f>
        <v>估价对象所在区域公共配套设施齐备情况</v>
      </c>
      <c r="C85" s="1470"/>
      <c r="D85" s="2584">
        <f t="shared" si="25"/>
        <v>0</v>
      </c>
      <c r="E85" s="1499"/>
      <c r="F85" s="1488"/>
      <c r="G85" s="2582"/>
      <c r="H85" s="2600" t="str">
        <f t="shared" si="26"/>
        <v>——</v>
      </c>
      <c r="I85" s="1486">
        <v>0.06</v>
      </c>
      <c r="J85" s="2583">
        <f t="shared" si="27"/>
        <v>0</v>
      </c>
      <c r="K85" s="2583">
        <f t="shared" si="28"/>
        <v>0</v>
      </c>
      <c r="L85" s="2583">
        <v>0</v>
      </c>
      <c r="M85" s="2583">
        <f t="shared" si="29"/>
        <v>0</v>
      </c>
      <c r="N85" s="2583">
        <f t="shared" si="29"/>
        <v>0</v>
      </c>
      <c r="Z85" s="1610"/>
      <c r="AA85" s="1609"/>
      <c r="AG85" s="1608"/>
      <c r="AK85" s="1609"/>
    </row>
    <row r="86" spans="1:37" ht="24">
      <c r="A86" s="1480" t="s">
        <v>1780</v>
      </c>
      <c r="B86" s="2580" t="str">
        <f>估价对象房地状况!G20</f>
        <v>估价对象所在区域基础设施水平</v>
      </c>
      <c r="C86" s="1470"/>
      <c r="D86" s="2584">
        <f t="shared" si="25"/>
        <v>0</v>
      </c>
      <c r="E86" s="1499"/>
      <c r="F86" s="1488"/>
      <c r="G86" s="2582"/>
      <c r="H86" s="2600" t="str">
        <f t="shared" si="26"/>
        <v>——</v>
      </c>
      <c r="I86" s="1486">
        <v>0.15</v>
      </c>
      <c r="J86" s="2583">
        <f t="shared" si="27"/>
        <v>0</v>
      </c>
      <c r="K86" s="2583">
        <f t="shared" si="28"/>
        <v>0</v>
      </c>
      <c r="L86" s="2583">
        <v>0</v>
      </c>
      <c r="M86" s="2583">
        <f t="shared" si="29"/>
        <v>0</v>
      </c>
      <c r="N86" s="2583">
        <f t="shared" si="29"/>
        <v>0</v>
      </c>
      <c r="Z86" s="1610"/>
      <c r="AA86" s="1609"/>
      <c r="AG86" s="1608"/>
      <c r="AK86" s="1609"/>
    </row>
    <row r="87" spans="1:37" ht="24">
      <c r="A87" s="1480" t="s">
        <v>1778</v>
      </c>
      <c r="B87" s="3282" t="s">
        <v>2486</v>
      </c>
      <c r="C87" s="1470"/>
      <c r="D87" s="2584">
        <f t="shared" si="25"/>
        <v>0</v>
      </c>
      <c r="E87" s="1499"/>
      <c r="F87" s="1488"/>
      <c r="G87" s="2582"/>
      <c r="H87" s="2600" t="str">
        <f t="shared" si="26"/>
        <v>——</v>
      </c>
      <c r="I87" s="1486">
        <v>0.05</v>
      </c>
      <c r="J87" s="2583">
        <f t="shared" si="27"/>
        <v>0</v>
      </c>
      <c r="K87" s="2583">
        <f t="shared" si="28"/>
        <v>0</v>
      </c>
      <c r="L87" s="2583">
        <v>0</v>
      </c>
      <c r="M87" s="2583">
        <f t="shared" si="29"/>
        <v>0</v>
      </c>
      <c r="N87" s="2583">
        <f t="shared" si="29"/>
        <v>0</v>
      </c>
      <c r="Z87" s="1610"/>
      <c r="AA87" s="1609"/>
      <c r="AG87" s="1608"/>
      <c r="AK87" s="1609"/>
    </row>
    <row r="88" spans="1:37" ht="36.75" thickBot="1">
      <c r="A88" s="1493" t="s">
        <v>1784</v>
      </c>
      <c r="B88" s="2581" t="str">
        <f>估价对象房地状况!G18</f>
        <v>该园区内是否有污染型企业，绿化情况，卫生条件，整体环境状况判断</v>
      </c>
      <c r="C88" s="1470"/>
      <c r="D88" s="2584">
        <f t="shared" si="25"/>
        <v>0</v>
      </c>
      <c r="E88" s="1500"/>
      <c r="F88" s="1488"/>
      <c r="G88" s="2582"/>
      <c r="H88" s="2600" t="str">
        <f t="shared" si="26"/>
        <v>——</v>
      </c>
      <c r="I88" s="1495">
        <v>0.06</v>
      </c>
      <c r="J88" s="2583">
        <f t="shared" si="27"/>
        <v>0</v>
      </c>
      <c r="K88" s="2583">
        <f t="shared" si="28"/>
        <v>0</v>
      </c>
      <c r="L88" s="2583">
        <v>0</v>
      </c>
      <c r="M88" s="2583">
        <f t="shared" si="29"/>
        <v>0</v>
      </c>
      <c r="N88" s="2583">
        <f t="shared" si="29"/>
        <v>0</v>
      </c>
      <c r="Z88" s="1610"/>
      <c r="AA88" s="1609"/>
      <c r="AG88" s="1608"/>
      <c r="AK88" s="1609"/>
    </row>
    <row r="90" spans="1:37">
      <c r="A90" s="3748" t="s">
        <v>1753</v>
      </c>
      <c r="B90" s="3748"/>
      <c r="C90" s="3748"/>
      <c r="D90" s="3748"/>
      <c r="E90" s="3748"/>
      <c r="F90" s="3748"/>
      <c r="G90" s="3748"/>
      <c r="H90" s="3748"/>
      <c r="I90" s="3748"/>
      <c r="J90" s="3748"/>
      <c r="K90" s="2589"/>
      <c r="L90" s="2589"/>
      <c r="M90" s="2589"/>
      <c r="N90" s="2589"/>
    </row>
    <row r="91" spans="1:37">
      <c r="A91" s="3750" t="s">
        <v>68</v>
      </c>
      <c r="B91" s="3750" t="s">
        <v>1754</v>
      </c>
      <c r="C91" s="1569" t="s">
        <v>1755</v>
      </c>
      <c r="D91" s="1570"/>
      <c r="E91" s="1570"/>
      <c r="F91" s="1570"/>
      <c r="G91" s="1570"/>
      <c r="H91" s="1570"/>
      <c r="I91" s="1570"/>
      <c r="J91" s="1571"/>
      <c r="K91" s="1559"/>
      <c r="L91" s="1559"/>
      <c r="M91" s="1559"/>
      <c r="N91" s="1559"/>
    </row>
    <row r="92" spans="1:37">
      <c r="A92" s="3750"/>
      <c r="B92" s="3750"/>
      <c r="C92" s="2588" t="s">
        <v>164</v>
      </c>
      <c r="D92" s="2588" t="s">
        <v>165</v>
      </c>
      <c r="E92" s="2588" t="s">
        <v>160</v>
      </c>
      <c r="F92" s="2588" t="s">
        <v>161</v>
      </c>
      <c r="G92" s="2588" t="s">
        <v>162</v>
      </c>
      <c r="H92" s="2588" t="s">
        <v>163</v>
      </c>
      <c r="I92" s="2588" t="s">
        <v>1170</v>
      </c>
      <c r="J92" s="2588" t="s">
        <v>1171</v>
      </c>
      <c r="K92" s="2588" t="s">
        <v>1172</v>
      </c>
      <c r="L92" s="2588" t="s">
        <v>1173</v>
      </c>
      <c r="M92" s="2588" t="s">
        <v>1174</v>
      </c>
      <c r="N92" s="2588" t="s">
        <v>1175</v>
      </c>
    </row>
    <row r="93" spans="1:37">
      <c r="A93" s="3751" t="s">
        <v>1756</v>
      </c>
      <c r="B93" s="1572">
        <v>1</v>
      </c>
      <c r="C93" s="1573">
        <v>1.9361999999999999</v>
      </c>
      <c r="D93" s="1573">
        <v>1.9361999999999999</v>
      </c>
      <c r="E93" s="1573">
        <v>1.8629</v>
      </c>
      <c r="F93" s="1573">
        <v>1.8629</v>
      </c>
      <c r="G93" s="1573">
        <v>1.8629</v>
      </c>
      <c r="H93" s="1573">
        <v>1.8629</v>
      </c>
      <c r="I93" s="1573">
        <v>1.8629</v>
      </c>
      <c r="J93" s="1573">
        <v>1.9419999999999999</v>
      </c>
      <c r="K93" s="1573">
        <v>1.9419999999999999</v>
      </c>
      <c r="L93" s="1573">
        <v>1.9419999999999999</v>
      </c>
      <c r="M93" s="1573">
        <v>1.9419999999999999</v>
      </c>
      <c r="N93" s="1573">
        <v>1.9419999999999999</v>
      </c>
    </row>
    <row r="94" spans="1:37">
      <c r="A94" s="3752"/>
      <c r="B94" s="1572">
        <v>2</v>
      </c>
      <c r="C94" s="1573">
        <v>1.4198</v>
      </c>
      <c r="D94" s="1573">
        <v>1.4198</v>
      </c>
      <c r="E94" s="1573">
        <v>1.3371999999999999</v>
      </c>
      <c r="F94" s="1573">
        <v>1.3371999999999999</v>
      </c>
      <c r="G94" s="1573">
        <v>1.3371999999999999</v>
      </c>
      <c r="H94" s="1573">
        <v>1.3371999999999999</v>
      </c>
      <c r="I94" s="1573">
        <v>1.3371999999999999</v>
      </c>
      <c r="J94" s="1573">
        <v>1.2799</v>
      </c>
      <c r="K94" s="1573">
        <v>1.2799</v>
      </c>
      <c r="L94" s="1573">
        <v>1.2799</v>
      </c>
      <c r="M94" s="1573">
        <v>1.2799</v>
      </c>
      <c r="N94" s="1573">
        <v>1.2799</v>
      </c>
    </row>
    <row r="95" spans="1:37">
      <c r="A95" s="3752"/>
      <c r="B95" s="1572">
        <v>3</v>
      </c>
      <c r="C95" s="1573">
        <v>1.1594</v>
      </c>
      <c r="D95" s="1573">
        <v>1.1594</v>
      </c>
      <c r="E95" s="1573">
        <v>1.0788</v>
      </c>
      <c r="F95" s="1573">
        <v>1.0788</v>
      </c>
      <c r="G95" s="1573">
        <v>1.0788</v>
      </c>
      <c r="H95" s="1573">
        <v>1.0788</v>
      </c>
      <c r="I95" s="1573">
        <v>1.0788</v>
      </c>
      <c r="J95" s="1573">
        <v>1.0072000000000001</v>
      </c>
      <c r="K95" s="1573">
        <v>1.0072000000000001</v>
      </c>
      <c r="L95" s="1573">
        <v>1.0072000000000001</v>
      </c>
      <c r="M95" s="1573">
        <v>1.0072000000000001</v>
      </c>
      <c r="N95" s="1573">
        <v>1.0072000000000001</v>
      </c>
    </row>
    <row r="96" spans="1:37">
      <c r="A96" s="3752"/>
      <c r="B96" s="1572">
        <v>4</v>
      </c>
      <c r="C96" s="1573">
        <v>0.96220000000000006</v>
      </c>
      <c r="D96" s="1573">
        <v>0.96220000000000006</v>
      </c>
      <c r="E96" s="1573">
        <v>0.86560000000000004</v>
      </c>
      <c r="F96" s="1573">
        <v>0.86560000000000004</v>
      </c>
      <c r="G96" s="1573">
        <v>0.86560000000000004</v>
      </c>
      <c r="H96" s="1573">
        <v>0.86560000000000004</v>
      </c>
      <c r="I96" s="1573">
        <v>0.86560000000000004</v>
      </c>
      <c r="J96" s="1573">
        <v>0.75249999999999995</v>
      </c>
      <c r="K96" s="1573">
        <v>0.75249999999999995</v>
      </c>
      <c r="L96" s="1573">
        <v>0.75249999999999995</v>
      </c>
      <c r="M96" s="1573">
        <v>0.75249999999999995</v>
      </c>
      <c r="N96" s="1573">
        <v>0.75249999999999995</v>
      </c>
    </row>
    <row r="97" spans="1:14">
      <c r="A97" s="3752"/>
      <c r="B97" s="1572">
        <v>5</v>
      </c>
      <c r="C97" s="1573">
        <v>0.8417</v>
      </c>
      <c r="D97" s="1573">
        <v>0.8417</v>
      </c>
      <c r="E97" s="1573">
        <v>0.73709999999999998</v>
      </c>
      <c r="F97" s="1573">
        <v>0.73709999999999998</v>
      </c>
      <c r="G97" s="1573">
        <v>0.73709999999999998</v>
      </c>
      <c r="H97" s="1573">
        <v>0.73709999999999998</v>
      </c>
      <c r="I97" s="1573">
        <v>0.73709999999999998</v>
      </c>
      <c r="J97" s="1573">
        <v>0.56589999999999996</v>
      </c>
      <c r="K97" s="1573">
        <v>0.56589999999999996</v>
      </c>
      <c r="L97" s="1573">
        <v>0.56589999999999996</v>
      </c>
      <c r="M97" s="1573">
        <v>0.56589999999999996</v>
      </c>
      <c r="N97" s="1573">
        <v>0.56589999999999996</v>
      </c>
    </row>
    <row r="98" spans="1:14">
      <c r="A98" s="3752"/>
      <c r="B98" s="1572">
        <v>6</v>
      </c>
      <c r="C98" s="1573">
        <v>0.76080000000000003</v>
      </c>
      <c r="D98" s="1573">
        <v>0.76080000000000003</v>
      </c>
      <c r="E98" s="1573">
        <v>0.6482</v>
      </c>
      <c r="F98" s="1573">
        <v>0.6482</v>
      </c>
      <c r="G98" s="1573">
        <v>0.6482</v>
      </c>
      <c r="H98" s="1573">
        <v>0.6482</v>
      </c>
      <c r="I98" s="1573">
        <v>0.6482</v>
      </c>
      <c r="J98" s="1573">
        <v>0.45250000000000001</v>
      </c>
      <c r="K98" s="1573">
        <v>0.45250000000000001</v>
      </c>
      <c r="L98" s="1573">
        <v>0.45250000000000001</v>
      </c>
      <c r="M98" s="1573">
        <v>0.45250000000000001</v>
      </c>
      <c r="N98" s="1573">
        <v>0.45250000000000001</v>
      </c>
    </row>
    <row r="99" spans="1:14">
      <c r="A99" s="3752"/>
      <c r="B99" s="1572" t="s">
        <v>1757</v>
      </c>
      <c r="C99" s="1574">
        <f>$I$3</f>
        <v>0</v>
      </c>
      <c r="D99" s="1574">
        <f t="shared" ref="D99:M99" si="30">$I$3</f>
        <v>0</v>
      </c>
      <c r="E99" s="1574">
        <f t="shared" si="30"/>
        <v>0</v>
      </c>
      <c r="F99" s="1574">
        <f t="shared" si="30"/>
        <v>0</v>
      </c>
      <c r="G99" s="1574">
        <f t="shared" si="30"/>
        <v>0</v>
      </c>
      <c r="H99" s="1574">
        <f t="shared" si="30"/>
        <v>0</v>
      </c>
      <c r="I99" s="1574">
        <f t="shared" si="30"/>
        <v>0</v>
      </c>
      <c r="J99" s="1574">
        <f t="shared" si="30"/>
        <v>0</v>
      </c>
      <c r="K99" s="1574">
        <f t="shared" si="30"/>
        <v>0</v>
      </c>
      <c r="L99" s="1574">
        <f t="shared" si="30"/>
        <v>0</v>
      </c>
      <c r="M99" s="1574">
        <f t="shared" si="30"/>
        <v>0</v>
      </c>
      <c r="N99" s="1574">
        <f>$I$3</f>
        <v>0</v>
      </c>
    </row>
    <row r="100" spans="1:14">
      <c r="A100" s="3753"/>
      <c r="B100" s="1572">
        <v>7</v>
      </c>
      <c r="C100" s="1575">
        <f>(-0.163*(C99^2)-0.59*C99+7617)*(10^(-4))</f>
        <v>0.76170000000000004</v>
      </c>
      <c r="D100" s="1575">
        <f>(-0.163*(D99^2)-0.59*D99+7617)*(10^(-4))</f>
        <v>0.76170000000000004</v>
      </c>
      <c r="E100" s="1575">
        <f>(-0.161*(E99^2)-7.509*E99+6533)*(10^(-4))</f>
        <v>0.65329999999999999</v>
      </c>
      <c r="F100" s="1575">
        <f>(-0.161*(F99^2)-7.509*F99+6533)*(10^(-4))</f>
        <v>0.65329999999999999</v>
      </c>
      <c r="G100" s="1575">
        <f>(-0.161*(G99^2)-7.509*G99+6533)*(10^(-4))</f>
        <v>0.65329999999999999</v>
      </c>
      <c r="H100" s="1575">
        <f>(-0.161*(H99^2)-7.509*H99+6533)*(10^(-4))</f>
        <v>0.65329999999999999</v>
      </c>
      <c r="I100" s="1575">
        <f>(-0.161*(I99^2)-7.509*I99+6533)*(10^(-4))</f>
        <v>0.65329999999999999</v>
      </c>
      <c r="J100" s="1575">
        <f>(-0.214*(J99^2)-21.991*J99+4665)*(10^(-4))</f>
        <v>0.46650000000000003</v>
      </c>
      <c r="K100" s="1575">
        <f>(-0.214*(K99^2)-21.991*K99+4665)*(10^(-4))</f>
        <v>0.46650000000000003</v>
      </c>
      <c r="L100" s="1575">
        <f>(-0.214*(L99^2)-21.991*L99+4665)*(10^(-4))</f>
        <v>0.46650000000000003</v>
      </c>
      <c r="M100" s="1575">
        <f>(-0.214*(M99^2)-21.991*M99+4665)*(10^(-4))</f>
        <v>0.46650000000000003</v>
      </c>
      <c r="N100" s="1575">
        <f>(-0.214*(N99^2)-21.991*N99+4665)*(10^(-4))</f>
        <v>0.46650000000000003</v>
      </c>
    </row>
    <row r="101" spans="1:14">
      <c r="A101" s="3751" t="s">
        <v>1758</v>
      </c>
      <c r="B101" s="1576" t="s">
        <v>93</v>
      </c>
      <c r="C101" s="1577">
        <f>$G$3</f>
        <v>1.02</v>
      </c>
      <c r="D101" s="1577">
        <f t="shared" ref="D101:N101" si="31">$G$3</f>
        <v>1.02</v>
      </c>
      <c r="E101" s="1577">
        <f t="shared" si="31"/>
        <v>1.02</v>
      </c>
      <c r="F101" s="1577">
        <f t="shared" si="31"/>
        <v>1.02</v>
      </c>
      <c r="G101" s="1577">
        <f t="shared" si="31"/>
        <v>1.02</v>
      </c>
      <c r="H101" s="1577">
        <f t="shared" si="31"/>
        <v>1.02</v>
      </c>
      <c r="I101" s="1577">
        <f t="shared" si="31"/>
        <v>1.02</v>
      </c>
      <c r="J101" s="1577">
        <f t="shared" si="31"/>
        <v>1.02</v>
      </c>
      <c r="K101" s="1577">
        <f t="shared" si="31"/>
        <v>1.02</v>
      </c>
      <c r="L101" s="1577">
        <f t="shared" si="31"/>
        <v>1.02</v>
      </c>
      <c r="M101" s="1577">
        <f t="shared" si="31"/>
        <v>1.02</v>
      </c>
      <c r="N101" s="1577">
        <f t="shared" si="31"/>
        <v>1.02</v>
      </c>
    </row>
    <row r="102" spans="1:14">
      <c r="A102" s="3752"/>
      <c r="B102" s="1572">
        <v>1</v>
      </c>
      <c r="C102" s="1573">
        <f>1.9362/C101</f>
        <v>1.898235294117647</v>
      </c>
      <c r="D102" s="1573">
        <f>1.9362/D101</f>
        <v>1.898235294117647</v>
      </c>
      <c r="E102" s="1573">
        <f>1.8629/E101</f>
        <v>1.8263725490196079</v>
      </c>
      <c r="F102" s="1573">
        <f>1.8629/F101</f>
        <v>1.8263725490196079</v>
      </c>
      <c r="G102" s="1573">
        <f>1.8629/G101</f>
        <v>1.8263725490196079</v>
      </c>
      <c r="H102" s="1573">
        <f>1.8629/H101</f>
        <v>1.8263725490196079</v>
      </c>
      <c r="I102" s="1573">
        <f>1.8629/I101</f>
        <v>1.8263725490196079</v>
      </c>
      <c r="J102" s="1573">
        <f>1.942/J101</f>
        <v>1.9039215686274509</v>
      </c>
      <c r="K102" s="1573">
        <f>1.942/K101</f>
        <v>1.9039215686274509</v>
      </c>
      <c r="L102" s="1573">
        <f>1.942/L101</f>
        <v>1.9039215686274509</v>
      </c>
      <c r="M102" s="1573">
        <f>1.942/M101</f>
        <v>1.9039215686274509</v>
      </c>
      <c r="N102" s="1573">
        <f>1.942/N101</f>
        <v>1.9039215686274509</v>
      </c>
    </row>
    <row r="103" spans="1:14">
      <c r="A103" s="3752"/>
      <c r="B103" s="1572">
        <v>2</v>
      </c>
      <c r="C103" s="1573">
        <f>1.4198/C101</f>
        <v>1.3919607843137254</v>
      </c>
      <c r="D103" s="1573">
        <f>1.4198/D101</f>
        <v>1.3919607843137254</v>
      </c>
      <c r="E103" s="1573">
        <f>1.3372/E101</f>
        <v>1.3109803921568626</v>
      </c>
      <c r="F103" s="1573">
        <f>1.3372/F101</f>
        <v>1.3109803921568626</v>
      </c>
      <c r="G103" s="1573">
        <f>1.3372/G101</f>
        <v>1.3109803921568626</v>
      </c>
      <c r="H103" s="1573">
        <f>1.3372/H101</f>
        <v>1.3109803921568626</v>
      </c>
      <c r="I103" s="1573">
        <f>1.3372/I101</f>
        <v>1.3109803921568626</v>
      </c>
      <c r="J103" s="1573">
        <f>1.2799/J101</f>
        <v>1.2548039215686275</v>
      </c>
      <c r="K103" s="1573">
        <f>1.2799/K101</f>
        <v>1.2548039215686275</v>
      </c>
      <c r="L103" s="1573">
        <f>1.2799/L101</f>
        <v>1.2548039215686275</v>
      </c>
      <c r="M103" s="1573">
        <f>1.2799/M101</f>
        <v>1.2548039215686275</v>
      </c>
      <c r="N103" s="1573">
        <f>1.2799/N101</f>
        <v>1.2548039215686275</v>
      </c>
    </row>
    <row r="104" spans="1:14">
      <c r="A104" s="3752"/>
      <c r="B104" s="1572">
        <v>3</v>
      </c>
      <c r="C104" s="1573">
        <f>1.1594/C101</f>
        <v>1.1366666666666667</v>
      </c>
      <c r="D104" s="1573">
        <f>1.1594/D101</f>
        <v>1.1366666666666667</v>
      </c>
      <c r="E104" s="1573">
        <f>1.0788/E101</f>
        <v>1.0576470588235294</v>
      </c>
      <c r="F104" s="1573">
        <f>1.0788/F101</f>
        <v>1.0576470588235294</v>
      </c>
      <c r="G104" s="1573">
        <f>1.0788/G101</f>
        <v>1.0576470588235294</v>
      </c>
      <c r="H104" s="1573">
        <f>1.0788/H101</f>
        <v>1.0576470588235294</v>
      </c>
      <c r="I104" s="1573">
        <f>1.0788/I101</f>
        <v>1.0576470588235294</v>
      </c>
      <c r="J104" s="1573">
        <f>1.0072/J101</f>
        <v>0.98745098039215695</v>
      </c>
      <c r="K104" s="1573">
        <f>1.0072/K101</f>
        <v>0.98745098039215695</v>
      </c>
      <c r="L104" s="1573">
        <f>1.0072/L101</f>
        <v>0.98745098039215695</v>
      </c>
      <c r="M104" s="1573">
        <f>1.0072/M101</f>
        <v>0.98745098039215695</v>
      </c>
      <c r="N104" s="1573">
        <f>1.0072/N101</f>
        <v>0.98745098039215695</v>
      </c>
    </row>
    <row r="105" spans="1:14">
      <c r="A105" s="3752"/>
      <c r="B105" s="1572">
        <v>4</v>
      </c>
      <c r="C105" s="1573">
        <f>0.9622/C101</f>
        <v>0.94333333333333336</v>
      </c>
      <c r="D105" s="1573">
        <f>0.9622/D101</f>
        <v>0.94333333333333336</v>
      </c>
      <c r="E105" s="1573">
        <f>0.8656/E101</f>
        <v>0.84862745098039216</v>
      </c>
      <c r="F105" s="1573">
        <f>0.8656/F101</f>
        <v>0.84862745098039216</v>
      </c>
      <c r="G105" s="1573">
        <f>0.8656/G101</f>
        <v>0.84862745098039216</v>
      </c>
      <c r="H105" s="1573">
        <f>0.8656/H101</f>
        <v>0.84862745098039216</v>
      </c>
      <c r="I105" s="1573">
        <f>0.8656/I101</f>
        <v>0.84862745098039216</v>
      </c>
      <c r="J105" s="1573">
        <f>0.7525/J101</f>
        <v>0.73774509803921562</v>
      </c>
      <c r="K105" s="1573">
        <f>0.7525/K101</f>
        <v>0.73774509803921562</v>
      </c>
      <c r="L105" s="1573">
        <f>0.7525/L101</f>
        <v>0.73774509803921562</v>
      </c>
      <c r="M105" s="1573">
        <f>0.7525/M101</f>
        <v>0.73774509803921562</v>
      </c>
      <c r="N105" s="1573">
        <f>0.7525/N101</f>
        <v>0.73774509803921562</v>
      </c>
    </row>
    <row r="106" spans="1:14">
      <c r="A106" s="3752"/>
      <c r="B106" s="1572">
        <v>5</v>
      </c>
      <c r="C106" s="1573">
        <f>0.8417/C101</f>
        <v>0.82519607843137255</v>
      </c>
      <c r="D106" s="1573">
        <f>0.8417/D101</f>
        <v>0.82519607843137255</v>
      </c>
      <c r="E106" s="1573">
        <f>0.7371/E101</f>
        <v>0.72264705882352942</v>
      </c>
      <c r="F106" s="1573">
        <f>0.7371/F101</f>
        <v>0.72264705882352942</v>
      </c>
      <c r="G106" s="1573">
        <f>0.7371/G101</f>
        <v>0.72264705882352942</v>
      </c>
      <c r="H106" s="1573">
        <f>0.7371/H101</f>
        <v>0.72264705882352942</v>
      </c>
      <c r="I106" s="1573">
        <f>0.7371/I101</f>
        <v>0.72264705882352942</v>
      </c>
      <c r="J106" s="1573">
        <f>0.5659/J101</f>
        <v>0.55480392156862746</v>
      </c>
      <c r="K106" s="1573">
        <f>0.5659/K101</f>
        <v>0.55480392156862746</v>
      </c>
      <c r="L106" s="1573">
        <f>0.5659/L101</f>
        <v>0.55480392156862746</v>
      </c>
      <c r="M106" s="1573">
        <f>0.5659/M101</f>
        <v>0.55480392156862746</v>
      </c>
      <c r="N106" s="1573">
        <f>0.5659/N101</f>
        <v>0.55480392156862746</v>
      </c>
    </row>
    <row r="107" spans="1:14">
      <c r="A107" s="3752"/>
      <c r="B107" s="1572">
        <v>6</v>
      </c>
      <c r="C107" s="1573">
        <f>0.7608/C101</f>
        <v>0.74588235294117644</v>
      </c>
      <c r="D107" s="1573">
        <f>0.7608/D101</f>
        <v>0.74588235294117644</v>
      </c>
      <c r="E107" s="1573">
        <f>0.6482/E101</f>
        <v>0.63549019607843138</v>
      </c>
      <c r="F107" s="1573">
        <f>0.6482/F101</f>
        <v>0.63549019607843138</v>
      </c>
      <c r="G107" s="1573">
        <f>0.6482/G101</f>
        <v>0.63549019607843138</v>
      </c>
      <c r="H107" s="1573">
        <f>0.6482/H101</f>
        <v>0.63549019607843138</v>
      </c>
      <c r="I107" s="1573">
        <f>0.6482/I101</f>
        <v>0.63549019607843138</v>
      </c>
      <c r="J107" s="1573">
        <f>0.4525/J101</f>
        <v>0.44362745098039214</v>
      </c>
      <c r="K107" s="1573">
        <f>0.4525/K101</f>
        <v>0.44362745098039214</v>
      </c>
      <c r="L107" s="1573">
        <f>0.4525/L101</f>
        <v>0.44362745098039214</v>
      </c>
      <c r="M107" s="1573">
        <f>0.4525/M101</f>
        <v>0.44362745098039214</v>
      </c>
      <c r="N107" s="1573">
        <f>0.4525/N101</f>
        <v>0.44362745098039214</v>
      </c>
    </row>
    <row r="108" spans="1:14">
      <c r="A108" s="3752"/>
      <c r="B108" s="3754" t="s">
        <v>1760</v>
      </c>
      <c r="C108" s="1574">
        <f>C99</f>
        <v>0</v>
      </c>
      <c r="D108" s="1574">
        <f t="shared" ref="D108:N108" si="32">D99</f>
        <v>0</v>
      </c>
      <c r="E108" s="1574">
        <f t="shared" si="32"/>
        <v>0</v>
      </c>
      <c r="F108" s="1574">
        <f t="shared" si="32"/>
        <v>0</v>
      </c>
      <c r="G108" s="1574">
        <f t="shared" si="32"/>
        <v>0</v>
      </c>
      <c r="H108" s="1574">
        <f t="shared" si="32"/>
        <v>0</v>
      </c>
      <c r="I108" s="1574">
        <f t="shared" si="32"/>
        <v>0</v>
      </c>
      <c r="J108" s="1574">
        <f t="shared" si="32"/>
        <v>0</v>
      </c>
      <c r="K108" s="1574">
        <f t="shared" si="32"/>
        <v>0</v>
      </c>
      <c r="L108" s="1574">
        <f t="shared" si="32"/>
        <v>0</v>
      </c>
      <c r="M108" s="1574">
        <f t="shared" si="32"/>
        <v>0</v>
      </c>
      <c r="N108" s="1574">
        <f t="shared" si="32"/>
        <v>0</v>
      </c>
    </row>
    <row r="109" spans="1:14">
      <c r="A109" s="3753"/>
      <c r="B109" s="3755"/>
      <c r="C109" s="1575">
        <f>(-0.163*(C108^2)-0.59*C108+7617)*(10^(-4))/C101</f>
        <v>0.746764705882353</v>
      </c>
      <c r="D109" s="1575">
        <f>(-0.163*(D108^2)-0.59*D108+7617)*(10^(-4))/D101</f>
        <v>0.746764705882353</v>
      </c>
      <c r="E109" s="1575">
        <f>(-0.161*(E108^2)-7.509*E108+6533)*(10^(-4))/E101</f>
        <v>0.64049019607843138</v>
      </c>
      <c r="F109" s="1575">
        <f>(-0.161*(F108^2)-7.509*F108+6533)*(10^(-4))/F101</f>
        <v>0.64049019607843138</v>
      </c>
      <c r="G109" s="1575">
        <f>(-0.161*(G108^2)-7.509*G108+6533)*(10^(-4))/G101</f>
        <v>0.64049019607843138</v>
      </c>
      <c r="H109" s="1575">
        <f>(-0.161*(H108^2)-7.509*H108+6533)*(10^(-4))/H101</f>
        <v>0.64049019607843138</v>
      </c>
      <c r="I109" s="1575">
        <f>(-0.161*(I108^2)-7.509*I108+6533)*(10^(-4))/I101</f>
        <v>0.64049019607843138</v>
      </c>
      <c r="J109" s="1575">
        <f>(-0.214*(J108^2)-21.991*J108+4665)*(10^(-4))/J101</f>
        <v>0.45735294117647063</v>
      </c>
      <c r="K109" s="1575">
        <f>(-0.214*(K108^2)-21.991*K108+4665)*(10^(-4))/K101</f>
        <v>0.45735294117647063</v>
      </c>
      <c r="L109" s="1575">
        <f>(-0.214*(L108^2)-21.991*L108+4665)*(10^(-4))/L101</f>
        <v>0.45735294117647063</v>
      </c>
      <c r="M109" s="1575">
        <f>(-0.214*(M108^2)-21.991*M108+4665)*(10^(-4))/M101</f>
        <v>0.45735294117647063</v>
      </c>
      <c r="N109" s="1575">
        <f>(-0.214*(N108^2)-21.991*N108+4665)*(10^(-4))/N101</f>
        <v>0.45735294117647063</v>
      </c>
    </row>
    <row r="110" spans="1:14">
      <c r="A110" s="3749" t="s">
        <v>1761</v>
      </c>
      <c r="B110" s="3749"/>
      <c r="C110" s="3749"/>
      <c r="D110" s="3749"/>
      <c r="E110" s="3749"/>
      <c r="F110" s="3749"/>
      <c r="G110" s="3749"/>
      <c r="H110" s="3749"/>
      <c r="I110" s="3749"/>
      <c r="J110" s="3749"/>
      <c r="K110" s="2587"/>
      <c r="L110" s="2587"/>
      <c r="M110" s="2587"/>
      <c r="N110" s="2587"/>
    </row>
    <row r="112" spans="1:14" ht="12.75" thickBot="1"/>
    <row r="113" spans="1:13" ht="25.5" thickBot="1">
      <c r="A113" s="1585" t="s">
        <v>1763</v>
      </c>
      <c r="B113" s="2590">
        <f>G3</f>
        <v>1.02</v>
      </c>
      <c r="C113" s="1586" t="s">
        <v>1764</v>
      </c>
      <c r="D113" s="1587">
        <f>SUMPRODUCT((A115:A118=F113)*(B114:M114=H113)*B115:M118)</f>
        <v>0</v>
      </c>
      <c r="E113" s="1588" t="s">
        <v>68</v>
      </c>
      <c r="F113" s="1589">
        <f>E2</f>
        <v>0</v>
      </c>
      <c r="G113" s="1588" t="s">
        <v>1553</v>
      </c>
      <c r="H113" s="1589" t="str">
        <f>G2</f>
        <v>八级</v>
      </c>
      <c r="I113" s="1588"/>
      <c r="J113" s="1580"/>
      <c r="K113" s="1580"/>
      <c r="L113" s="1580"/>
      <c r="M113" s="1580"/>
    </row>
    <row r="114" spans="1:13" ht="12.75">
      <c r="A114" s="1592"/>
      <c r="B114" s="1593" t="s">
        <v>164</v>
      </c>
      <c r="C114" s="1593" t="s">
        <v>165</v>
      </c>
      <c r="D114" s="1593" t="s">
        <v>160</v>
      </c>
      <c r="E114" s="1594" t="s">
        <v>161</v>
      </c>
      <c r="F114" s="1594" t="s">
        <v>162</v>
      </c>
      <c r="G114" s="1594" t="s">
        <v>163</v>
      </c>
      <c r="H114" s="1595" t="s">
        <v>1170</v>
      </c>
      <c r="I114" s="1595" t="s">
        <v>1171</v>
      </c>
      <c r="J114" s="1596" t="s">
        <v>1172</v>
      </c>
      <c r="K114" s="1596" t="s">
        <v>1173</v>
      </c>
      <c r="L114" s="1596" t="s">
        <v>1174</v>
      </c>
      <c r="M114" s="1597" t="s">
        <v>1175</v>
      </c>
    </row>
    <row r="115" spans="1:13" ht="12.75">
      <c r="A115" s="1598" t="s">
        <v>1765</v>
      </c>
      <c r="B115" s="1599">
        <f>ROUND(0.9335-0.0094*B113,4)</f>
        <v>0.92390000000000005</v>
      </c>
      <c r="C115" s="1599">
        <f>B115</f>
        <v>0.92390000000000005</v>
      </c>
      <c r="D115" s="1599">
        <f>ROUND(0.8331-0.0109*B113,4)</f>
        <v>0.82199999999999995</v>
      </c>
      <c r="E115" s="1599">
        <f>D115</f>
        <v>0.82199999999999995</v>
      </c>
      <c r="F115" s="1599">
        <f>E115</f>
        <v>0.82199999999999995</v>
      </c>
      <c r="G115" s="1599">
        <f>F115</f>
        <v>0.82199999999999995</v>
      </c>
      <c r="H115" s="1599">
        <f>G115</f>
        <v>0.82199999999999995</v>
      </c>
      <c r="I115" s="1599">
        <f>ROUND(0.689-0.0155*B113,4)</f>
        <v>0.67320000000000002</v>
      </c>
      <c r="J115" s="1599">
        <f t="shared" ref="J115:M118" si="33">I115</f>
        <v>0.67320000000000002</v>
      </c>
      <c r="K115" s="1599">
        <f t="shared" si="33"/>
        <v>0.67320000000000002</v>
      </c>
      <c r="L115" s="1599">
        <f t="shared" si="33"/>
        <v>0.67320000000000002</v>
      </c>
      <c r="M115" s="1600">
        <f t="shared" si="33"/>
        <v>0.67320000000000002</v>
      </c>
    </row>
    <row r="116" spans="1:13" ht="12.75">
      <c r="A116" s="1598" t="s">
        <v>1766</v>
      </c>
      <c r="B116" s="1599">
        <f>ROUND(0.949-0.012*B113,4)</f>
        <v>0.93679999999999997</v>
      </c>
      <c r="C116" s="1599">
        <f>B116</f>
        <v>0.93679999999999997</v>
      </c>
      <c r="D116" s="1599">
        <f>ROUND(0.8567-0.013*B113,4)</f>
        <v>0.84340000000000004</v>
      </c>
      <c r="E116" s="1599">
        <f t="shared" ref="E116:H117" si="34">D116</f>
        <v>0.84340000000000004</v>
      </c>
      <c r="F116" s="1599">
        <f t="shared" si="34"/>
        <v>0.84340000000000004</v>
      </c>
      <c r="G116" s="1599">
        <f t="shared" si="34"/>
        <v>0.84340000000000004</v>
      </c>
      <c r="H116" s="1599">
        <f t="shared" si="34"/>
        <v>0.84340000000000004</v>
      </c>
      <c r="I116" s="1599">
        <f>ROUND(0.7694-0.014*B113,4)</f>
        <v>0.75509999999999999</v>
      </c>
      <c r="J116" s="1599">
        <f t="shared" si="33"/>
        <v>0.75509999999999999</v>
      </c>
      <c r="K116" s="1599">
        <f t="shared" si="33"/>
        <v>0.75509999999999999</v>
      </c>
      <c r="L116" s="1599">
        <f t="shared" si="33"/>
        <v>0.75509999999999999</v>
      </c>
      <c r="M116" s="1600">
        <f t="shared" si="33"/>
        <v>0.75509999999999999</v>
      </c>
    </row>
    <row r="117" spans="1:13" ht="12.75">
      <c r="A117" s="1601" t="s">
        <v>975</v>
      </c>
      <c r="B117" s="1599">
        <f>ROUND(0.8808-0.006*B113,4)</f>
        <v>0.87470000000000003</v>
      </c>
      <c r="C117" s="1599">
        <f>B117</f>
        <v>0.87470000000000003</v>
      </c>
      <c r="D117" s="1599">
        <f>ROUND(0.8748-0.008*B113,4)</f>
        <v>0.86660000000000004</v>
      </c>
      <c r="E117" s="1599">
        <f t="shared" si="34"/>
        <v>0.86660000000000004</v>
      </c>
      <c r="F117" s="1599">
        <f t="shared" si="34"/>
        <v>0.86660000000000004</v>
      </c>
      <c r="G117" s="1599">
        <f t="shared" si="34"/>
        <v>0.86660000000000004</v>
      </c>
      <c r="H117" s="1599">
        <f t="shared" si="34"/>
        <v>0.86660000000000004</v>
      </c>
      <c r="I117" s="1599">
        <f>ROUND(0.7412-0.0095*B113,4)</f>
        <v>0.73150000000000004</v>
      </c>
      <c r="J117" s="1599">
        <f t="shared" si="33"/>
        <v>0.73150000000000004</v>
      </c>
      <c r="K117" s="1599">
        <f t="shared" si="33"/>
        <v>0.73150000000000004</v>
      </c>
      <c r="L117" s="1599">
        <f t="shared" si="33"/>
        <v>0.73150000000000004</v>
      </c>
      <c r="M117" s="1600">
        <f t="shared" si="33"/>
        <v>0.73150000000000004</v>
      </c>
    </row>
    <row r="118" spans="1:13" ht="13.5" thickBot="1">
      <c r="A118" s="1113" t="s">
        <v>1767</v>
      </c>
      <c r="B118" s="1602">
        <f>ROUND(0.7275-0.01*B113,4)</f>
        <v>0.71730000000000005</v>
      </c>
      <c r="C118" s="1602">
        <f>B118</f>
        <v>0.71730000000000005</v>
      </c>
      <c r="D118" s="1602">
        <f>ROUND(0.7043-0.012*B113,4)</f>
        <v>0.69210000000000005</v>
      </c>
      <c r="E118" s="1602">
        <f>D118</f>
        <v>0.69210000000000005</v>
      </c>
      <c r="F118" s="1602">
        <f>E118</f>
        <v>0.69210000000000005</v>
      </c>
      <c r="G118" s="1602">
        <f>ROUND(0.6299-0.0122*B113,4)</f>
        <v>0.61750000000000005</v>
      </c>
      <c r="H118" s="1602">
        <f>G118</f>
        <v>0.61750000000000005</v>
      </c>
      <c r="I118" s="1602">
        <f>ROUND(0.5667-0.0136*B113,4)</f>
        <v>0.55279999999999996</v>
      </c>
      <c r="J118" s="1602">
        <f t="shared" si="33"/>
        <v>0.55279999999999996</v>
      </c>
      <c r="K118" s="1602">
        <f t="shared" si="33"/>
        <v>0.55279999999999996</v>
      </c>
      <c r="L118" s="1602">
        <f t="shared" si="33"/>
        <v>0.55279999999999996</v>
      </c>
      <c r="M118" s="1603">
        <f t="shared" si="33"/>
        <v>0.55279999999999996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79" customWidth="1"/>
    <col min="2" max="9" width="8.25" style="1551" customWidth="1"/>
    <col min="10" max="13" width="8.25" style="1479"/>
    <col min="14" max="14" width="10" style="1479" customWidth="1"/>
    <col min="15" max="16" width="8.25" style="1479"/>
    <col min="17" max="17" width="34.125" style="1479" customWidth="1"/>
    <col min="18" max="18" width="8.25" style="1479" customWidth="1"/>
    <col min="19" max="19" width="8.25" style="1479"/>
    <col min="20" max="20" width="11.625" style="1479" customWidth="1"/>
    <col min="21" max="16384" width="8.25" style="1479"/>
  </cols>
  <sheetData>
    <row r="1" spans="1:13" ht="19.5" customHeight="1" thickBot="1">
      <c r="A1" s="1529" t="s">
        <v>1553</v>
      </c>
      <c r="B1" s="1504" t="s">
        <v>1164</v>
      </c>
      <c r="C1" s="1504" t="s">
        <v>1165</v>
      </c>
      <c r="D1" s="1504" t="s">
        <v>1166</v>
      </c>
      <c r="E1" s="1504" t="s">
        <v>1167</v>
      </c>
      <c r="F1" s="1504" t="s">
        <v>1168</v>
      </c>
      <c r="G1" s="1504" t="s">
        <v>1169</v>
      </c>
      <c r="H1" s="1504" t="s">
        <v>1170</v>
      </c>
      <c r="I1" s="1504" t="s">
        <v>1171</v>
      </c>
      <c r="J1" s="1504" t="s">
        <v>1172</v>
      </c>
      <c r="K1" s="1504" t="s">
        <v>1173</v>
      </c>
      <c r="L1" s="1504" t="s">
        <v>1174</v>
      </c>
      <c r="M1" s="1505" t="s">
        <v>1175</v>
      </c>
    </row>
    <row r="2" spans="1:13" ht="19.5" customHeight="1">
      <c r="A2" s="1530" t="s">
        <v>1190</v>
      </c>
      <c r="B2" s="1531">
        <v>3.5</v>
      </c>
      <c r="C2" s="1531">
        <v>3.5</v>
      </c>
      <c r="D2" s="1532">
        <v>2.5</v>
      </c>
      <c r="E2" s="1532">
        <v>2.5</v>
      </c>
      <c r="F2" s="1532">
        <v>2.5</v>
      </c>
      <c r="G2" s="1532">
        <v>2.5</v>
      </c>
      <c r="H2" s="1532">
        <v>2.5</v>
      </c>
      <c r="I2" s="1531">
        <v>2</v>
      </c>
      <c r="J2" s="1531">
        <v>2</v>
      </c>
      <c r="K2" s="1531">
        <v>2</v>
      </c>
      <c r="L2" s="1531">
        <v>2</v>
      </c>
      <c r="M2" s="1533">
        <v>2</v>
      </c>
    </row>
    <row r="3" spans="1:13" ht="19.5" customHeight="1">
      <c r="A3" s="1534" t="s">
        <v>1191</v>
      </c>
      <c r="B3" s="1535">
        <v>3.5</v>
      </c>
      <c r="C3" s="1535">
        <v>3.5</v>
      </c>
      <c r="D3" s="1536">
        <v>2.5</v>
      </c>
      <c r="E3" s="1536">
        <v>2.5</v>
      </c>
      <c r="F3" s="1536">
        <v>2.5</v>
      </c>
      <c r="G3" s="1536">
        <v>2.5</v>
      </c>
      <c r="H3" s="1536">
        <v>2.5</v>
      </c>
      <c r="I3" s="1535">
        <v>2</v>
      </c>
      <c r="J3" s="1535">
        <v>2</v>
      </c>
      <c r="K3" s="1535">
        <v>2</v>
      </c>
      <c r="L3" s="1535">
        <v>2</v>
      </c>
      <c r="M3" s="1537">
        <v>2</v>
      </c>
    </row>
    <row r="4" spans="1:13" ht="19.5" customHeight="1">
      <c r="A4" s="1534" t="s">
        <v>1840</v>
      </c>
      <c r="B4" s="1536">
        <v>2.5</v>
      </c>
      <c r="C4" s="1536">
        <v>2.5</v>
      </c>
      <c r="D4" s="1536">
        <v>2.5</v>
      </c>
      <c r="E4" s="1536">
        <v>2.5</v>
      </c>
      <c r="F4" s="1536">
        <v>2.5</v>
      </c>
      <c r="G4" s="1536">
        <v>2.5</v>
      </c>
      <c r="H4" s="1536">
        <v>2.5</v>
      </c>
      <c r="I4" s="1535">
        <v>1.5</v>
      </c>
      <c r="J4" s="1535">
        <v>1.5</v>
      </c>
      <c r="K4" s="1535">
        <v>1.5</v>
      </c>
      <c r="L4" s="1535">
        <v>1.5</v>
      </c>
      <c r="M4" s="1537">
        <v>1.5</v>
      </c>
    </row>
    <row r="5" spans="1:13" ht="19.5" customHeight="1" thickBot="1">
      <c r="A5" s="1538" t="s">
        <v>1193</v>
      </c>
      <c r="B5" s="1539">
        <v>1.5</v>
      </c>
      <c r="C5" s="1539">
        <v>1.5</v>
      </c>
      <c r="D5" s="1539">
        <v>1.5</v>
      </c>
      <c r="E5" s="1539">
        <v>1.5</v>
      </c>
      <c r="F5" s="1539">
        <v>1.5</v>
      </c>
      <c r="G5" s="1540">
        <v>1.2</v>
      </c>
      <c r="H5" s="1540">
        <v>1.2</v>
      </c>
      <c r="I5" s="1540">
        <v>1</v>
      </c>
      <c r="J5" s="1540">
        <v>1</v>
      </c>
      <c r="K5" s="1540">
        <v>1</v>
      </c>
      <c r="L5" s="1540">
        <v>1</v>
      </c>
      <c r="M5" s="1541">
        <v>1</v>
      </c>
    </row>
    <row r="6" spans="1:13" ht="19.5" customHeight="1">
      <c r="A6" s="1542" t="s">
        <v>1554</v>
      </c>
      <c r="B6" s="1543">
        <v>80</v>
      </c>
      <c r="C6" s="1543">
        <v>80</v>
      </c>
      <c r="D6" s="1543">
        <v>65</v>
      </c>
      <c r="E6" s="1543">
        <v>65</v>
      </c>
      <c r="F6" s="1543">
        <v>65</v>
      </c>
      <c r="G6" s="1543">
        <v>65</v>
      </c>
      <c r="H6" s="1543">
        <v>65</v>
      </c>
      <c r="I6" s="1543">
        <v>50</v>
      </c>
      <c r="J6" s="1543">
        <v>50</v>
      </c>
      <c r="K6" s="1543">
        <v>50</v>
      </c>
      <c r="L6" s="1543">
        <v>50</v>
      </c>
      <c r="M6" s="1544">
        <v>50</v>
      </c>
    </row>
    <row r="7" spans="1:13" ht="19.5" customHeight="1">
      <c r="A7" s="1480" t="s">
        <v>1555</v>
      </c>
      <c r="B7" s="1481">
        <v>70</v>
      </c>
      <c r="C7" s="1481">
        <v>70</v>
      </c>
      <c r="D7" s="1481">
        <v>55</v>
      </c>
      <c r="E7" s="1481">
        <v>55</v>
      </c>
      <c r="F7" s="1481">
        <v>55</v>
      </c>
      <c r="G7" s="1481">
        <v>55</v>
      </c>
      <c r="H7" s="1481">
        <v>55</v>
      </c>
      <c r="I7" s="1481">
        <v>40</v>
      </c>
      <c r="J7" s="1481">
        <v>40</v>
      </c>
      <c r="K7" s="1481">
        <v>40</v>
      </c>
      <c r="L7" s="1481">
        <v>40</v>
      </c>
      <c r="M7" s="1545">
        <v>40</v>
      </c>
    </row>
    <row r="8" spans="1:13" ht="19.5" customHeight="1">
      <c r="A8" s="1480" t="s">
        <v>1556</v>
      </c>
      <c r="B8" s="1481">
        <v>20</v>
      </c>
      <c r="C8" s="1481">
        <v>20</v>
      </c>
      <c r="D8" s="1481">
        <v>15</v>
      </c>
      <c r="E8" s="1481">
        <v>15</v>
      </c>
      <c r="F8" s="1481">
        <v>15</v>
      </c>
      <c r="G8" s="1481">
        <v>15</v>
      </c>
      <c r="H8" s="1481">
        <v>15</v>
      </c>
      <c r="I8" s="1481">
        <v>10</v>
      </c>
      <c r="J8" s="1481">
        <v>10</v>
      </c>
      <c r="K8" s="1481">
        <v>10</v>
      </c>
      <c r="L8" s="1481">
        <v>10</v>
      </c>
      <c r="M8" s="1545">
        <v>10</v>
      </c>
    </row>
    <row r="9" spans="1:13" ht="19.5" customHeight="1">
      <c r="A9" s="1480" t="s">
        <v>1557</v>
      </c>
      <c r="B9" s="1481">
        <v>30</v>
      </c>
      <c r="C9" s="1481">
        <v>30</v>
      </c>
      <c r="D9" s="1481">
        <v>25</v>
      </c>
      <c r="E9" s="1481">
        <v>25</v>
      </c>
      <c r="F9" s="1481">
        <v>25</v>
      </c>
      <c r="G9" s="1481">
        <v>25</v>
      </c>
      <c r="H9" s="1481">
        <v>25</v>
      </c>
      <c r="I9" s="1481">
        <v>20</v>
      </c>
      <c r="J9" s="1481">
        <v>20</v>
      </c>
      <c r="K9" s="1481">
        <v>20</v>
      </c>
      <c r="L9" s="1481">
        <v>20</v>
      </c>
      <c r="M9" s="1545">
        <v>20</v>
      </c>
    </row>
    <row r="10" spans="1:13" ht="19.5" customHeight="1">
      <c r="A10" s="1480" t="s">
        <v>1558</v>
      </c>
      <c r="B10" s="1481">
        <v>45</v>
      </c>
      <c r="C10" s="1481">
        <v>45</v>
      </c>
      <c r="D10" s="1481">
        <v>35</v>
      </c>
      <c r="E10" s="1481">
        <v>35</v>
      </c>
      <c r="F10" s="1481">
        <v>35</v>
      </c>
      <c r="G10" s="1481">
        <v>35</v>
      </c>
      <c r="H10" s="1481">
        <v>35</v>
      </c>
      <c r="I10" s="1481">
        <v>25</v>
      </c>
      <c r="J10" s="1481">
        <v>25</v>
      </c>
      <c r="K10" s="1481">
        <v>25</v>
      </c>
      <c r="L10" s="1481">
        <v>25</v>
      </c>
      <c r="M10" s="1545">
        <v>25</v>
      </c>
    </row>
    <row r="11" spans="1:13" ht="19.5" customHeight="1">
      <c r="A11" s="1480" t="s">
        <v>1559</v>
      </c>
      <c r="B11" s="1481">
        <v>60</v>
      </c>
      <c r="C11" s="1481">
        <v>60</v>
      </c>
      <c r="D11" s="1481">
        <v>50</v>
      </c>
      <c r="E11" s="1481">
        <v>50</v>
      </c>
      <c r="F11" s="1481">
        <v>50</v>
      </c>
      <c r="G11" s="1481">
        <v>50</v>
      </c>
      <c r="H11" s="1481">
        <v>50</v>
      </c>
      <c r="I11" s="1481">
        <v>40</v>
      </c>
      <c r="J11" s="1481">
        <v>40</v>
      </c>
      <c r="K11" s="1481">
        <v>40</v>
      </c>
      <c r="L11" s="1481">
        <v>40</v>
      </c>
      <c r="M11" s="1545">
        <v>40</v>
      </c>
    </row>
    <row r="12" spans="1:13" ht="19.5" customHeight="1">
      <c r="A12" s="1480" t="s">
        <v>1560</v>
      </c>
      <c r="B12" s="1481">
        <v>50</v>
      </c>
      <c r="C12" s="1481">
        <v>50</v>
      </c>
      <c r="D12" s="1481">
        <v>40</v>
      </c>
      <c r="E12" s="1481">
        <v>40</v>
      </c>
      <c r="F12" s="1481">
        <v>40</v>
      </c>
      <c r="G12" s="1481">
        <v>40</v>
      </c>
      <c r="H12" s="1481">
        <v>40</v>
      </c>
      <c r="I12" s="1481">
        <v>30</v>
      </c>
      <c r="J12" s="1481">
        <v>30</v>
      </c>
      <c r="K12" s="1481">
        <v>30</v>
      </c>
      <c r="L12" s="1481">
        <v>30</v>
      </c>
      <c r="M12" s="1545">
        <v>30</v>
      </c>
    </row>
    <row r="13" spans="1:13" ht="19.5" customHeight="1">
      <c r="A13" s="1546" t="s">
        <v>1561</v>
      </c>
      <c r="B13" s="1492">
        <v>20</v>
      </c>
      <c r="C13" s="1492">
        <v>20</v>
      </c>
      <c r="D13" s="1492">
        <v>15</v>
      </c>
      <c r="E13" s="1492">
        <v>15</v>
      </c>
      <c r="F13" s="1492">
        <v>15</v>
      </c>
      <c r="G13" s="1492">
        <v>15</v>
      </c>
      <c r="H13" s="1492">
        <v>15</v>
      </c>
      <c r="I13" s="1492">
        <v>10</v>
      </c>
      <c r="J13" s="1492">
        <v>10</v>
      </c>
      <c r="K13" s="1492">
        <v>10</v>
      </c>
      <c r="L13" s="1492">
        <v>10</v>
      </c>
      <c r="M13" s="1547">
        <v>10</v>
      </c>
    </row>
    <row r="14" spans="1:13" ht="19.5" customHeight="1">
      <c r="A14" s="1481" t="s">
        <v>1562</v>
      </c>
      <c r="B14" s="1548">
        <v>0</v>
      </c>
      <c r="C14" s="1548">
        <v>0</v>
      </c>
      <c r="D14" s="1548">
        <v>0</v>
      </c>
      <c r="E14" s="1548">
        <v>0</v>
      </c>
      <c r="F14" s="1548">
        <v>0</v>
      </c>
      <c r="G14" s="1548">
        <v>0</v>
      </c>
      <c r="H14" s="1548">
        <v>0</v>
      </c>
      <c r="I14" s="1548">
        <v>0</v>
      </c>
      <c r="J14" s="1548">
        <v>0</v>
      </c>
      <c r="K14" s="1548">
        <v>0</v>
      </c>
      <c r="L14" s="1548">
        <v>0</v>
      </c>
      <c r="M14" s="1548">
        <v>0</v>
      </c>
    </row>
    <row r="16" spans="1:13" ht="19.5" customHeight="1">
      <c r="A16" s="1549" t="s">
        <v>1563</v>
      </c>
      <c r="B16" s="1549"/>
      <c r="C16" s="1550"/>
      <c r="D16" s="1550"/>
      <c r="E16" s="1549"/>
      <c r="F16" s="1550"/>
      <c r="G16" s="1550"/>
    </row>
    <row r="17" spans="1:9" ht="19.5" customHeight="1">
      <c r="A17" s="1481" t="s">
        <v>1564</v>
      </c>
      <c r="B17" s="1552" t="s">
        <v>1565</v>
      </c>
      <c r="C17" s="1733" t="s">
        <v>1863</v>
      </c>
      <c r="D17" s="1553"/>
      <c r="E17" s="1481" t="s">
        <v>1566</v>
      </c>
      <c r="F17" s="1554"/>
      <c r="G17" s="1554"/>
    </row>
    <row r="18" spans="1:9" s="1560" customFormat="1" ht="19.5" customHeight="1">
      <c r="A18" s="3750" t="s">
        <v>1190</v>
      </c>
      <c r="B18" s="1555" t="s">
        <v>1567</v>
      </c>
      <c r="C18" s="1556" t="s">
        <v>1568</v>
      </c>
      <c r="D18" s="1557"/>
      <c r="E18" s="1555">
        <v>1</v>
      </c>
      <c r="F18" s="1558" t="s">
        <v>1569</v>
      </c>
      <c r="G18" s="1559"/>
      <c r="H18" s="1551"/>
      <c r="I18" s="1551"/>
    </row>
    <row r="19" spans="1:9" s="1560" customFormat="1" ht="19.5" customHeight="1">
      <c r="A19" s="3750"/>
      <c r="B19" s="3750" t="s">
        <v>1570</v>
      </c>
      <c r="C19" s="1556" t="s">
        <v>1571</v>
      </c>
      <c r="D19" s="1557"/>
      <c r="E19" s="1555">
        <v>0.9</v>
      </c>
      <c r="F19" s="1558" t="s">
        <v>1572</v>
      </c>
      <c r="G19" s="1559"/>
      <c r="H19" s="1551"/>
      <c r="I19" s="1551"/>
    </row>
    <row r="20" spans="1:9" s="1560" customFormat="1" ht="19.5" customHeight="1">
      <c r="A20" s="3750"/>
      <c r="B20" s="3750"/>
      <c r="C20" s="1556" t="s">
        <v>1573</v>
      </c>
      <c r="D20" s="1557"/>
      <c r="E20" s="1555">
        <v>1.1000000000000001</v>
      </c>
      <c r="F20" s="1558" t="s">
        <v>1574</v>
      </c>
      <c r="G20" s="1559"/>
      <c r="H20" s="1551"/>
      <c r="I20" s="1551"/>
    </row>
    <row r="21" spans="1:9" s="1560" customFormat="1" ht="19.5" customHeight="1">
      <c r="A21" s="3750"/>
      <c r="B21" s="3750"/>
      <c r="C21" s="1556" t="s">
        <v>1575</v>
      </c>
      <c r="D21" s="1557"/>
      <c r="E21" s="1555">
        <v>0.8</v>
      </c>
      <c r="F21" s="1558" t="s">
        <v>1576</v>
      </c>
      <c r="G21" s="1559"/>
      <c r="H21" s="1551"/>
      <c r="I21" s="1551"/>
    </row>
    <row r="22" spans="1:9" s="1560" customFormat="1" ht="19.5" customHeight="1">
      <c r="A22" s="3750"/>
      <c r="B22" s="3750"/>
      <c r="C22" s="1556" t="s">
        <v>1577</v>
      </c>
      <c r="D22" s="1557"/>
      <c r="E22" s="1555">
        <v>0.5</v>
      </c>
      <c r="F22" s="1558"/>
      <c r="G22" s="1559"/>
      <c r="H22" s="1551"/>
      <c r="I22" s="1551"/>
    </row>
    <row r="23" spans="1:9" s="1560" customFormat="1" ht="19.5" customHeight="1">
      <c r="A23" s="3750" t="s">
        <v>1191</v>
      </c>
      <c r="B23" s="1555" t="s">
        <v>1567</v>
      </c>
      <c r="C23" s="1556" t="s">
        <v>1578</v>
      </c>
      <c r="D23" s="1557"/>
      <c r="E23" s="1555">
        <v>1</v>
      </c>
      <c r="F23" s="1558" t="s">
        <v>1579</v>
      </c>
      <c r="G23" s="1559"/>
      <c r="H23" s="1551"/>
      <c r="I23" s="1551"/>
    </row>
    <row r="24" spans="1:9" s="1560" customFormat="1" ht="19.5" customHeight="1">
      <c r="A24" s="3750"/>
      <c r="B24" s="3750" t="s">
        <v>1570</v>
      </c>
      <c r="C24" s="1556" t="s">
        <v>1580</v>
      </c>
      <c r="D24" s="1557"/>
      <c r="E24" s="1555">
        <v>0.5</v>
      </c>
      <c r="F24" s="1558"/>
      <c r="G24" s="1559"/>
      <c r="H24" s="1551"/>
      <c r="I24" s="1551"/>
    </row>
    <row r="25" spans="1:9" s="1560" customFormat="1" ht="19.5" customHeight="1">
      <c r="A25" s="3750"/>
      <c r="B25" s="3750"/>
      <c r="C25" s="1556" t="s">
        <v>1581</v>
      </c>
      <c r="D25" s="1557"/>
      <c r="E25" s="1555">
        <v>1.1000000000000001</v>
      </c>
      <c r="F25" s="1558"/>
      <c r="G25" s="1559"/>
      <c r="H25" s="1551"/>
      <c r="I25" s="1551"/>
    </row>
    <row r="26" spans="1:9" s="1560" customFormat="1" ht="19.5" customHeight="1">
      <c r="A26" s="3750"/>
      <c r="B26" s="3750"/>
      <c r="C26" s="1556" t="s">
        <v>1582</v>
      </c>
      <c r="D26" s="1557"/>
      <c r="E26" s="1555">
        <v>1.1000000000000001</v>
      </c>
      <c r="F26" s="1558"/>
      <c r="G26" s="1559"/>
      <c r="H26" s="1551"/>
      <c r="I26" s="1551"/>
    </row>
    <row r="27" spans="1:9" s="1560" customFormat="1" ht="19.5" customHeight="1">
      <c r="A27" s="3750"/>
      <c r="B27" s="3750"/>
      <c r="C27" s="1556" t="s">
        <v>1583</v>
      </c>
      <c r="D27" s="1557"/>
      <c r="E27" s="1555">
        <v>0.9</v>
      </c>
      <c r="F27" s="1558" t="s">
        <v>1584</v>
      </c>
      <c r="G27" s="1559"/>
      <c r="H27" s="1551"/>
      <c r="I27" s="1551"/>
    </row>
    <row r="28" spans="1:9" s="1560" customFormat="1" ht="19.5" customHeight="1">
      <c r="A28" s="3750"/>
      <c r="B28" s="3750"/>
      <c r="C28" s="1556" t="s">
        <v>1585</v>
      </c>
      <c r="D28" s="1557"/>
      <c r="E28" s="1555">
        <v>0.9</v>
      </c>
      <c r="F28" s="1558" t="s">
        <v>1586</v>
      </c>
      <c r="G28" s="1559"/>
      <c r="H28" s="1551"/>
      <c r="I28" s="1551"/>
    </row>
    <row r="29" spans="1:9" s="1560" customFormat="1" ht="19.5" customHeight="1">
      <c r="A29" s="3750"/>
      <c r="B29" s="3750"/>
      <c r="C29" s="1556" t="s">
        <v>1587</v>
      </c>
      <c r="D29" s="1557"/>
      <c r="E29" s="1555">
        <v>0.9</v>
      </c>
      <c r="F29" s="1558" t="s">
        <v>1588</v>
      </c>
      <c r="G29" s="1559"/>
      <c r="H29" s="1551"/>
      <c r="I29" s="1551"/>
    </row>
    <row r="30" spans="1:9" s="1560" customFormat="1" ht="19.5" customHeight="1">
      <c r="A30" s="3750"/>
      <c r="B30" s="3750"/>
      <c r="C30" s="1556" t="s">
        <v>1589</v>
      </c>
      <c r="D30" s="1557"/>
      <c r="E30" s="1555">
        <v>0.9</v>
      </c>
      <c r="F30" s="1558" t="s">
        <v>1590</v>
      </c>
      <c r="G30" s="1559"/>
      <c r="H30" s="1551"/>
      <c r="I30" s="1551"/>
    </row>
    <row r="31" spans="1:9" s="1560" customFormat="1" ht="19.5" customHeight="1">
      <c r="A31" s="3750"/>
      <c r="B31" s="3750"/>
      <c r="C31" s="1556" t="s">
        <v>1591</v>
      </c>
      <c r="D31" s="1557"/>
      <c r="E31" s="1555">
        <v>0.8</v>
      </c>
      <c r="F31" s="1558" t="s">
        <v>1592</v>
      </c>
      <c r="G31" s="1559"/>
      <c r="H31" s="1551"/>
      <c r="I31" s="1551"/>
    </row>
    <row r="32" spans="1:9" s="1560" customFormat="1" ht="19.5" customHeight="1">
      <c r="A32" s="3750"/>
      <c r="B32" s="3750"/>
      <c r="C32" s="1556" t="s">
        <v>1593</v>
      </c>
      <c r="D32" s="1557"/>
      <c r="E32" s="1555">
        <v>0.8</v>
      </c>
      <c r="F32" s="1558" t="s">
        <v>1594</v>
      </c>
      <c r="G32" s="1559"/>
      <c r="H32" s="1551"/>
      <c r="I32" s="1551"/>
    </row>
    <row r="33" spans="1:9" s="1560" customFormat="1" ht="19.5" customHeight="1">
      <c r="A33" s="3750" t="s">
        <v>1192</v>
      </c>
      <c r="B33" s="1555" t="s">
        <v>1567</v>
      </c>
      <c r="C33" s="1556" t="s">
        <v>1595</v>
      </c>
      <c r="D33" s="1557"/>
      <c r="E33" s="1555">
        <v>1</v>
      </c>
      <c r="F33" s="1558" t="s">
        <v>1596</v>
      </c>
      <c r="G33" s="1559"/>
      <c r="H33" s="1551"/>
      <c r="I33" s="1551"/>
    </row>
    <row r="34" spans="1:9" s="1560" customFormat="1" ht="19.5" customHeight="1">
      <c r="A34" s="3750"/>
      <c r="B34" s="1555" t="s">
        <v>1570</v>
      </c>
      <c r="C34" s="1556" t="s">
        <v>1597</v>
      </c>
      <c r="D34" s="1557"/>
      <c r="E34" s="1555">
        <v>1.5</v>
      </c>
      <c r="F34" s="1558" t="s">
        <v>1598</v>
      </c>
      <c r="G34" s="1559"/>
      <c r="H34" s="1551"/>
      <c r="I34" s="1551"/>
    </row>
    <row r="35" spans="1:9" s="1560" customFormat="1" ht="19.5" customHeight="1">
      <c r="A35" s="3750" t="s">
        <v>1193</v>
      </c>
      <c r="B35" s="1555" t="s">
        <v>1567</v>
      </c>
      <c r="C35" s="1556" t="s">
        <v>1599</v>
      </c>
      <c r="D35" s="1557"/>
      <c r="E35" s="1555">
        <v>1</v>
      </c>
      <c r="F35" s="1558" t="s">
        <v>1600</v>
      </c>
      <c r="G35" s="1559"/>
      <c r="H35" s="1551"/>
      <c r="I35" s="1551"/>
    </row>
    <row r="36" spans="1:9" s="1560" customFormat="1" ht="19.5" customHeight="1">
      <c r="A36" s="3750"/>
      <c r="B36" s="3750" t="s">
        <v>1570</v>
      </c>
      <c r="C36" s="1556" t="s">
        <v>1601</v>
      </c>
      <c r="D36" s="1557"/>
      <c r="E36" s="1555">
        <v>1</v>
      </c>
      <c r="F36" s="1558" t="s">
        <v>1602</v>
      </c>
      <c r="G36" s="1559"/>
      <c r="H36" s="1551"/>
      <c r="I36" s="1551"/>
    </row>
    <row r="37" spans="1:9" s="1560" customFormat="1" ht="19.5" customHeight="1">
      <c r="A37" s="3750"/>
      <c r="B37" s="3750"/>
      <c r="C37" s="1556" t="s">
        <v>1603</v>
      </c>
      <c r="D37" s="1557"/>
      <c r="E37" s="1555">
        <v>1.5</v>
      </c>
      <c r="F37" s="1558" t="s">
        <v>1604</v>
      </c>
      <c r="G37" s="1559"/>
      <c r="H37" s="1551"/>
      <c r="I37" s="1551"/>
    </row>
    <row r="38" spans="1:9" s="1560" customFormat="1" ht="19.5" customHeight="1">
      <c r="A38" s="3750"/>
      <c r="B38" s="3750"/>
      <c r="C38" s="1556" t="s">
        <v>1605</v>
      </c>
      <c r="D38" s="1557"/>
      <c r="E38" s="1555">
        <v>1</v>
      </c>
      <c r="F38" s="1558" t="s">
        <v>1606</v>
      </c>
      <c r="G38" s="1559"/>
      <c r="H38" s="1551"/>
      <c r="I38" s="1551"/>
    </row>
    <row r="39" spans="1:9" s="1560" customFormat="1" ht="19.5" customHeight="1">
      <c r="A39" s="3750"/>
      <c r="B39" s="3750"/>
      <c r="C39" s="1556" t="s">
        <v>1607</v>
      </c>
      <c r="D39" s="1557"/>
      <c r="E39" s="1555">
        <v>1</v>
      </c>
      <c r="F39" s="1558" t="s">
        <v>1608</v>
      </c>
      <c r="G39" s="1559"/>
      <c r="H39" s="1551"/>
      <c r="I39" s="1551"/>
    </row>
    <row r="40" spans="1:9" s="1560" customFormat="1" ht="19.5" customHeight="1">
      <c r="A40" s="1561" t="s">
        <v>1609</v>
      </c>
      <c r="B40" s="1561"/>
      <c r="C40" s="1561"/>
      <c r="D40" s="1561"/>
      <c r="E40" s="1561"/>
      <c r="F40" s="1562"/>
      <c r="G40" s="1562"/>
      <c r="H40" s="1551"/>
      <c r="I40" s="1551"/>
    </row>
    <row r="42" spans="1:9" ht="19.5" customHeight="1">
      <c r="A42" s="1563"/>
      <c r="B42" s="1481" t="s">
        <v>1610</v>
      </c>
      <c r="C42" s="1481" t="s">
        <v>1610</v>
      </c>
      <c r="D42" s="1481" t="s">
        <v>1610</v>
      </c>
      <c r="E42" s="1492" t="s">
        <v>1610</v>
      </c>
      <c r="F42" s="1492" t="s">
        <v>1610</v>
      </c>
      <c r="G42" s="1492" t="s">
        <v>1611</v>
      </c>
      <c r="H42" s="1492" t="s">
        <v>1610</v>
      </c>
    </row>
    <row r="43" spans="1:9" ht="19.5" customHeight="1">
      <c r="A43" s="1564"/>
      <c r="B43" s="1492" t="s">
        <v>1190</v>
      </c>
      <c r="C43" s="1492" t="s">
        <v>1190</v>
      </c>
      <c r="D43" s="1492" t="s">
        <v>1190</v>
      </c>
      <c r="E43" s="1492" t="s">
        <v>1190</v>
      </c>
      <c r="F43" s="1481" t="s">
        <v>1191</v>
      </c>
      <c r="G43" s="1481" t="s">
        <v>1193</v>
      </c>
      <c r="H43" s="1481" t="s">
        <v>1612</v>
      </c>
    </row>
    <row r="44" spans="1:9" ht="19.5" customHeight="1">
      <c r="A44" s="1565"/>
      <c r="B44" s="1481">
        <v>1</v>
      </c>
      <c r="C44" s="1481">
        <v>2</v>
      </c>
      <c r="D44" s="1481">
        <v>3</v>
      </c>
      <c r="E44" s="1492">
        <v>4</v>
      </c>
      <c r="F44" s="1553" t="s">
        <v>1613</v>
      </c>
      <c r="G44" s="1553" t="s">
        <v>1613</v>
      </c>
      <c r="H44" s="1553" t="s">
        <v>1613</v>
      </c>
    </row>
    <row r="45" spans="1:9" ht="19.5" customHeight="1">
      <c r="A45" s="1566" t="s">
        <v>1164</v>
      </c>
      <c r="B45" s="1481">
        <v>0.8</v>
      </c>
      <c r="C45" s="1481">
        <v>0.5</v>
      </c>
      <c r="D45" s="1481">
        <v>0.36</v>
      </c>
      <c r="E45" s="1481">
        <v>0.3</v>
      </c>
      <c r="F45" s="1553">
        <v>0.3</v>
      </c>
      <c r="G45" s="1481">
        <v>0.3</v>
      </c>
      <c r="H45" s="1481">
        <v>0.25</v>
      </c>
    </row>
    <row r="46" spans="1:9" ht="19.5" customHeight="1">
      <c r="A46" s="1566" t="s">
        <v>1165</v>
      </c>
      <c r="B46" s="1481">
        <v>0.8</v>
      </c>
      <c r="C46" s="1481">
        <v>0.5</v>
      </c>
      <c r="D46" s="1481">
        <v>0.36</v>
      </c>
      <c r="E46" s="1481">
        <v>0.3</v>
      </c>
      <c r="F46" s="1481">
        <v>0.3</v>
      </c>
      <c r="G46" s="1481">
        <v>0.3</v>
      </c>
      <c r="H46" s="1481">
        <v>0.25</v>
      </c>
    </row>
    <row r="47" spans="1:9" ht="19.5" customHeight="1">
      <c r="A47" s="1566" t="s">
        <v>1166</v>
      </c>
      <c r="B47" s="1481">
        <v>0.7</v>
      </c>
      <c r="C47" s="1481">
        <v>0.4</v>
      </c>
      <c r="D47" s="1481">
        <v>0.28000000000000003</v>
      </c>
      <c r="E47" s="1481">
        <v>0.25</v>
      </c>
      <c r="F47" s="1481">
        <v>0.25</v>
      </c>
      <c r="G47" s="1481">
        <v>0.25</v>
      </c>
      <c r="H47" s="1481">
        <v>0.2</v>
      </c>
    </row>
    <row r="48" spans="1:9" ht="19.5" customHeight="1">
      <c r="A48" s="1566" t="s">
        <v>1167</v>
      </c>
      <c r="B48" s="1481">
        <v>0.7</v>
      </c>
      <c r="C48" s="1481">
        <v>0.4</v>
      </c>
      <c r="D48" s="1481">
        <v>0.28000000000000003</v>
      </c>
      <c r="E48" s="1481">
        <v>0.25</v>
      </c>
      <c r="F48" s="1481">
        <v>0.25</v>
      </c>
      <c r="G48" s="1481">
        <v>0.25</v>
      </c>
      <c r="H48" s="1481">
        <v>0.2</v>
      </c>
    </row>
    <row r="49" spans="1:8" s="1551" customFormat="1" ht="19.5" customHeight="1">
      <c r="A49" s="1566" t="s">
        <v>1168</v>
      </c>
      <c r="B49" s="1481">
        <v>0.7</v>
      </c>
      <c r="C49" s="1481">
        <v>0.4</v>
      </c>
      <c r="D49" s="1481">
        <v>0.28000000000000003</v>
      </c>
      <c r="E49" s="1481">
        <v>0.25</v>
      </c>
      <c r="F49" s="1481">
        <v>0.25</v>
      </c>
      <c r="G49" s="1481">
        <v>0.25</v>
      </c>
      <c r="H49" s="1481">
        <v>0.2</v>
      </c>
    </row>
    <row r="50" spans="1:8" s="1551" customFormat="1" ht="19.5" customHeight="1">
      <c r="A50" s="1566" t="s">
        <v>1169</v>
      </c>
      <c r="B50" s="1481">
        <v>0.7</v>
      </c>
      <c r="C50" s="1481">
        <v>0.4</v>
      </c>
      <c r="D50" s="1481">
        <v>0.28000000000000003</v>
      </c>
      <c r="E50" s="1481">
        <v>0.25</v>
      </c>
      <c r="F50" s="1481">
        <v>0.25</v>
      </c>
      <c r="G50" s="1481">
        <v>0.25</v>
      </c>
      <c r="H50" s="1481">
        <v>0.2</v>
      </c>
    </row>
    <row r="51" spans="1:8" s="1551" customFormat="1" ht="19.5" customHeight="1">
      <c r="A51" s="1566" t="s">
        <v>1170</v>
      </c>
      <c r="B51" s="1481">
        <v>0.7</v>
      </c>
      <c r="C51" s="1481">
        <v>0.4</v>
      </c>
      <c r="D51" s="1481">
        <v>0.28000000000000003</v>
      </c>
      <c r="E51" s="1481">
        <v>0.25</v>
      </c>
      <c r="F51" s="1481">
        <v>0.25</v>
      </c>
      <c r="G51" s="1481">
        <v>0.25</v>
      </c>
      <c r="H51" s="1481">
        <v>0.2</v>
      </c>
    </row>
    <row r="52" spans="1:8" s="1551" customFormat="1" ht="19.5" customHeight="1">
      <c r="A52" s="1566" t="s">
        <v>1171</v>
      </c>
      <c r="B52" s="1481">
        <v>0.6</v>
      </c>
      <c r="C52" s="1481">
        <v>0.3</v>
      </c>
      <c r="D52" s="1481">
        <v>0.2</v>
      </c>
      <c r="E52" s="1481">
        <v>0.2</v>
      </c>
      <c r="F52" s="1481">
        <v>0.2</v>
      </c>
      <c r="G52" s="1481">
        <v>0.2</v>
      </c>
      <c r="H52" s="1481">
        <v>0.15</v>
      </c>
    </row>
    <row r="53" spans="1:8" s="1551" customFormat="1" ht="19.5" customHeight="1">
      <c r="A53" s="1566" t="s">
        <v>1172</v>
      </c>
      <c r="B53" s="1481">
        <v>0.6</v>
      </c>
      <c r="C53" s="1481">
        <v>0.3</v>
      </c>
      <c r="D53" s="1481">
        <v>0.2</v>
      </c>
      <c r="E53" s="1481">
        <v>0.2</v>
      </c>
      <c r="F53" s="1481">
        <v>0.2</v>
      </c>
      <c r="G53" s="1481">
        <v>0.2</v>
      </c>
      <c r="H53" s="1481">
        <v>0.15</v>
      </c>
    </row>
    <row r="54" spans="1:8" s="1551" customFormat="1" ht="19.5" customHeight="1">
      <c r="A54" s="1566" t="s">
        <v>1173</v>
      </c>
      <c r="B54" s="1481">
        <v>0.6</v>
      </c>
      <c r="C54" s="1481">
        <v>0.3</v>
      </c>
      <c r="D54" s="1481">
        <v>0.2</v>
      </c>
      <c r="E54" s="1481">
        <v>0.2</v>
      </c>
      <c r="F54" s="1481">
        <v>0.2</v>
      </c>
      <c r="G54" s="1481">
        <v>0.2</v>
      </c>
      <c r="H54" s="1481">
        <v>0.15</v>
      </c>
    </row>
    <row r="55" spans="1:8" s="1551" customFormat="1" ht="19.5" customHeight="1">
      <c r="A55" s="1566" t="s">
        <v>1174</v>
      </c>
      <c r="B55" s="1481">
        <v>0.6</v>
      </c>
      <c r="C55" s="1481">
        <v>0.3</v>
      </c>
      <c r="D55" s="1481">
        <v>0.2</v>
      </c>
      <c r="E55" s="1481">
        <v>0.2</v>
      </c>
      <c r="F55" s="1481">
        <v>0.2</v>
      </c>
      <c r="G55" s="1481">
        <v>0.2</v>
      </c>
      <c r="H55" s="1481">
        <v>0.15</v>
      </c>
    </row>
    <row r="56" spans="1:8" s="1551" customFormat="1" ht="19.5" customHeight="1">
      <c r="A56" s="1566" t="s">
        <v>1175</v>
      </c>
      <c r="B56" s="1481">
        <v>0.6</v>
      </c>
      <c r="C56" s="1481">
        <v>0.3</v>
      </c>
      <c r="D56" s="1481">
        <v>0.2</v>
      </c>
      <c r="E56" s="1481">
        <v>0.2</v>
      </c>
      <c r="F56" s="1481">
        <v>0.2</v>
      </c>
      <c r="G56" s="1481">
        <v>0.2</v>
      </c>
      <c r="H56" s="1481">
        <v>0.15</v>
      </c>
    </row>
    <row r="58" spans="1:8" s="1551" customFormat="1" ht="19.5" customHeight="1">
      <c r="A58" s="1567"/>
      <c r="B58" s="1549"/>
      <c r="C58" s="1549"/>
      <c r="D58" s="1549" t="s">
        <v>1614</v>
      </c>
      <c r="E58" s="1549"/>
      <c r="F58" s="1549"/>
    </row>
    <row r="59" spans="1:8" s="1551" customFormat="1" ht="19.5" customHeight="1">
      <c r="A59" s="1555" t="s">
        <v>1615</v>
      </c>
      <c r="B59" s="1555" t="s">
        <v>1616</v>
      </c>
      <c r="C59" s="1555" t="s">
        <v>1617</v>
      </c>
      <c r="D59" s="1555" t="s">
        <v>1618</v>
      </c>
      <c r="E59" s="1555" t="s">
        <v>1619</v>
      </c>
      <c r="F59" s="1555" t="s">
        <v>1620</v>
      </c>
    </row>
    <row r="60" spans="1:8" ht="13.5">
      <c r="A60" s="1750"/>
      <c r="B60" s="1750"/>
      <c r="C60" s="1750" t="s">
        <v>1752</v>
      </c>
      <c r="D60" s="1750"/>
      <c r="E60" s="1568" t="s">
        <v>23</v>
      </c>
      <c r="F60" s="1750" t="s">
        <v>23</v>
      </c>
    </row>
    <row r="61" spans="1:8" s="1551" customFormat="1" ht="24">
      <c r="A61" s="1555">
        <v>1</v>
      </c>
      <c r="B61" s="3750" t="s">
        <v>1621</v>
      </c>
      <c r="C61" s="1481" t="s">
        <v>1622</v>
      </c>
      <c r="D61" s="1481" t="s">
        <v>1623</v>
      </c>
      <c r="E61" s="1568">
        <v>0.5</v>
      </c>
      <c r="F61" s="1555">
        <v>80</v>
      </c>
    </row>
    <row r="62" spans="1:8" s="1551" customFormat="1" ht="24">
      <c r="A62" s="1555">
        <v>2</v>
      </c>
      <c r="B62" s="3750"/>
      <c r="C62" s="1481" t="s">
        <v>1624</v>
      </c>
      <c r="D62" s="1481" t="s">
        <v>1625</v>
      </c>
      <c r="E62" s="1568">
        <v>0.5</v>
      </c>
      <c r="F62" s="1555">
        <v>80</v>
      </c>
    </row>
    <row r="63" spans="1:8" s="1551" customFormat="1" ht="36">
      <c r="A63" s="1555">
        <v>3</v>
      </c>
      <c r="B63" s="3750"/>
      <c r="C63" s="1481" t="s">
        <v>1626</v>
      </c>
      <c r="D63" s="1481" t="s">
        <v>1627</v>
      </c>
      <c r="E63" s="1568">
        <v>0.5</v>
      </c>
      <c r="F63" s="1555">
        <v>80</v>
      </c>
    </row>
    <row r="64" spans="1:8" s="1551" customFormat="1" ht="36">
      <c r="A64" s="1555">
        <v>4</v>
      </c>
      <c r="B64" s="3750"/>
      <c r="C64" s="1481" t="s">
        <v>1628</v>
      </c>
      <c r="D64" s="1481" t="s">
        <v>1629</v>
      </c>
      <c r="E64" s="1568">
        <v>0.4</v>
      </c>
      <c r="F64" s="1555">
        <v>60</v>
      </c>
    </row>
    <row r="65" spans="1:6" s="1551" customFormat="1" ht="36">
      <c r="A65" s="1555">
        <v>5</v>
      </c>
      <c r="B65" s="3750"/>
      <c r="C65" s="1481" t="s">
        <v>1630</v>
      </c>
      <c r="D65" s="1481" t="s">
        <v>1631</v>
      </c>
      <c r="E65" s="1568">
        <v>0.2</v>
      </c>
      <c r="F65" s="1555">
        <v>30</v>
      </c>
    </row>
    <row r="66" spans="1:6" s="1551" customFormat="1" ht="36">
      <c r="A66" s="1555">
        <v>6</v>
      </c>
      <c r="B66" s="3750"/>
      <c r="C66" s="1481" t="s">
        <v>1632</v>
      </c>
      <c r="D66" s="1481" t="s">
        <v>1633</v>
      </c>
      <c r="E66" s="1568">
        <v>0.3</v>
      </c>
      <c r="F66" s="1555">
        <v>50</v>
      </c>
    </row>
    <row r="67" spans="1:6" s="1551" customFormat="1" ht="36">
      <c r="A67" s="1555">
        <v>7</v>
      </c>
      <c r="B67" s="3750"/>
      <c r="C67" s="1481" t="s">
        <v>1634</v>
      </c>
      <c r="D67" s="1481" t="s">
        <v>1635</v>
      </c>
      <c r="E67" s="1568">
        <v>0.2</v>
      </c>
      <c r="F67" s="1555">
        <v>30</v>
      </c>
    </row>
    <row r="68" spans="1:6" s="1551" customFormat="1" ht="36">
      <c r="A68" s="1555">
        <v>8</v>
      </c>
      <c r="B68" s="3750"/>
      <c r="C68" s="1481" t="s">
        <v>1636</v>
      </c>
      <c r="D68" s="1481" t="s">
        <v>1637</v>
      </c>
      <c r="E68" s="1568">
        <v>0.2</v>
      </c>
      <c r="F68" s="1555">
        <v>30</v>
      </c>
    </row>
    <row r="69" spans="1:6" s="1551" customFormat="1" ht="36">
      <c r="A69" s="1555">
        <v>9</v>
      </c>
      <c r="B69" s="3750"/>
      <c r="C69" s="1481" t="s">
        <v>1638</v>
      </c>
      <c r="D69" s="1481" t="s">
        <v>1639</v>
      </c>
      <c r="E69" s="1568">
        <v>0.2</v>
      </c>
      <c r="F69" s="1555">
        <v>30</v>
      </c>
    </row>
    <row r="70" spans="1:6" s="1551" customFormat="1" ht="48">
      <c r="A70" s="1555">
        <v>10</v>
      </c>
      <c r="B70" s="3750"/>
      <c r="C70" s="1481" t="s">
        <v>1640</v>
      </c>
      <c r="D70" s="1481" t="s">
        <v>1641</v>
      </c>
      <c r="E70" s="1568">
        <v>0.2</v>
      </c>
      <c r="F70" s="1555">
        <v>30</v>
      </c>
    </row>
    <row r="71" spans="1:6" s="1551" customFormat="1" ht="48">
      <c r="A71" s="1555">
        <v>11</v>
      </c>
      <c r="B71" s="3750"/>
      <c r="C71" s="1481" t="s">
        <v>1642</v>
      </c>
      <c r="D71" s="1481" t="s">
        <v>1643</v>
      </c>
      <c r="E71" s="1568">
        <v>0.2</v>
      </c>
      <c r="F71" s="1555">
        <v>30</v>
      </c>
    </row>
    <row r="72" spans="1:6" s="1551" customFormat="1" ht="36">
      <c r="A72" s="1555">
        <v>12</v>
      </c>
      <c r="B72" s="3750"/>
      <c r="C72" s="1481" t="s">
        <v>1644</v>
      </c>
      <c r="D72" s="1481" t="s">
        <v>1645</v>
      </c>
      <c r="E72" s="1568">
        <v>0.5</v>
      </c>
      <c r="F72" s="1555">
        <v>80</v>
      </c>
    </row>
    <row r="73" spans="1:6" s="1551" customFormat="1" ht="24">
      <c r="A73" s="1555">
        <v>13</v>
      </c>
      <c r="B73" s="3750"/>
      <c r="C73" s="1481" t="s">
        <v>1646</v>
      </c>
      <c r="D73" s="1481" t="s">
        <v>1647</v>
      </c>
      <c r="E73" s="1568">
        <v>0.4</v>
      </c>
      <c r="F73" s="1555">
        <v>60</v>
      </c>
    </row>
    <row r="74" spans="1:6" s="1551" customFormat="1" ht="24">
      <c r="A74" s="1555">
        <v>14</v>
      </c>
      <c r="B74" s="3750"/>
      <c r="C74" s="1481" t="s">
        <v>1648</v>
      </c>
      <c r="D74" s="1481" t="s">
        <v>1649</v>
      </c>
      <c r="E74" s="1568">
        <v>0.2</v>
      </c>
      <c r="F74" s="1555">
        <v>30</v>
      </c>
    </row>
    <row r="75" spans="1:6" s="1551" customFormat="1" ht="24">
      <c r="A75" s="1555">
        <v>15</v>
      </c>
      <c r="B75" s="3750"/>
      <c r="C75" s="1481" t="s">
        <v>1650</v>
      </c>
      <c r="D75" s="1481" t="s">
        <v>1651</v>
      </c>
      <c r="E75" s="1568">
        <v>0.2</v>
      </c>
      <c r="F75" s="1555">
        <v>30</v>
      </c>
    </row>
    <row r="76" spans="1:6" s="1551" customFormat="1" ht="24">
      <c r="A76" s="1555">
        <v>16</v>
      </c>
      <c r="B76" s="3750" t="s">
        <v>1652</v>
      </c>
      <c r="C76" s="1481" t="s">
        <v>1653</v>
      </c>
      <c r="D76" s="1481" t="s">
        <v>1654</v>
      </c>
      <c r="E76" s="1568">
        <v>0.5</v>
      </c>
      <c r="F76" s="1555">
        <v>80</v>
      </c>
    </row>
    <row r="77" spans="1:6" s="1551" customFormat="1" ht="24">
      <c r="A77" s="1555">
        <v>17</v>
      </c>
      <c r="B77" s="3750"/>
      <c r="C77" s="1481" t="s">
        <v>1655</v>
      </c>
      <c r="D77" s="1481" t="s">
        <v>1656</v>
      </c>
      <c r="E77" s="1568">
        <v>0.5</v>
      </c>
      <c r="F77" s="1555">
        <v>80</v>
      </c>
    </row>
    <row r="78" spans="1:6" s="1551" customFormat="1" ht="24">
      <c r="A78" s="1555">
        <v>18</v>
      </c>
      <c r="B78" s="3750"/>
      <c r="C78" s="1481" t="s">
        <v>1657</v>
      </c>
      <c r="D78" s="1481" t="s">
        <v>1658</v>
      </c>
      <c r="E78" s="1568">
        <v>0.2</v>
      </c>
      <c r="F78" s="1555">
        <v>30</v>
      </c>
    </row>
    <row r="79" spans="1:6" s="1551" customFormat="1" ht="24">
      <c r="A79" s="1555">
        <v>19</v>
      </c>
      <c r="B79" s="3750"/>
      <c r="C79" s="1481" t="s">
        <v>1659</v>
      </c>
      <c r="D79" s="1481" t="s">
        <v>1660</v>
      </c>
      <c r="E79" s="1568">
        <v>0.5</v>
      </c>
      <c r="F79" s="1555">
        <v>80</v>
      </c>
    </row>
    <row r="80" spans="1:6" s="1551" customFormat="1" ht="36">
      <c r="A80" s="1555">
        <v>20</v>
      </c>
      <c r="B80" s="3750"/>
      <c r="C80" s="1481" t="s">
        <v>1661</v>
      </c>
      <c r="D80" s="1481" t="s">
        <v>1662</v>
      </c>
      <c r="E80" s="1568">
        <v>0.2</v>
      </c>
      <c r="F80" s="1555">
        <v>30</v>
      </c>
    </row>
    <row r="81" spans="1:6" s="1551" customFormat="1" ht="36">
      <c r="A81" s="1555">
        <v>21</v>
      </c>
      <c r="B81" s="3750"/>
      <c r="C81" s="1481" t="s">
        <v>1663</v>
      </c>
      <c r="D81" s="1481" t="s">
        <v>1664</v>
      </c>
      <c r="E81" s="1568">
        <v>0.2</v>
      </c>
      <c r="F81" s="1555">
        <v>30</v>
      </c>
    </row>
    <row r="82" spans="1:6" s="1551" customFormat="1" ht="48">
      <c r="A82" s="1555">
        <v>22</v>
      </c>
      <c r="B82" s="3750"/>
      <c r="C82" s="1481" t="s">
        <v>1665</v>
      </c>
      <c r="D82" s="1481" t="s">
        <v>1666</v>
      </c>
      <c r="E82" s="1568">
        <v>0.2</v>
      </c>
      <c r="F82" s="1555">
        <v>30</v>
      </c>
    </row>
    <row r="83" spans="1:6" s="1551" customFormat="1" ht="48">
      <c r="A83" s="1555">
        <v>23</v>
      </c>
      <c r="B83" s="3750"/>
      <c r="C83" s="1481" t="s">
        <v>1667</v>
      </c>
      <c r="D83" s="1481" t="s">
        <v>1668</v>
      </c>
      <c r="E83" s="1568">
        <v>0.2</v>
      </c>
      <c r="F83" s="1555">
        <v>30</v>
      </c>
    </row>
    <row r="84" spans="1:6" s="1551" customFormat="1" ht="36">
      <c r="A84" s="1555">
        <v>24</v>
      </c>
      <c r="B84" s="3750"/>
      <c r="C84" s="1481" t="s">
        <v>1669</v>
      </c>
      <c r="D84" s="1481" t="s">
        <v>1670</v>
      </c>
      <c r="E84" s="1568">
        <v>0.2</v>
      </c>
      <c r="F84" s="1555">
        <v>30</v>
      </c>
    </row>
    <row r="85" spans="1:6" s="1551" customFormat="1" ht="36">
      <c r="A85" s="1555">
        <v>25</v>
      </c>
      <c r="B85" s="3750"/>
      <c r="C85" s="1481" t="s">
        <v>1671</v>
      </c>
      <c r="D85" s="1481" t="s">
        <v>1672</v>
      </c>
      <c r="E85" s="1568">
        <v>0.5</v>
      </c>
      <c r="F85" s="1555">
        <v>80</v>
      </c>
    </row>
    <row r="86" spans="1:6" s="1551" customFormat="1" ht="36">
      <c r="A86" s="1555">
        <v>26</v>
      </c>
      <c r="B86" s="3750"/>
      <c r="C86" s="1481" t="s">
        <v>1673</v>
      </c>
      <c r="D86" s="1481" t="s">
        <v>1674</v>
      </c>
      <c r="E86" s="1568">
        <v>0.2</v>
      </c>
      <c r="F86" s="1555">
        <v>30</v>
      </c>
    </row>
    <row r="87" spans="1:6" s="1551" customFormat="1" ht="36">
      <c r="A87" s="1555">
        <v>27</v>
      </c>
      <c r="B87" s="3750"/>
      <c r="C87" s="1481" t="s">
        <v>1675</v>
      </c>
      <c r="D87" s="1481" t="s">
        <v>1676</v>
      </c>
      <c r="E87" s="1568">
        <v>0.2</v>
      </c>
      <c r="F87" s="1555">
        <v>30</v>
      </c>
    </row>
    <row r="88" spans="1:6" s="1551" customFormat="1" ht="36">
      <c r="A88" s="1555">
        <v>28</v>
      </c>
      <c r="B88" s="3750"/>
      <c r="C88" s="1481" t="s">
        <v>1677</v>
      </c>
      <c r="D88" s="1481" t="s">
        <v>1678</v>
      </c>
      <c r="E88" s="1568">
        <v>0.2</v>
      </c>
      <c r="F88" s="1555">
        <v>30</v>
      </c>
    </row>
    <row r="89" spans="1:6" s="1551" customFormat="1" ht="24">
      <c r="A89" s="1555">
        <v>29</v>
      </c>
      <c r="B89" s="3750"/>
      <c r="C89" s="1481" t="s">
        <v>1679</v>
      </c>
      <c r="D89" s="1481" t="s">
        <v>1680</v>
      </c>
      <c r="E89" s="1568">
        <v>0.2</v>
      </c>
      <c r="F89" s="1555">
        <v>30</v>
      </c>
    </row>
    <row r="90" spans="1:6" s="1551" customFormat="1" ht="24">
      <c r="A90" s="1555">
        <v>30</v>
      </c>
      <c r="B90" s="3750"/>
      <c r="C90" s="1481" t="s">
        <v>1681</v>
      </c>
      <c r="D90" s="1481" t="s">
        <v>1682</v>
      </c>
      <c r="E90" s="1568">
        <v>0.2</v>
      </c>
      <c r="F90" s="1555">
        <v>30</v>
      </c>
    </row>
    <row r="91" spans="1:6" s="1551" customFormat="1" ht="36">
      <c r="A91" s="1555">
        <v>31</v>
      </c>
      <c r="B91" s="3750"/>
      <c r="C91" s="1481" t="s">
        <v>1683</v>
      </c>
      <c r="D91" s="1481" t="s">
        <v>1684</v>
      </c>
      <c r="E91" s="1568">
        <v>0.2</v>
      </c>
      <c r="F91" s="1555">
        <v>30</v>
      </c>
    </row>
    <row r="92" spans="1:6" s="1551" customFormat="1" ht="24">
      <c r="A92" s="1555">
        <v>32</v>
      </c>
      <c r="B92" s="3750" t="s">
        <v>1685</v>
      </c>
      <c r="C92" s="1555" t="s">
        <v>1686</v>
      </c>
      <c r="D92" s="1481" t="s">
        <v>1687</v>
      </c>
      <c r="E92" s="1568">
        <v>0.2</v>
      </c>
      <c r="F92" s="1555">
        <v>30</v>
      </c>
    </row>
    <row r="93" spans="1:6" s="1551" customFormat="1" ht="36">
      <c r="A93" s="1555">
        <v>33</v>
      </c>
      <c r="B93" s="3750"/>
      <c r="C93" s="1555" t="s">
        <v>1688</v>
      </c>
      <c r="D93" s="1481" t="s">
        <v>1689</v>
      </c>
      <c r="E93" s="1568">
        <v>0.2</v>
      </c>
      <c r="F93" s="1555">
        <v>30</v>
      </c>
    </row>
    <row r="94" spans="1:6" s="1551" customFormat="1" ht="48">
      <c r="A94" s="1555">
        <v>34</v>
      </c>
      <c r="B94" s="3750"/>
      <c r="C94" s="1555" t="s">
        <v>1690</v>
      </c>
      <c r="D94" s="1481" t="s">
        <v>1691</v>
      </c>
      <c r="E94" s="1568">
        <v>0.2</v>
      </c>
      <c r="F94" s="1555">
        <v>30</v>
      </c>
    </row>
    <row r="95" spans="1:6" s="1551" customFormat="1" ht="36">
      <c r="A95" s="1555">
        <v>35</v>
      </c>
      <c r="B95" s="3750"/>
      <c r="C95" s="1555" t="s">
        <v>1692</v>
      </c>
      <c r="D95" s="1481" t="s">
        <v>1693</v>
      </c>
      <c r="E95" s="1568">
        <v>0.2</v>
      </c>
      <c r="F95" s="1555">
        <v>30</v>
      </c>
    </row>
    <row r="96" spans="1:6" s="1551" customFormat="1" ht="48">
      <c r="A96" s="1555">
        <v>36</v>
      </c>
      <c r="B96" s="3750"/>
      <c r="C96" s="1481" t="s">
        <v>1694</v>
      </c>
      <c r="D96" s="1481" t="s">
        <v>1695</v>
      </c>
      <c r="E96" s="1568">
        <v>0.2</v>
      </c>
      <c r="F96" s="1555">
        <v>30</v>
      </c>
    </row>
    <row r="97" spans="1:6" s="1551" customFormat="1" ht="36">
      <c r="A97" s="1555">
        <v>37</v>
      </c>
      <c r="B97" s="3750"/>
      <c r="C97" s="1555" t="s">
        <v>1696</v>
      </c>
      <c r="D97" s="1481" t="s">
        <v>1697</v>
      </c>
      <c r="E97" s="1568">
        <v>0.2</v>
      </c>
      <c r="F97" s="1555">
        <v>30</v>
      </c>
    </row>
    <row r="98" spans="1:6" s="1551" customFormat="1" ht="36">
      <c r="A98" s="1555">
        <v>38</v>
      </c>
      <c r="B98" s="3750"/>
      <c r="C98" s="1555" t="s">
        <v>1698</v>
      </c>
      <c r="D98" s="1481" t="s">
        <v>1699</v>
      </c>
      <c r="E98" s="1568">
        <v>0.2</v>
      </c>
      <c r="F98" s="1555">
        <v>30</v>
      </c>
    </row>
    <row r="99" spans="1:6" s="1551" customFormat="1" ht="36">
      <c r="A99" s="1555">
        <v>39</v>
      </c>
      <c r="B99" s="3750" t="s">
        <v>1700</v>
      </c>
      <c r="C99" s="1555" t="s">
        <v>1701</v>
      </c>
      <c r="D99" s="1481" t="s">
        <v>1702</v>
      </c>
      <c r="E99" s="1568">
        <v>0.3</v>
      </c>
      <c r="F99" s="1555">
        <v>50</v>
      </c>
    </row>
    <row r="100" spans="1:6" s="1551" customFormat="1" ht="24">
      <c r="A100" s="1555">
        <v>40</v>
      </c>
      <c r="B100" s="3750"/>
      <c r="C100" s="1555" t="s">
        <v>1703</v>
      </c>
      <c r="D100" s="1481" t="s">
        <v>1704</v>
      </c>
      <c r="E100" s="1568">
        <v>0.2</v>
      </c>
      <c r="F100" s="1555">
        <v>30</v>
      </c>
    </row>
    <row r="101" spans="1:6" s="1551" customFormat="1" ht="36">
      <c r="A101" s="1555">
        <v>41</v>
      </c>
      <c r="B101" s="3750"/>
      <c r="C101" s="1555" t="s">
        <v>1705</v>
      </c>
      <c r="D101" s="1481" t="s">
        <v>1702</v>
      </c>
      <c r="E101" s="1568">
        <v>0.2</v>
      </c>
      <c r="F101" s="1555">
        <v>30</v>
      </c>
    </row>
    <row r="102" spans="1:6" s="1551" customFormat="1" ht="48">
      <c r="A102" s="1555">
        <v>42</v>
      </c>
      <c r="B102" s="1555" t="s">
        <v>1706</v>
      </c>
      <c r="C102" s="1481" t="s">
        <v>1707</v>
      </c>
      <c r="D102" s="1481" t="s">
        <v>1708</v>
      </c>
      <c r="E102" s="1568">
        <v>0.2</v>
      </c>
      <c r="F102" s="1555">
        <v>30</v>
      </c>
    </row>
    <row r="103" spans="1:6" s="1551" customFormat="1" ht="24">
      <c r="A103" s="1555">
        <v>43</v>
      </c>
      <c r="B103" s="1555" t="s">
        <v>1709</v>
      </c>
      <c r="C103" s="1555" t="s">
        <v>1710</v>
      </c>
      <c r="D103" s="1481" t="s">
        <v>1711</v>
      </c>
      <c r="E103" s="1568">
        <v>0.2</v>
      </c>
      <c r="F103" s="1555">
        <v>30</v>
      </c>
    </row>
    <row r="104" spans="1:6" s="1551" customFormat="1" ht="36">
      <c r="A104" s="1555">
        <v>44</v>
      </c>
      <c r="B104" s="1555" t="s">
        <v>1712</v>
      </c>
      <c r="C104" s="1555" t="s">
        <v>1713</v>
      </c>
      <c r="D104" s="1481" t="s">
        <v>1714</v>
      </c>
      <c r="E104" s="1568">
        <v>0.2</v>
      </c>
      <c r="F104" s="1555">
        <v>30</v>
      </c>
    </row>
    <row r="105" spans="1:6" s="1551" customFormat="1" ht="36">
      <c r="A105" s="1555">
        <v>45</v>
      </c>
      <c r="B105" s="3750" t="s">
        <v>1715</v>
      </c>
      <c r="C105" s="1555" t="s">
        <v>1716</v>
      </c>
      <c r="D105" s="1481" t="s">
        <v>1717</v>
      </c>
      <c r="E105" s="1568">
        <v>0.2</v>
      </c>
      <c r="F105" s="1555">
        <v>30</v>
      </c>
    </row>
    <row r="106" spans="1:6" s="1551" customFormat="1" ht="36">
      <c r="A106" s="1555">
        <v>46</v>
      </c>
      <c r="B106" s="3750"/>
      <c r="C106" s="1555" t="s">
        <v>1718</v>
      </c>
      <c r="D106" s="1481" t="s">
        <v>1719</v>
      </c>
      <c r="E106" s="1568">
        <v>0.2</v>
      </c>
      <c r="F106" s="1555">
        <v>30</v>
      </c>
    </row>
    <row r="107" spans="1:6" s="1551" customFormat="1" ht="36">
      <c r="A107" s="1555">
        <v>47</v>
      </c>
      <c r="B107" s="3750" t="s">
        <v>1720</v>
      </c>
      <c r="C107" s="1555" t="s">
        <v>1721</v>
      </c>
      <c r="D107" s="1481" t="s">
        <v>1722</v>
      </c>
      <c r="E107" s="1568">
        <v>0.3</v>
      </c>
      <c r="F107" s="1555">
        <v>50</v>
      </c>
    </row>
    <row r="108" spans="1:6" s="1551" customFormat="1" ht="36">
      <c r="A108" s="1555">
        <v>48</v>
      </c>
      <c r="B108" s="3750"/>
      <c r="C108" s="1555" t="s">
        <v>1723</v>
      </c>
      <c r="D108" s="1481" t="s">
        <v>1724</v>
      </c>
      <c r="E108" s="1568">
        <v>0.2</v>
      </c>
      <c r="F108" s="1555">
        <v>30</v>
      </c>
    </row>
    <row r="109" spans="1:6" s="1551" customFormat="1" ht="36">
      <c r="A109" s="1555">
        <v>49</v>
      </c>
      <c r="B109" s="1555" t="s">
        <v>1725</v>
      </c>
      <c r="C109" s="1555" t="s">
        <v>1726</v>
      </c>
      <c r="D109" s="1481" t="s">
        <v>1727</v>
      </c>
      <c r="E109" s="1568">
        <v>0.2</v>
      </c>
      <c r="F109" s="1555">
        <v>30</v>
      </c>
    </row>
    <row r="110" spans="1:6" s="1551" customFormat="1" ht="36">
      <c r="A110" s="1555">
        <v>50</v>
      </c>
      <c r="B110" s="1555" t="s">
        <v>1728</v>
      </c>
      <c r="C110" s="1555" t="s">
        <v>1729</v>
      </c>
      <c r="D110" s="1481" t="s">
        <v>1730</v>
      </c>
      <c r="E110" s="1568">
        <v>0.2</v>
      </c>
      <c r="F110" s="1555">
        <v>30</v>
      </c>
    </row>
    <row r="111" spans="1:6" s="1551" customFormat="1" ht="36">
      <c r="A111" s="1555">
        <v>51</v>
      </c>
      <c r="B111" s="3750" t="s">
        <v>1731</v>
      </c>
      <c r="C111" s="1555" t="s">
        <v>1732</v>
      </c>
      <c r="D111" s="1481" t="s">
        <v>1733</v>
      </c>
      <c r="E111" s="1568">
        <v>0.2</v>
      </c>
      <c r="F111" s="1555">
        <v>30</v>
      </c>
    </row>
    <row r="112" spans="1:6" s="1551" customFormat="1" ht="24">
      <c r="A112" s="1555">
        <v>52</v>
      </c>
      <c r="B112" s="3750"/>
      <c r="C112" s="1555" t="s">
        <v>1734</v>
      </c>
      <c r="D112" s="1481" t="s">
        <v>1735</v>
      </c>
      <c r="E112" s="1568">
        <v>0.2</v>
      </c>
      <c r="F112" s="1555">
        <v>30</v>
      </c>
    </row>
    <row r="113" spans="1:6" s="1551" customFormat="1" ht="24">
      <c r="A113" s="1555">
        <v>53</v>
      </c>
      <c r="B113" s="3750"/>
      <c r="C113" s="1555" t="s">
        <v>1736</v>
      </c>
      <c r="D113" s="1481" t="s">
        <v>1737</v>
      </c>
      <c r="E113" s="1568">
        <v>0.2</v>
      </c>
      <c r="F113" s="1555">
        <v>30</v>
      </c>
    </row>
    <row r="114" spans="1:6" ht="36">
      <c r="A114" s="1555">
        <v>54</v>
      </c>
      <c r="B114" s="1555" t="s">
        <v>1738</v>
      </c>
      <c r="C114" s="1555" t="s">
        <v>1739</v>
      </c>
      <c r="D114" s="1481" t="s">
        <v>1740</v>
      </c>
      <c r="E114" s="1568">
        <v>0.2</v>
      </c>
      <c r="F114" s="1555">
        <v>30</v>
      </c>
    </row>
    <row r="115" spans="1:6" ht="24">
      <c r="A115" s="1555">
        <v>55</v>
      </c>
      <c r="B115" s="1555" t="s">
        <v>1741</v>
      </c>
      <c r="C115" s="1555" t="s">
        <v>1742</v>
      </c>
      <c r="D115" s="1481" t="s">
        <v>1743</v>
      </c>
      <c r="E115" s="1568">
        <v>0.2</v>
      </c>
      <c r="F115" s="1555">
        <v>30</v>
      </c>
    </row>
    <row r="116" spans="1:6" ht="24">
      <c r="A116" s="1555">
        <v>56</v>
      </c>
      <c r="B116" s="3750" t="s">
        <v>1744</v>
      </c>
      <c r="C116" s="1555" t="s">
        <v>1745</v>
      </c>
      <c r="D116" s="1481" t="s">
        <v>1746</v>
      </c>
      <c r="E116" s="1568">
        <v>0.2</v>
      </c>
      <c r="F116" s="1555">
        <v>30</v>
      </c>
    </row>
    <row r="117" spans="1:6" ht="36">
      <c r="A117" s="1555">
        <v>57</v>
      </c>
      <c r="B117" s="3750"/>
      <c r="C117" s="1555" t="s">
        <v>1747</v>
      </c>
      <c r="D117" s="1481" t="s">
        <v>1748</v>
      </c>
      <c r="E117" s="1568">
        <v>0.2</v>
      </c>
      <c r="F117" s="1555">
        <v>30</v>
      </c>
    </row>
    <row r="118" spans="1:6" ht="36">
      <c r="A118" s="1555">
        <v>58</v>
      </c>
      <c r="B118" s="1555" t="s">
        <v>1749</v>
      </c>
      <c r="C118" s="1555" t="s">
        <v>1750</v>
      </c>
      <c r="D118" s="1481" t="s">
        <v>1751</v>
      </c>
      <c r="E118" s="1568">
        <v>0.2</v>
      </c>
      <c r="F118" s="1555">
        <v>30</v>
      </c>
    </row>
    <row r="119" spans="1:6" ht="13.5">
      <c r="A119" s="1555"/>
      <c r="B119" s="1555"/>
      <c r="C119" s="1555" t="s">
        <v>1752</v>
      </c>
      <c r="D119" s="1555"/>
      <c r="E119" s="1568" t="s">
        <v>1562</v>
      </c>
      <c r="F119" s="1555"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05"/>
    <col min="2" max="16384" width="9" style="1580"/>
  </cols>
  <sheetData>
    <row r="1" spans="1:14" ht="14.25">
      <c r="A1" s="1578" t="s">
        <v>1762</v>
      </c>
      <c r="B1" s="1579"/>
      <c r="C1" s="1579"/>
      <c r="D1" s="1579"/>
      <c r="E1" s="1579"/>
      <c r="F1" s="1579"/>
      <c r="G1" s="1579"/>
      <c r="H1" s="1579"/>
      <c r="I1" s="1579"/>
      <c r="J1" s="1579"/>
      <c r="K1" s="1579"/>
      <c r="L1" s="1579"/>
      <c r="M1" s="1579"/>
      <c r="N1" s="1579"/>
    </row>
    <row r="2" spans="1:14">
      <c r="A2" s="1581" t="s">
        <v>1759</v>
      </c>
      <c r="B2" s="1582" t="s">
        <v>1164</v>
      </c>
      <c r="C2" s="1582" t="s">
        <v>1165</v>
      </c>
      <c r="D2" s="1582" t="s">
        <v>1166</v>
      </c>
      <c r="E2" s="1582" t="s">
        <v>1167</v>
      </c>
      <c r="F2" s="1582" t="s">
        <v>1168</v>
      </c>
      <c r="G2" s="1582" t="s">
        <v>1169</v>
      </c>
      <c r="H2" s="1583" t="s">
        <v>1170</v>
      </c>
      <c r="I2" s="1583" t="s">
        <v>1171</v>
      </c>
      <c r="J2" s="1584" t="s">
        <v>1172</v>
      </c>
      <c r="K2" s="1584" t="s">
        <v>1173</v>
      </c>
      <c r="L2" s="1584" t="s">
        <v>1174</v>
      </c>
      <c r="M2" s="1584" t="s">
        <v>1175</v>
      </c>
    </row>
    <row r="3" spans="1:14">
      <c r="A3" s="1581">
        <v>0.1</v>
      </c>
      <c r="B3" s="1590">
        <v>15.052</v>
      </c>
      <c r="C3" s="1590">
        <v>15.052</v>
      </c>
      <c r="D3" s="1590">
        <v>14.263</v>
      </c>
      <c r="E3" s="1590">
        <v>14.263</v>
      </c>
      <c r="F3" s="1590">
        <v>14.263</v>
      </c>
      <c r="G3" s="1590">
        <v>14.263</v>
      </c>
      <c r="H3" s="1590">
        <v>14.263</v>
      </c>
      <c r="I3" s="1590">
        <v>14.097</v>
      </c>
      <c r="J3" s="1590">
        <v>14.097</v>
      </c>
      <c r="K3" s="1590">
        <v>14.097</v>
      </c>
      <c r="L3" s="1590">
        <v>14.097</v>
      </c>
      <c r="M3" s="1590">
        <v>14.097</v>
      </c>
      <c r="N3" s="1591"/>
    </row>
    <row r="4" spans="1:14">
      <c r="A4" s="1581">
        <v>0.2</v>
      </c>
      <c r="B4" s="1590">
        <v>7.5259999999999998</v>
      </c>
      <c r="C4" s="1590">
        <v>7.5259999999999998</v>
      </c>
      <c r="D4" s="1590">
        <v>7.1315</v>
      </c>
      <c r="E4" s="1590">
        <v>7.1315</v>
      </c>
      <c r="F4" s="1590">
        <v>7.1315</v>
      </c>
      <c r="G4" s="1590">
        <v>7.1315</v>
      </c>
      <c r="H4" s="1590">
        <v>7.1315</v>
      </c>
      <c r="I4" s="1590">
        <v>7.0484999999999998</v>
      </c>
      <c r="J4" s="1590">
        <v>7.0484999999999998</v>
      </c>
      <c r="K4" s="1590">
        <v>7.0484999999999998</v>
      </c>
      <c r="L4" s="1590">
        <v>7.0484999999999998</v>
      </c>
      <c r="M4" s="1590">
        <v>7.0484999999999998</v>
      </c>
    </row>
    <row r="5" spans="1:14">
      <c r="A5" s="1581">
        <v>0.3</v>
      </c>
      <c r="B5" s="1590">
        <v>5.0172999999999996</v>
      </c>
      <c r="C5" s="1590">
        <v>5.0172999999999996</v>
      </c>
      <c r="D5" s="1590">
        <v>4.7542999999999997</v>
      </c>
      <c r="E5" s="1590">
        <v>4.7542999999999997</v>
      </c>
      <c r="F5" s="1590">
        <v>4.7542999999999997</v>
      </c>
      <c r="G5" s="1590">
        <v>4.7542999999999997</v>
      </c>
      <c r="H5" s="1590">
        <v>4.7542999999999997</v>
      </c>
      <c r="I5" s="1590">
        <v>4.6989999999999998</v>
      </c>
      <c r="J5" s="1590">
        <v>4.6989999999999998</v>
      </c>
      <c r="K5" s="1590">
        <v>4.6989999999999998</v>
      </c>
      <c r="L5" s="1590">
        <v>4.6989999999999998</v>
      </c>
      <c r="M5" s="1590">
        <v>4.6989999999999998</v>
      </c>
    </row>
    <row r="6" spans="1:14">
      <c r="A6" s="1581">
        <v>0.4</v>
      </c>
      <c r="B6" s="1590">
        <v>3.7629999999999999</v>
      </c>
      <c r="C6" s="1590">
        <v>3.7629999999999999</v>
      </c>
      <c r="D6" s="1590">
        <v>3.5657999999999999</v>
      </c>
      <c r="E6" s="1590">
        <v>3.5657999999999999</v>
      </c>
      <c r="F6" s="1590">
        <v>3.5657999999999999</v>
      </c>
      <c r="G6" s="1590">
        <v>3.5657999999999999</v>
      </c>
      <c r="H6" s="1590">
        <v>3.5657999999999999</v>
      </c>
      <c r="I6" s="1590">
        <v>3.5243000000000002</v>
      </c>
      <c r="J6" s="1590">
        <v>3.5243000000000002</v>
      </c>
      <c r="K6" s="1590">
        <v>3.5243000000000002</v>
      </c>
      <c r="L6" s="1590">
        <v>3.5243000000000002</v>
      </c>
      <c r="M6" s="1590">
        <v>3.5243000000000002</v>
      </c>
    </row>
    <row r="7" spans="1:14">
      <c r="A7" s="1581">
        <v>0.5</v>
      </c>
      <c r="B7" s="1590">
        <v>3.0104000000000002</v>
      </c>
      <c r="C7" s="1590">
        <v>3.0104000000000002</v>
      </c>
      <c r="D7" s="1590">
        <v>2.8525999999999998</v>
      </c>
      <c r="E7" s="1590">
        <v>2.8525999999999998</v>
      </c>
      <c r="F7" s="1590">
        <v>2.8525999999999998</v>
      </c>
      <c r="G7" s="1590">
        <v>2.8525999999999998</v>
      </c>
      <c r="H7" s="1590">
        <v>2.8525999999999998</v>
      </c>
      <c r="I7" s="1590">
        <v>2.8193999999999999</v>
      </c>
      <c r="J7" s="1590">
        <v>2.8193999999999999</v>
      </c>
      <c r="K7" s="1590">
        <v>2.8193999999999999</v>
      </c>
      <c r="L7" s="1590">
        <v>2.8193999999999999</v>
      </c>
      <c r="M7" s="1590">
        <v>2.8193999999999999</v>
      </c>
    </row>
    <row r="8" spans="1:14">
      <c r="A8" s="1581">
        <v>0.6</v>
      </c>
      <c r="B8" s="1590">
        <v>2.5087000000000002</v>
      </c>
      <c r="C8" s="1590">
        <v>2.5087000000000002</v>
      </c>
      <c r="D8" s="1590">
        <v>2.3772000000000002</v>
      </c>
      <c r="E8" s="1590">
        <v>2.3772000000000002</v>
      </c>
      <c r="F8" s="1590">
        <v>2.3772000000000002</v>
      </c>
      <c r="G8" s="1590">
        <v>2.3772000000000002</v>
      </c>
      <c r="H8" s="1590">
        <v>2.3772000000000002</v>
      </c>
      <c r="I8" s="1590">
        <v>2.3494999999999999</v>
      </c>
      <c r="J8" s="1590">
        <v>2.3494999999999999</v>
      </c>
      <c r="K8" s="1590">
        <v>2.3494999999999999</v>
      </c>
      <c r="L8" s="1590">
        <v>2.3494999999999999</v>
      </c>
      <c r="M8" s="1590">
        <v>2.3494999999999999</v>
      </c>
    </row>
    <row r="9" spans="1:14">
      <c r="A9" s="1581">
        <v>0.7</v>
      </c>
      <c r="B9" s="1590">
        <v>2.1503000000000001</v>
      </c>
      <c r="C9" s="1590">
        <v>2.1503000000000001</v>
      </c>
      <c r="D9" s="1590">
        <v>2.0375999999999999</v>
      </c>
      <c r="E9" s="1590">
        <v>2.0375999999999999</v>
      </c>
      <c r="F9" s="1590">
        <v>2.0375999999999999</v>
      </c>
      <c r="G9" s="1590">
        <v>2.0375999999999999</v>
      </c>
      <c r="H9" s="1590">
        <v>2.0375999999999999</v>
      </c>
      <c r="I9" s="1590">
        <v>2.0139</v>
      </c>
      <c r="J9" s="1590">
        <v>2.0139</v>
      </c>
      <c r="K9" s="1590">
        <v>2.0139</v>
      </c>
      <c r="L9" s="1590">
        <v>2.0139</v>
      </c>
      <c r="M9" s="1590">
        <v>2.0139</v>
      </c>
    </row>
    <row r="10" spans="1:14">
      <c r="A10" s="1581">
        <v>0.8</v>
      </c>
      <c r="B10" s="1590">
        <v>1.8815</v>
      </c>
      <c r="C10" s="1590">
        <v>1.8815</v>
      </c>
      <c r="D10" s="1590">
        <v>1.7828999999999999</v>
      </c>
      <c r="E10" s="1590">
        <v>1.7828999999999999</v>
      </c>
      <c r="F10" s="1590">
        <v>1.7828999999999999</v>
      </c>
      <c r="G10" s="1590">
        <v>1.7828999999999999</v>
      </c>
      <c r="H10" s="1590">
        <v>1.7828999999999999</v>
      </c>
      <c r="I10" s="1590">
        <v>1.7621</v>
      </c>
      <c r="J10" s="1590">
        <v>1.7621</v>
      </c>
      <c r="K10" s="1590">
        <v>1.7621</v>
      </c>
      <c r="L10" s="1590">
        <v>1.7621</v>
      </c>
      <c r="M10" s="1590">
        <v>1.7621</v>
      </c>
    </row>
    <row r="11" spans="1:14">
      <c r="A11" s="1581">
        <v>0.9</v>
      </c>
      <c r="B11" s="1590">
        <v>1.6724000000000001</v>
      </c>
      <c r="C11" s="1590">
        <v>1.6724000000000001</v>
      </c>
      <c r="D11" s="1590">
        <v>1.5848</v>
      </c>
      <c r="E11" s="1590">
        <v>1.5848</v>
      </c>
      <c r="F11" s="1590">
        <v>1.5848</v>
      </c>
      <c r="G11" s="1590">
        <v>1.5848</v>
      </c>
      <c r="H11" s="1590">
        <v>1.5848</v>
      </c>
      <c r="I11" s="1590">
        <v>1.5663</v>
      </c>
      <c r="J11" s="1590">
        <v>1.5663</v>
      </c>
      <c r="K11" s="1590">
        <v>1.5663</v>
      </c>
      <c r="L11" s="1590">
        <v>1.5663</v>
      </c>
      <c r="M11" s="1590">
        <v>1.5663</v>
      </c>
    </row>
    <row r="12" spans="1:14">
      <c r="A12" s="1581">
        <v>1</v>
      </c>
      <c r="B12" s="1590">
        <v>1.5052000000000001</v>
      </c>
      <c r="C12" s="1590">
        <v>1.5052000000000001</v>
      </c>
      <c r="D12" s="1590">
        <v>1.4262999999999999</v>
      </c>
      <c r="E12" s="1590">
        <v>1.4262999999999999</v>
      </c>
      <c r="F12" s="1590">
        <v>1.4262999999999999</v>
      </c>
      <c r="G12" s="1590">
        <v>1.4262999999999999</v>
      </c>
      <c r="H12" s="1590">
        <v>1.4262999999999999</v>
      </c>
      <c r="I12" s="1590">
        <v>1.4097</v>
      </c>
      <c r="J12" s="1590">
        <v>1.4097</v>
      </c>
      <c r="K12" s="1590">
        <v>1.4097</v>
      </c>
      <c r="L12" s="1590">
        <v>1.4097</v>
      </c>
      <c r="M12" s="1590">
        <v>1.4097</v>
      </c>
    </row>
    <row r="13" spans="1:14">
      <c r="A13" s="1581">
        <v>1.1000000000000001</v>
      </c>
      <c r="B13" s="1590">
        <v>1.4509000000000001</v>
      </c>
      <c r="C13" s="1590">
        <v>1.4509000000000001</v>
      </c>
      <c r="D13" s="1590">
        <v>1.3697999999999999</v>
      </c>
      <c r="E13" s="1590">
        <v>1.3697999999999999</v>
      </c>
      <c r="F13" s="1590">
        <v>1.3697999999999999</v>
      </c>
      <c r="G13" s="1590">
        <v>1.3697999999999999</v>
      </c>
      <c r="H13" s="1590">
        <v>1.3697999999999999</v>
      </c>
      <c r="I13" s="1590">
        <v>1.343</v>
      </c>
      <c r="J13" s="1590">
        <v>1.343</v>
      </c>
      <c r="K13" s="1590">
        <v>1.343</v>
      </c>
      <c r="L13" s="1590">
        <v>1.343</v>
      </c>
      <c r="M13" s="1590">
        <v>1.343</v>
      </c>
    </row>
    <row r="14" spans="1:14">
      <c r="A14" s="1581">
        <v>1.2</v>
      </c>
      <c r="B14" s="1590">
        <v>1.4035</v>
      </c>
      <c r="C14" s="1590">
        <v>1.4035</v>
      </c>
      <c r="D14" s="1590">
        <v>1.3205</v>
      </c>
      <c r="E14" s="1590">
        <v>1.3205</v>
      </c>
      <c r="F14" s="1590">
        <v>1.3205</v>
      </c>
      <c r="G14" s="1590">
        <v>1.3205</v>
      </c>
      <c r="H14" s="1590">
        <v>1.3205</v>
      </c>
      <c r="I14" s="1590">
        <v>1.2845</v>
      </c>
      <c r="J14" s="1590">
        <v>1.2845</v>
      </c>
      <c r="K14" s="1590">
        <v>1.2845</v>
      </c>
      <c r="L14" s="1590">
        <v>1.2845</v>
      </c>
      <c r="M14" s="1590">
        <v>1.2845</v>
      </c>
    </row>
    <row r="15" spans="1:14">
      <c r="A15" s="1581">
        <v>1.3</v>
      </c>
      <c r="B15" s="1590">
        <v>1.3622000000000001</v>
      </c>
      <c r="C15" s="1590">
        <v>1.3622000000000001</v>
      </c>
      <c r="D15" s="1590">
        <v>1.2775000000000001</v>
      </c>
      <c r="E15" s="1590">
        <v>1.2775000000000001</v>
      </c>
      <c r="F15" s="1590">
        <v>1.2775000000000001</v>
      </c>
      <c r="G15" s="1590">
        <v>1.2775000000000001</v>
      </c>
      <c r="H15" s="1590">
        <v>1.2775000000000001</v>
      </c>
      <c r="I15" s="1590">
        <v>1.2332000000000001</v>
      </c>
      <c r="J15" s="1590">
        <v>1.2332000000000001</v>
      </c>
      <c r="K15" s="1590">
        <v>1.2332000000000001</v>
      </c>
      <c r="L15" s="1590">
        <v>1.2332000000000001</v>
      </c>
      <c r="M15" s="1590">
        <v>1.2332000000000001</v>
      </c>
    </row>
    <row r="16" spans="1:14">
      <c r="A16" s="1581">
        <v>1.4</v>
      </c>
      <c r="B16" s="1590">
        <v>1.3262</v>
      </c>
      <c r="C16" s="1590">
        <v>1.3262</v>
      </c>
      <c r="D16" s="1590">
        <v>1.2402</v>
      </c>
      <c r="E16" s="1590">
        <v>1.2402</v>
      </c>
      <c r="F16" s="1590">
        <v>1.2402</v>
      </c>
      <c r="G16" s="1590">
        <v>1.2402</v>
      </c>
      <c r="H16" s="1590">
        <v>1.2402</v>
      </c>
      <c r="I16" s="1590">
        <v>1.1881999999999999</v>
      </c>
      <c r="J16" s="1590">
        <v>1.1881999999999999</v>
      </c>
      <c r="K16" s="1590">
        <v>1.1881999999999999</v>
      </c>
      <c r="L16" s="1590">
        <v>1.1881999999999999</v>
      </c>
      <c r="M16" s="1590">
        <v>1.1881999999999999</v>
      </c>
      <c r="N16" s="1591"/>
    </row>
    <row r="17" spans="1:14">
      <c r="A17" s="1581">
        <v>1.5</v>
      </c>
      <c r="B17" s="1590">
        <v>1.2948</v>
      </c>
      <c r="C17" s="1590">
        <v>1.2948</v>
      </c>
      <c r="D17" s="1590">
        <v>1.2075</v>
      </c>
      <c r="E17" s="1590">
        <v>1.2075</v>
      </c>
      <c r="F17" s="1590">
        <v>1.2075</v>
      </c>
      <c r="G17" s="1590">
        <v>1.2075</v>
      </c>
      <c r="H17" s="1590">
        <v>1.2075</v>
      </c>
      <c r="I17" s="1590">
        <v>1.1486000000000001</v>
      </c>
      <c r="J17" s="1590">
        <v>1.1486000000000001</v>
      </c>
      <c r="K17" s="1590">
        <v>1.1486000000000001</v>
      </c>
      <c r="L17" s="1590">
        <v>1.1486000000000001</v>
      </c>
      <c r="M17" s="1590">
        <v>1.1486000000000001</v>
      </c>
      <c r="N17" s="1591"/>
    </row>
    <row r="18" spans="1:14">
      <c r="A18" s="1581">
        <v>1.6</v>
      </c>
      <c r="B18" s="1590">
        <v>1.2673000000000001</v>
      </c>
      <c r="C18" s="1590">
        <v>1.2673000000000001</v>
      </c>
      <c r="D18" s="1590">
        <v>1.1789000000000001</v>
      </c>
      <c r="E18" s="1590">
        <v>1.1789000000000001</v>
      </c>
      <c r="F18" s="1590">
        <v>1.1789000000000001</v>
      </c>
      <c r="G18" s="1590">
        <v>1.1789000000000001</v>
      </c>
      <c r="H18" s="1590">
        <v>1.1789000000000001</v>
      </c>
      <c r="I18" s="1590">
        <v>1.1134999999999999</v>
      </c>
      <c r="J18" s="1590">
        <v>1.1134999999999999</v>
      </c>
      <c r="K18" s="1590">
        <v>1.1134999999999999</v>
      </c>
      <c r="L18" s="1590">
        <v>1.1134999999999999</v>
      </c>
      <c r="M18" s="1590">
        <v>1.1134999999999999</v>
      </c>
    </row>
    <row r="19" spans="1:14">
      <c r="A19" s="1581">
        <v>1.7</v>
      </c>
      <c r="B19" s="1590">
        <v>1.2428999999999999</v>
      </c>
      <c r="C19" s="1590">
        <v>1.2428999999999999</v>
      </c>
      <c r="D19" s="1590">
        <v>1.1534</v>
      </c>
      <c r="E19" s="1590">
        <v>1.1534</v>
      </c>
      <c r="F19" s="1590">
        <v>1.1534</v>
      </c>
      <c r="G19" s="1590">
        <v>1.1534</v>
      </c>
      <c r="H19" s="1590">
        <v>1.1534</v>
      </c>
      <c r="I19" s="1590">
        <v>1.0820000000000001</v>
      </c>
      <c r="J19" s="1590">
        <v>1.0820000000000001</v>
      </c>
      <c r="K19" s="1590">
        <v>1.0820000000000001</v>
      </c>
      <c r="L19" s="1590">
        <v>1.0820000000000001</v>
      </c>
      <c r="M19" s="1590">
        <v>1.0820000000000001</v>
      </c>
    </row>
    <row r="20" spans="1:14">
      <c r="A20" s="1581">
        <v>1.8</v>
      </c>
      <c r="B20" s="1590">
        <v>1.2206999999999999</v>
      </c>
      <c r="C20" s="1590">
        <v>1.2206999999999999</v>
      </c>
      <c r="D20" s="1590">
        <v>1.1304000000000001</v>
      </c>
      <c r="E20" s="1590">
        <v>1.1304000000000001</v>
      </c>
      <c r="F20" s="1590">
        <v>1.1304000000000001</v>
      </c>
      <c r="G20" s="1590">
        <v>1.1304000000000001</v>
      </c>
      <c r="H20" s="1590">
        <v>1.1304000000000001</v>
      </c>
      <c r="I20" s="1590">
        <v>1.0531999999999999</v>
      </c>
      <c r="J20" s="1590">
        <v>1.0531999999999999</v>
      </c>
      <c r="K20" s="1590">
        <v>1.0531999999999999</v>
      </c>
      <c r="L20" s="1590">
        <v>1.0531999999999999</v>
      </c>
      <c r="M20" s="1590">
        <v>1.0531999999999999</v>
      </c>
    </row>
    <row r="21" spans="1:14">
      <c r="A21" s="1581">
        <v>1.9</v>
      </c>
      <c r="B21" s="1590">
        <v>1.2</v>
      </c>
      <c r="C21" s="1590">
        <v>1.2</v>
      </c>
      <c r="D21" s="1590">
        <v>1.1089</v>
      </c>
      <c r="E21" s="1590">
        <v>1.1089</v>
      </c>
      <c r="F21" s="1590">
        <v>1.1089</v>
      </c>
      <c r="G21" s="1590">
        <v>1.1089</v>
      </c>
      <c r="H21" s="1590">
        <v>1.1089</v>
      </c>
      <c r="I21" s="1590">
        <v>1.0261</v>
      </c>
      <c r="J21" s="1590">
        <v>1.0261</v>
      </c>
      <c r="K21" s="1590">
        <v>1.0261</v>
      </c>
      <c r="L21" s="1590">
        <v>1.0261</v>
      </c>
      <c r="M21" s="1590">
        <v>1.0261</v>
      </c>
    </row>
    <row r="22" spans="1:14">
      <c r="A22" s="1581">
        <v>2</v>
      </c>
      <c r="B22" s="1590">
        <v>1.1800999999999999</v>
      </c>
      <c r="C22" s="1590">
        <v>1.1800999999999999</v>
      </c>
      <c r="D22" s="1590">
        <v>1.0883</v>
      </c>
      <c r="E22" s="1590">
        <v>1.0883</v>
      </c>
      <c r="F22" s="1590">
        <v>1.0883</v>
      </c>
      <c r="G22" s="1590">
        <v>1.0883</v>
      </c>
      <c r="H22" s="1590">
        <v>1.0883</v>
      </c>
      <c r="I22" s="1590">
        <v>1</v>
      </c>
      <c r="J22" s="1590">
        <v>1</v>
      </c>
      <c r="K22" s="1590">
        <v>1</v>
      </c>
      <c r="L22" s="1590">
        <v>1</v>
      </c>
      <c r="M22" s="1590">
        <v>1</v>
      </c>
    </row>
    <row r="23" spans="1:14">
      <c r="A23" s="1604">
        <v>2.1</v>
      </c>
      <c r="B23" s="1590">
        <v>1.1616</v>
      </c>
      <c r="C23" s="1590">
        <v>1.1616</v>
      </c>
      <c r="D23" s="1590">
        <v>1.0685</v>
      </c>
      <c r="E23" s="1590">
        <v>1.0685</v>
      </c>
      <c r="F23" s="1590">
        <v>1.0685</v>
      </c>
      <c r="G23" s="1590">
        <v>1.0685</v>
      </c>
      <c r="H23" s="1590">
        <v>1.0685</v>
      </c>
      <c r="I23" s="1590">
        <v>0.97550000000000003</v>
      </c>
      <c r="J23" s="1590">
        <v>0.97550000000000003</v>
      </c>
      <c r="K23" s="1590">
        <v>0.97550000000000003</v>
      </c>
      <c r="L23" s="1590">
        <v>0.97550000000000003</v>
      </c>
      <c r="M23" s="1590">
        <v>0.97550000000000003</v>
      </c>
    </row>
    <row r="24" spans="1:14">
      <c r="A24" s="1604">
        <v>2.2000000000000002</v>
      </c>
      <c r="B24" s="1590">
        <v>1.1440999999999999</v>
      </c>
      <c r="C24" s="1590">
        <v>1.1440999999999999</v>
      </c>
      <c r="D24" s="1590">
        <v>1.0497000000000001</v>
      </c>
      <c r="E24" s="1590">
        <v>1.0497000000000001</v>
      </c>
      <c r="F24" s="1590">
        <v>1.0497000000000001</v>
      </c>
      <c r="G24" s="1590">
        <v>1.0497000000000001</v>
      </c>
      <c r="H24" s="1590">
        <v>1.0497000000000001</v>
      </c>
      <c r="I24" s="1590">
        <v>0.95230000000000004</v>
      </c>
      <c r="J24" s="1590">
        <v>0.95230000000000004</v>
      </c>
      <c r="K24" s="1590">
        <v>0.95230000000000004</v>
      </c>
      <c r="L24" s="1590">
        <v>0.95230000000000004</v>
      </c>
      <c r="M24" s="1590">
        <v>0.95230000000000004</v>
      </c>
    </row>
    <row r="25" spans="1:14">
      <c r="A25" s="1604">
        <v>2.2999999999999998</v>
      </c>
      <c r="B25" s="1590">
        <v>1.1275999999999999</v>
      </c>
      <c r="C25" s="1590">
        <v>1.1275999999999999</v>
      </c>
      <c r="D25" s="1590">
        <v>1.032</v>
      </c>
      <c r="E25" s="1590">
        <v>1.032</v>
      </c>
      <c r="F25" s="1590">
        <v>1.032</v>
      </c>
      <c r="G25" s="1590">
        <v>1.032</v>
      </c>
      <c r="H25" s="1590">
        <v>1.032</v>
      </c>
      <c r="I25" s="1590">
        <v>0.9304</v>
      </c>
      <c r="J25" s="1590">
        <v>0.9304</v>
      </c>
      <c r="K25" s="1590">
        <v>0.9304</v>
      </c>
      <c r="L25" s="1590">
        <v>0.9304</v>
      </c>
      <c r="M25" s="1590">
        <v>0.9304</v>
      </c>
    </row>
    <row r="26" spans="1:14">
      <c r="A26" s="1604">
        <v>2.4</v>
      </c>
      <c r="B26" s="1590">
        <v>1.1121000000000001</v>
      </c>
      <c r="C26" s="1590">
        <v>1.1121000000000001</v>
      </c>
      <c r="D26" s="1590">
        <v>1.0155000000000001</v>
      </c>
      <c r="E26" s="1590">
        <v>1.0155000000000001</v>
      </c>
      <c r="F26" s="1590">
        <v>1.0155000000000001</v>
      </c>
      <c r="G26" s="1590">
        <v>1.0155000000000001</v>
      </c>
      <c r="H26" s="1590">
        <v>1.0155000000000001</v>
      </c>
      <c r="I26" s="1590">
        <v>0.91</v>
      </c>
      <c r="J26" s="1590">
        <v>0.91</v>
      </c>
      <c r="K26" s="1590">
        <v>0.91</v>
      </c>
      <c r="L26" s="1590">
        <v>0.91</v>
      </c>
      <c r="M26" s="1590">
        <v>0.91</v>
      </c>
    </row>
    <row r="27" spans="1:14">
      <c r="A27" s="1604">
        <v>2.5</v>
      </c>
      <c r="B27" s="1590">
        <v>1.0975999999999999</v>
      </c>
      <c r="C27" s="1590">
        <v>1.0975999999999999</v>
      </c>
      <c r="D27" s="1590">
        <v>1</v>
      </c>
      <c r="E27" s="1590">
        <v>1</v>
      </c>
      <c r="F27" s="1590">
        <v>1</v>
      </c>
      <c r="G27" s="1590">
        <v>1</v>
      </c>
      <c r="H27" s="1590">
        <v>1</v>
      </c>
      <c r="I27" s="1590">
        <v>0.89080000000000004</v>
      </c>
      <c r="J27" s="1590">
        <v>0.89080000000000004</v>
      </c>
      <c r="K27" s="1590">
        <v>0.89080000000000004</v>
      </c>
      <c r="L27" s="1590">
        <v>0.89080000000000004</v>
      </c>
      <c r="M27" s="1590">
        <v>0.89080000000000004</v>
      </c>
    </row>
    <row r="28" spans="1:14">
      <c r="A28" s="1604">
        <v>2.6</v>
      </c>
      <c r="B28" s="1590">
        <v>1.0841000000000001</v>
      </c>
      <c r="C28" s="1590">
        <v>1.0841000000000001</v>
      </c>
      <c r="D28" s="1590">
        <v>0.98619999999999997</v>
      </c>
      <c r="E28" s="1590">
        <v>0.98619999999999997</v>
      </c>
      <c r="F28" s="1590">
        <v>0.98619999999999997</v>
      </c>
      <c r="G28" s="1590">
        <v>0.98619999999999997</v>
      </c>
      <c r="H28" s="1590">
        <v>0.98619999999999997</v>
      </c>
      <c r="I28" s="1590">
        <v>0.873</v>
      </c>
      <c r="J28" s="1590">
        <v>0.873</v>
      </c>
      <c r="K28" s="1590">
        <v>0.873</v>
      </c>
      <c r="L28" s="1590">
        <v>0.873</v>
      </c>
      <c r="M28" s="1590">
        <v>0.873</v>
      </c>
    </row>
    <row r="29" spans="1:14">
      <c r="A29" s="1604">
        <v>2.7</v>
      </c>
      <c r="B29" s="1590">
        <v>1.0716000000000001</v>
      </c>
      <c r="C29" s="1590">
        <v>1.0716000000000001</v>
      </c>
      <c r="D29" s="1590">
        <v>0.97330000000000005</v>
      </c>
      <c r="E29" s="1590">
        <v>0.97330000000000005</v>
      </c>
      <c r="F29" s="1590">
        <v>0.97330000000000005</v>
      </c>
      <c r="G29" s="1590">
        <v>0.97330000000000005</v>
      </c>
      <c r="H29" s="1590">
        <v>0.97330000000000005</v>
      </c>
      <c r="I29" s="1590">
        <v>0.85670000000000002</v>
      </c>
      <c r="J29" s="1590">
        <v>0.85670000000000002</v>
      </c>
      <c r="K29" s="1590">
        <v>0.85670000000000002</v>
      </c>
      <c r="L29" s="1590">
        <v>0.85670000000000002</v>
      </c>
      <c r="M29" s="1590">
        <v>0.85670000000000002</v>
      </c>
    </row>
    <row r="30" spans="1:14">
      <c r="A30" s="1604">
        <v>2.8</v>
      </c>
      <c r="B30" s="1590">
        <v>1.0602</v>
      </c>
      <c r="C30" s="1590">
        <v>1.0602</v>
      </c>
      <c r="D30" s="1590">
        <v>0.96160000000000001</v>
      </c>
      <c r="E30" s="1590">
        <v>0.96160000000000001</v>
      </c>
      <c r="F30" s="1590">
        <v>0.96160000000000001</v>
      </c>
      <c r="G30" s="1590">
        <v>0.96160000000000001</v>
      </c>
      <c r="H30" s="1590">
        <v>0.96160000000000001</v>
      </c>
      <c r="I30" s="1590">
        <v>0.8417</v>
      </c>
      <c r="J30" s="1590">
        <v>0.8417</v>
      </c>
      <c r="K30" s="1590">
        <v>0.8417</v>
      </c>
      <c r="L30" s="1590">
        <v>0.8417</v>
      </c>
      <c r="M30" s="1590">
        <v>0.8417</v>
      </c>
    </row>
    <row r="31" spans="1:14">
      <c r="A31" s="1604">
        <v>2.9</v>
      </c>
      <c r="B31" s="1590">
        <v>1.0497000000000001</v>
      </c>
      <c r="C31" s="1590">
        <v>1.0497000000000001</v>
      </c>
      <c r="D31" s="1590">
        <v>0.95089999999999997</v>
      </c>
      <c r="E31" s="1590">
        <v>0.95089999999999997</v>
      </c>
      <c r="F31" s="1590">
        <v>0.95089999999999997</v>
      </c>
      <c r="G31" s="1590">
        <v>0.95089999999999997</v>
      </c>
      <c r="H31" s="1590">
        <v>0.95089999999999997</v>
      </c>
      <c r="I31" s="1590">
        <v>0.82809999999999995</v>
      </c>
      <c r="J31" s="1590">
        <v>0.82809999999999995</v>
      </c>
      <c r="K31" s="1590">
        <v>0.82809999999999995</v>
      </c>
      <c r="L31" s="1590">
        <v>0.82809999999999995</v>
      </c>
      <c r="M31" s="1590">
        <v>0.82809999999999995</v>
      </c>
    </row>
    <row r="32" spans="1:14">
      <c r="A32" s="1604">
        <v>3</v>
      </c>
      <c r="B32" s="1590">
        <v>1.0401</v>
      </c>
      <c r="C32" s="1590">
        <v>1.0401</v>
      </c>
      <c r="D32" s="1590">
        <v>0.94089999999999996</v>
      </c>
      <c r="E32" s="1590">
        <v>0.94089999999999996</v>
      </c>
      <c r="F32" s="1590">
        <v>0.94089999999999996</v>
      </c>
      <c r="G32" s="1590">
        <v>0.94089999999999996</v>
      </c>
      <c r="H32" s="1590">
        <v>0.94089999999999996</v>
      </c>
      <c r="I32" s="1590">
        <v>0.81579999999999997</v>
      </c>
      <c r="J32" s="1590">
        <v>0.81579999999999997</v>
      </c>
      <c r="K32" s="1590">
        <v>0.81579999999999997</v>
      </c>
      <c r="L32" s="1590">
        <v>0.81579999999999997</v>
      </c>
      <c r="M32" s="1590">
        <v>0.81579999999999997</v>
      </c>
    </row>
    <row r="33" spans="1:13">
      <c r="A33" s="1604">
        <v>3.1</v>
      </c>
      <c r="B33" s="1590">
        <v>1.0314000000000001</v>
      </c>
      <c r="C33" s="1590">
        <v>1.0314000000000001</v>
      </c>
      <c r="D33" s="1590">
        <v>0.93169999999999997</v>
      </c>
      <c r="E33" s="1590">
        <v>0.93169999999999997</v>
      </c>
      <c r="F33" s="1590">
        <v>0.93169999999999997</v>
      </c>
      <c r="G33" s="1590">
        <v>0.93169999999999997</v>
      </c>
      <c r="H33" s="1590">
        <v>0.93169999999999997</v>
      </c>
      <c r="I33" s="1590">
        <v>0.80410000000000004</v>
      </c>
      <c r="J33" s="1590">
        <v>0.80410000000000004</v>
      </c>
      <c r="K33" s="1590">
        <v>0.80410000000000004</v>
      </c>
      <c r="L33" s="1590">
        <v>0.80410000000000004</v>
      </c>
      <c r="M33" s="1590">
        <v>0.80410000000000004</v>
      </c>
    </row>
    <row r="34" spans="1:13">
      <c r="A34" s="1604">
        <v>3.2</v>
      </c>
      <c r="B34" s="1590">
        <v>1.0229999999999999</v>
      </c>
      <c r="C34" s="1590">
        <v>1.0229999999999999</v>
      </c>
      <c r="D34" s="1590">
        <v>0.92279999999999995</v>
      </c>
      <c r="E34" s="1590">
        <v>0.92279999999999995</v>
      </c>
      <c r="F34" s="1590">
        <v>0.92279999999999995</v>
      </c>
      <c r="G34" s="1590">
        <v>0.92279999999999995</v>
      </c>
      <c r="H34" s="1590">
        <v>0.92279999999999995</v>
      </c>
      <c r="I34" s="1590">
        <v>0.79300000000000004</v>
      </c>
      <c r="J34" s="1590">
        <v>0.79300000000000004</v>
      </c>
      <c r="K34" s="1590">
        <v>0.79300000000000004</v>
      </c>
      <c r="L34" s="1590">
        <v>0.79300000000000004</v>
      </c>
      <c r="M34" s="1590">
        <v>0.79300000000000004</v>
      </c>
    </row>
    <row r="35" spans="1:13">
      <c r="A35" s="1604">
        <v>3.3</v>
      </c>
      <c r="B35" s="1590">
        <v>1.0149999999999999</v>
      </c>
      <c r="C35" s="1590">
        <v>1.0149999999999999</v>
      </c>
      <c r="D35" s="1590">
        <v>0.91439999999999999</v>
      </c>
      <c r="E35" s="1590">
        <v>0.91439999999999999</v>
      </c>
      <c r="F35" s="1590">
        <v>0.91439999999999999</v>
      </c>
      <c r="G35" s="1590">
        <v>0.91439999999999999</v>
      </c>
      <c r="H35" s="1590">
        <v>0.91439999999999999</v>
      </c>
      <c r="I35" s="1590">
        <v>0.78220000000000001</v>
      </c>
      <c r="J35" s="1590">
        <v>0.78220000000000001</v>
      </c>
      <c r="K35" s="1590">
        <v>0.78220000000000001</v>
      </c>
      <c r="L35" s="1590">
        <v>0.78220000000000001</v>
      </c>
      <c r="M35" s="1590">
        <v>0.78220000000000001</v>
      </c>
    </row>
    <row r="36" spans="1:13">
      <c r="A36" s="1604">
        <v>3.4</v>
      </c>
      <c r="B36" s="1590">
        <v>1.0073000000000001</v>
      </c>
      <c r="C36" s="1590">
        <v>1.0073000000000001</v>
      </c>
      <c r="D36" s="1590">
        <v>0.90629999999999999</v>
      </c>
      <c r="E36" s="1590">
        <v>0.90629999999999999</v>
      </c>
      <c r="F36" s="1590">
        <v>0.90629999999999999</v>
      </c>
      <c r="G36" s="1590">
        <v>0.90629999999999999</v>
      </c>
      <c r="H36" s="1590">
        <v>0.90629999999999999</v>
      </c>
      <c r="I36" s="1590">
        <v>0.77210000000000001</v>
      </c>
      <c r="J36" s="1590">
        <v>0.77210000000000001</v>
      </c>
      <c r="K36" s="1590">
        <v>0.77210000000000001</v>
      </c>
      <c r="L36" s="1590">
        <v>0.77210000000000001</v>
      </c>
      <c r="M36" s="1590">
        <v>0.77210000000000001</v>
      </c>
    </row>
    <row r="37" spans="1:13">
      <c r="A37" s="1604">
        <v>3.5</v>
      </c>
      <c r="B37" s="1590">
        <v>1</v>
      </c>
      <c r="C37" s="1590">
        <v>1</v>
      </c>
      <c r="D37" s="1590">
        <v>0.89870000000000005</v>
      </c>
      <c r="E37" s="1590">
        <v>0.89870000000000005</v>
      </c>
      <c r="F37" s="1590">
        <v>0.89870000000000005</v>
      </c>
      <c r="G37" s="1590">
        <v>0.89870000000000005</v>
      </c>
      <c r="H37" s="1590">
        <v>0.89870000000000005</v>
      </c>
      <c r="I37" s="1590">
        <v>0.76239999999999997</v>
      </c>
      <c r="J37" s="1590">
        <v>0.76239999999999997</v>
      </c>
      <c r="K37" s="1590">
        <v>0.76239999999999997</v>
      </c>
      <c r="L37" s="1590">
        <v>0.76239999999999997</v>
      </c>
      <c r="M37" s="1590">
        <v>0.76239999999999997</v>
      </c>
    </row>
    <row r="38" spans="1:13">
      <c r="A38" s="1604">
        <v>3.6</v>
      </c>
      <c r="B38" s="1590">
        <v>0.99329999999999996</v>
      </c>
      <c r="C38" s="1590">
        <v>0.99329999999999996</v>
      </c>
      <c r="D38" s="1590">
        <v>0.89139999999999997</v>
      </c>
      <c r="E38" s="1590">
        <v>0.89139999999999997</v>
      </c>
      <c r="F38" s="1590">
        <v>0.89139999999999997</v>
      </c>
      <c r="G38" s="1590">
        <v>0.89139999999999997</v>
      </c>
      <c r="H38" s="1590">
        <v>0.89139999999999997</v>
      </c>
      <c r="I38" s="1590">
        <v>0.75319999999999998</v>
      </c>
      <c r="J38" s="1590">
        <v>0.75319999999999998</v>
      </c>
      <c r="K38" s="1590">
        <v>0.75319999999999998</v>
      </c>
      <c r="L38" s="1590">
        <v>0.75319999999999998</v>
      </c>
      <c r="M38" s="1590">
        <v>0.75319999999999998</v>
      </c>
    </row>
    <row r="39" spans="1:13">
      <c r="A39" s="1604">
        <v>3.7</v>
      </c>
      <c r="B39" s="1590">
        <v>0.9869</v>
      </c>
      <c r="C39" s="1590">
        <v>0.9869</v>
      </c>
      <c r="D39" s="1590">
        <v>0.88449999999999995</v>
      </c>
      <c r="E39" s="1590">
        <v>0.88449999999999995</v>
      </c>
      <c r="F39" s="1590">
        <v>0.88449999999999995</v>
      </c>
      <c r="G39" s="1590">
        <v>0.88449999999999995</v>
      </c>
      <c r="H39" s="1590">
        <v>0.88449999999999995</v>
      </c>
      <c r="I39" s="1590">
        <v>0.74460000000000004</v>
      </c>
      <c r="J39" s="1590">
        <v>0.74460000000000004</v>
      </c>
      <c r="K39" s="1590">
        <v>0.74460000000000004</v>
      </c>
      <c r="L39" s="1590">
        <v>0.74460000000000004</v>
      </c>
      <c r="M39" s="1590">
        <v>0.74460000000000004</v>
      </c>
    </row>
    <row r="40" spans="1:13">
      <c r="A40" s="1604">
        <v>3.8</v>
      </c>
      <c r="B40" s="1590">
        <v>0.98080000000000001</v>
      </c>
      <c r="C40" s="1590">
        <v>0.98080000000000001</v>
      </c>
      <c r="D40" s="1590">
        <v>0.87809999999999999</v>
      </c>
      <c r="E40" s="1590">
        <v>0.87809999999999999</v>
      </c>
      <c r="F40" s="1590">
        <v>0.87809999999999999</v>
      </c>
      <c r="G40" s="1590">
        <v>0.87809999999999999</v>
      </c>
      <c r="H40" s="1590">
        <v>0.87809999999999999</v>
      </c>
      <c r="I40" s="1590">
        <v>0.73640000000000005</v>
      </c>
      <c r="J40" s="1590">
        <v>0.73640000000000005</v>
      </c>
      <c r="K40" s="1590">
        <v>0.73640000000000005</v>
      </c>
      <c r="L40" s="1590">
        <v>0.73640000000000005</v>
      </c>
      <c r="M40" s="1590">
        <v>0.73640000000000005</v>
      </c>
    </row>
    <row r="41" spans="1:13">
      <c r="A41" s="1604">
        <v>3.9</v>
      </c>
      <c r="B41" s="1590">
        <v>0.97509999999999997</v>
      </c>
      <c r="C41" s="1590">
        <v>0.97509999999999997</v>
      </c>
      <c r="D41" s="1590">
        <v>0.87209999999999999</v>
      </c>
      <c r="E41" s="1590">
        <v>0.87209999999999999</v>
      </c>
      <c r="F41" s="1590">
        <v>0.87209999999999999</v>
      </c>
      <c r="G41" s="1590">
        <v>0.87209999999999999</v>
      </c>
      <c r="H41" s="1590">
        <v>0.87209999999999999</v>
      </c>
      <c r="I41" s="1590">
        <v>0.7288</v>
      </c>
      <c r="J41" s="1590">
        <v>0.7288</v>
      </c>
      <c r="K41" s="1590">
        <v>0.7288</v>
      </c>
      <c r="L41" s="1590">
        <v>0.7288</v>
      </c>
      <c r="M41" s="1590">
        <v>0.7288</v>
      </c>
    </row>
    <row r="42" spans="1:13">
      <c r="A42" s="1604">
        <v>4</v>
      </c>
      <c r="B42" s="1590">
        <v>0.96989999999999998</v>
      </c>
      <c r="C42" s="1590">
        <v>0.96989999999999998</v>
      </c>
      <c r="D42" s="1590">
        <v>0.86650000000000005</v>
      </c>
      <c r="E42" s="1590">
        <v>0.86650000000000005</v>
      </c>
      <c r="F42" s="1590">
        <v>0.86650000000000005</v>
      </c>
      <c r="G42" s="1590">
        <v>0.86650000000000005</v>
      </c>
      <c r="H42" s="1590">
        <v>0.86650000000000005</v>
      </c>
      <c r="I42" s="1590">
        <v>0.7218</v>
      </c>
      <c r="J42" s="1590">
        <v>0.7218</v>
      </c>
      <c r="K42" s="1590">
        <v>0.7218</v>
      </c>
      <c r="L42" s="1590">
        <v>0.7218</v>
      </c>
      <c r="M42" s="1590">
        <v>0.7218</v>
      </c>
    </row>
    <row r="43" spans="1:13">
      <c r="A43" s="1604">
        <v>4.0999999999999996</v>
      </c>
      <c r="B43" s="1590">
        <v>0.96479999999999999</v>
      </c>
      <c r="C43" s="1590">
        <v>0.96479999999999999</v>
      </c>
      <c r="D43" s="1590">
        <v>0.86109999999999998</v>
      </c>
      <c r="E43" s="1590">
        <v>0.86109999999999998</v>
      </c>
      <c r="F43" s="1590">
        <v>0.86109999999999998</v>
      </c>
      <c r="G43" s="1590">
        <v>0.86109999999999998</v>
      </c>
      <c r="H43" s="1590">
        <v>0.86109999999999998</v>
      </c>
      <c r="I43" s="1590">
        <v>0.71499999999999997</v>
      </c>
      <c r="J43" s="1590">
        <v>0.71499999999999997</v>
      </c>
      <c r="K43" s="1590">
        <v>0.71499999999999997</v>
      </c>
      <c r="L43" s="1590">
        <v>0.71499999999999997</v>
      </c>
      <c r="M43" s="1590">
        <v>0.71499999999999997</v>
      </c>
    </row>
    <row r="44" spans="1:13">
      <c r="A44" s="1604">
        <v>4.2</v>
      </c>
      <c r="B44" s="1590">
        <v>0.96</v>
      </c>
      <c r="C44" s="1590">
        <v>0.96</v>
      </c>
      <c r="D44" s="1590">
        <v>0.85599999999999998</v>
      </c>
      <c r="E44" s="1590">
        <v>0.85599999999999998</v>
      </c>
      <c r="F44" s="1590">
        <v>0.85599999999999998</v>
      </c>
      <c r="G44" s="1590">
        <v>0.85599999999999998</v>
      </c>
      <c r="H44" s="1590">
        <v>0.85599999999999998</v>
      </c>
      <c r="I44" s="1590">
        <v>0.70840000000000003</v>
      </c>
      <c r="J44" s="1590">
        <v>0.70840000000000003</v>
      </c>
      <c r="K44" s="1590">
        <v>0.70840000000000003</v>
      </c>
      <c r="L44" s="1590">
        <v>0.70840000000000003</v>
      </c>
      <c r="M44" s="1590">
        <v>0.70840000000000003</v>
      </c>
    </row>
    <row r="45" spans="1:13">
      <c r="A45" s="1604">
        <v>4.3</v>
      </c>
      <c r="B45" s="1590">
        <v>0.95530000000000004</v>
      </c>
      <c r="C45" s="1590">
        <v>0.95530000000000004</v>
      </c>
      <c r="D45" s="1590">
        <v>0.85099999999999998</v>
      </c>
      <c r="E45" s="1590">
        <v>0.85099999999999998</v>
      </c>
      <c r="F45" s="1590">
        <v>0.85099999999999998</v>
      </c>
      <c r="G45" s="1590">
        <v>0.85099999999999998</v>
      </c>
      <c r="H45" s="1590">
        <v>0.85099999999999998</v>
      </c>
      <c r="I45" s="1590">
        <v>0.70199999999999996</v>
      </c>
      <c r="J45" s="1590">
        <v>0.70199999999999996</v>
      </c>
      <c r="K45" s="1590">
        <v>0.70199999999999996</v>
      </c>
      <c r="L45" s="1590">
        <v>0.70199999999999996</v>
      </c>
      <c r="M45" s="1590">
        <v>0.70199999999999996</v>
      </c>
    </row>
    <row r="46" spans="1:13">
      <c r="A46" s="1604">
        <v>4.4000000000000004</v>
      </c>
      <c r="B46" s="1590">
        <v>0.95079999999999998</v>
      </c>
      <c r="C46" s="1590">
        <v>0.95079999999999998</v>
      </c>
      <c r="D46" s="1590">
        <v>0.84619999999999995</v>
      </c>
      <c r="E46" s="1590">
        <v>0.84619999999999995</v>
      </c>
      <c r="F46" s="1590">
        <v>0.84619999999999995</v>
      </c>
      <c r="G46" s="1590">
        <v>0.84619999999999995</v>
      </c>
      <c r="H46" s="1590">
        <v>0.84619999999999995</v>
      </c>
      <c r="I46" s="1590">
        <v>0.69579999999999997</v>
      </c>
      <c r="J46" s="1590">
        <v>0.69579999999999997</v>
      </c>
      <c r="K46" s="1590">
        <v>0.69579999999999997</v>
      </c>
      <c r="L46" s="1590">
        <v>0.69579999999999997</v>
      </c>
      <c r="M46" s="1590">
        <v>0.69579999999999997</v>
      </c>
    </row>
    <row r="47" spans="1:13">
      <c r="A47" s="1604">
        <v>4.5</v>
      </c>
      <c r="B47" s="1590">
        <v>0.94640000000000002</v>
      </c>
      <c r="C47" s="1590">
        <v>0.94640000000000002</v>
      </c>
      <c r="D47" s="1590">
        <v>0.84150000000000003</v>
      </c>
      <c r="E47" s="1590">
        <v>0.84150000000000003</v>
      </c>
      <c r="F47" s="1590">
        <v>0.84150000000000003</v>
      </c>
      <c r="G47" s="1590">
        <v>0.84150000000000003</v>
      </c>
      <c r="H47" s="1590">
        <v>0.84150000000000003</v>
      </c>
      <c r="I47" s="1590">
        <v>0.68989999999999996</v>
      </c>
      <c r="J47" s="1590">
        <v>0.68989999999999996</v>
      </c>
      <c r="K47" s="1590">
        <v>0.68989999999999996</v>
      </c>
      <c r="L47" s="1590">
        <v>0.68989999999999996</v>
      </c>
      <c r="M47" s="1590">
        <v>0.68989999999999996</v>
      </c>
    </row>
    <row r="48" spans="1:13">
      <c r="A48" s="1604">
        <v>4.5999999999999996</v>
      </c>
      <c r="B48" s="1590">
        <v>0.94230000000000003</v>
      </c>
      <c r="C48" s="1590">
        <v>0.94230000000000003</v>
      </c>
      <c r="D48" s="1590">
        <v>0.83709999999999996</v>
      </c>
      <c r="E48" s="1590">
        <v>0.83709999999999996</v>
      </c>
      <c r="F48" s="1590">
        <v>0.83709999999999996</v>
      </c>
      <c r="G48" s="1590">
        <v>0.83709999999999996</v>
      </c>
      <c r="H48" s="1590">
        <v>0.83709999999999996</v>
      </c>
      <c r="I48" s="1590">
        <v>0.68430000000000002</v>
      </c>
      <c r="J48" s="1590">
        <v>0.68430000000000002</v>
      </c>
      <c r="K48" s="1590">
        <v>0.68430000000000002</v>
      </c>
      <c r="L48" s="1590">
        <v>0.68430000000000002</v>
      </c>
      <c r="M48" s="1590">
        <v>0.68430000000000002</v>
      </c>
    </row>
    <row r="49" spans="1:13">
      <c r="A49" s="1604">
        <v>4.7</v>
      </c>
      <c r="B49" s="1590">
        <v>0.93830000000000002</v>
      </c>
      <c r="C49" s="1590">
        <v>0.93830000000000002</v>
      </c>
      <c r="D49" s="1590">
        <v>0.83279999999999998</v>
      </c>
      <c r="E49" s="1590">
        <v>0.83279999999999998</v>
      </c>
      <c r="F49" s="1590">
        <v>0.83279999999999998</v>
      </c>
      <c r="G49" s="1590">
        <v>0.83279999999999998</v>
      </c>
      <c r="H49" s="1590">
        <v>0.83279999999999998</v>
      </c>
      <c r="I49" s="1590">
        <v>0.67879999999999996</v>
      </c>
      <c r="J49" s="1590">
        <v>0.67879999999999996</v>
      </c>
      <c r="K49" s="1590">
        <v>0.67879999999999996</v>
      </c>
      <c r="L49" s="1590">
        <v>0.67879999999999996</v>
      </c>
      <c r="M49" s="1590">
        <v>0.67879999999999996</v>
      </c>
    </row>
    <row r="50" spans="1:13">
      <c r="A50" s="1604">
        <v>4.8</v>
      </c>
      <c r="B50" s="1590">
        <v>0.9345</v>
      </c>
      <c r="C50" s="1590">
        <v>0.9345</v>
      </c>
      <c r="D50" s="1590">
        <v>0.82869999999999999</v>
      </c>
      <c r="E50" s="1590">
        <v>0.82869999999999999</v>
      </c>
      <c r="F50" s="1590">
        <v>0.82869999999999999</v>
      </c>
      <c r="G50" s="1590">
        <v>0.82869999999999999</v>
      </c>
      <c r="H50" s="1590">
        <v>0.82869999999999999</v>
      </c>
      <c r="I50" s="1590">
        <v>0.67359999999999998</v>
      </c>
      <c r="J50" s="1590">
        <v>0.67359999999999998</v>
      </c>
      <c r="K50" s="1590">
        <v>0.67359999999999998</v>
      </c>
      <c r="L50" s="1590">
        <v>0.67359999999999998</v>
      </c>
      <c r="M50" s="1590">
        <v>0.67359999999999998</v>
      </c>
    </row>
    <row r="51" spans="1:13">
      <c r="A51" s="1604">
        <v>4.9000000000000004</v>
      </c>
      <c r="B51" s="1590">
        <v>0.93079999999999996</v>
      </c>
      <c r="C51" s="1590">
        <v>0.93079999999999996</v>
      </c>
      <c r="D51" s="1590">
        <v>0.82479999999999998</v>
      </c>
      <c r="E51" s="1590">
        <v>0.82479999999999998</v>
      </c>
      <c r="F51" s="1590">
        <v>0.82479999999999998</v>
      </c>
      <c r="G51" s="1590">
        <v>0.82479999999999998</v>
      </c>
      <c r="H51" s="1590">
        <v>0.82479999999999998</v>
      </c>
      <c r="I51" s="1590">
        <v>0.66849999999999998</v>
      </c>
      <c r="J51" s="1590">
        <v>0.66849999999999998</v>
      </c>
      <c r="K51" s="1590">
        <v>0.66849999999999998</v>
      </c>
      <c r="L51" s="1590">
        <v>0.66849999999999998</v>
      </c>
      <c r="M51" s="1590">
        <v>0.66849999999999998</v>
      </c>
    </row>
    <row r="52" spans="1:13">
      <c r="A52" s="1604">
        <v>5</v>
      </c>
      <c r="B52" s="1590">
        <v>0.9274</v>
      </c>
      <c r="C52" s="1590">
        <v>0.9274</v>
      </c>
      <c r="D52" s="1590">
        <v>0.82110000000000005</v>
      </c>
      <c r="E52" s="1590">
        <v>0.82110000000000005</v>
      </c>
      <c r="F52" s="1590">
        <v>0.82110000000000005</v>
      </c>
      <c r="G52" s="1590">
        <v>0.82110000000000005</v>
      </c>
      <c r="H52" s="1590">
        <v>0.82110000000000005</v>
      </c>
      <c r="I52" s="1590">
        <v>0.66369999999999996</v>
      </c>
      <c r="J52" s="1590">
        <v>0.66369999999999996</v>
      </c>
      <c r="K52" s="1590">
        <v>0.66369999999999996</v>
      </c>
      <c r="L52" s="1590">
        <v>0.66369999999999996</v>
      </c>
      <c r="M52" s="1590">
        <v>0.66369999999999996</v>
      </c>
    </row>
    <row r="53" spans="1:13">
      <c r="A53" s="1581">
        <v>5.0999999999999996</v>
      </c>
      <c r="B53" s="1590">
        <v>0.92410000000000003</v>
      </c>
      <c r="C53" s="1590">
        <v>0.92410000000000003</v>
      </c>
      <c r="D53" s="1590">
        <v>0.8175</v>
      </c>
      <c r="E53" s="1590">
        <v>0.8175</v>
      </c>
      <c r="F53" s="1590">
        <v>0.8175</v>
      </c>
      <c r="G53" s="1590">
        <v>0.8175</v>
      </c>
      <c r="H53" s="1590">
        <v>0.8175</v>
      </c>
      <c r="I53" s="1590">
        <v>0.65900000000000003</v>
      </c>
      <c r="J53" s="1590">
        <v>0.65900000000000003</v>
      </c>
      <c r="K53" s="1590">
        <v>0.65900000000000003</v>
      </c>
      <c r="L53" s="1590">
        <v>0.65900000000000003</v>
      </c>
      <c r="M53" s="1590">
        <v>0.65900000000000003</v>
      </c>
    </row>
    <row r="54" spans="1:13">
      <c r="A54" s="1581">
        <v>5.2</v>
      </c>
      <c r="B54" s="1590">
        <v>0.92090000000000005</v>
      </c>
      <c r="C54" s="1590">
        <v>0.92090000000000005</v>
      </c>
      <c r="D54" s="1590">
        <v>0.81399999999999995</v>
      </c>
      <c r="E54" s="1590">
        <v>0.81399999999999995</v>
      </c>
      <c r="F54" s="1590">
        <v>0.81399999999999995</v>
      </c>
      <c r="G54" s="1590">
        <v>0.81399999999999995</v>
      </c>
      <c r="H54" s="1590">
        <v>0.81399999999999995</v>
      </c>
      <c r="I54" s="1590">
        <v>0.65449999999999997</v>
      </c>
      <c r="J54" s="1590">
        <v>0.65449999999999997</v>
      </c>
      <c r="K54" s="1590">
        <v>0.65449999999999997</v>
      </c>
      <c r="L54" s="1590">
        <v>0.65449999999999997</v>
      </c>
      <c r="M54" s="1590">
        <v>0.65449999999999997</v>
      </c>
    </row>
    <row r="55" spans="1:13">
      <c r="A55" s="1581">
        <v>5.3</v>
      </c>
      <c r="B55" s="1590">
        <v>0.91790000000000005</v>
      </c>
      <c r="C55" s="1590">
        <v>0.91790000000000005</v>
      </c>
      <c r="D55" s="1590">
        <v>0.81059999999999999</v>
      </c>
      <c r="E55" s="1590">
        <v>0.81059999999999999</v>
      </c>
      <c r="F55" s="1590">
        <v>0.81059999999999999</v>
      </c>
      <c r="G55" s="1590">
        <v>0.81059999999999999</v>
      </c>
      <c r="H55" s="1590">
        <v>0.81059999999999999</v>
      </c>
      <c r="I55" s="1590">
        <v>0.6502</v>
      </c>
      <c r="J55" s="1590">
        <v>0.6502</v>
      </c>
      <c r="K55" s="1590">
        <v>0.6502</v>
      </c>
      <c r="L55" s="1590">
        <v>0.6502</v>
      </c>
      <c r="M55" s="1590">
        <v>0.6502</v>
      </c>
    </row>
    <row r="56" spans="1:13">
      <c r="A56" s="1581">
        <v>5.4</v>
      </c>
      <c r="B56" s="1590">
        <v>0.91490000000000005</v>
      </c>
      <c r="C56" s="1590">
        <v>0.91490000000000005</v>
      </c>
      <c r="D56" s="1590">
        <v>0.80740000000000001</v>
      </c>
      <c r="E56" s="1590">
        <v>0.80740000000000001</v>
      </c>
      <c r="F56" s="1590">
        <v>0.80740000000000001</v>
      </c>
      <c r="G56" s="1590">
        <v>0.80740000000000001</v>
      </c>
      <c r="H56" s="1590">
        <v>0.80740000000000001</v>
      </c>
      <c r="I56" s="1590">
        <v>0.64590000000000003</v>
      </c>
      <c r="J56" s="1590">
        <v>0.64590000000000003</v>
      </c>
      <c r="K56" s="1590">
        <v>0.64590000000000003</v>
      </c>
      <c r="L56" s="1590">
        <v>0.64590000000000003</v>
      </c>
      <c r="M56" s="1590">
        <v>0.64590000000000003</v>
      </c>
    </row>
    <row r="57" spans="1:13">
      <c r="A57" s="1581">
        <v>5.5</v>
      </c>
      <c r="B57" s="1590">
        <v>0.91200000000000003</v>
      </c>
      <c r="C57" s="1590">
        <v>0.91200000000000003</v>
      </c>
      <c r="D57" s="1590">
        <v>0.80420000000000003</v>
      </c>
      <c r="E57" s="1590">
        <v>0.80420000000000003</v>
      </c>
      <c r="F57" s="1590">
        <v>0.80420000000000003</v>
      </c>
      <c r="G57" s="1590">
        <v>0.80420000000000003</v>
      </c>
      <c r="H57" s="1590">
        <v>0.80420000000000003</v>
      </c>
      <c r="I57" s="1590">
        <v>0.64180000000000004</v>
      </c>
      <c r="J57" s="1590">
        <v>0.64180000000000004</v>
      </c>
      <c r="K57" s="1590">
        <v>0.64180000000000004</v>
      </c>
      <c r="L57" s="1590">
        <v>0.64180000000000004</v>
      </c>
      <c r="M57" s="1590">
        <v>0.64180000000000004</v>
      </c>
    </row>
    <row r="58" spans="1:13">
      <c r="A58" s="1581">
        <v>5.6</v>
      </c>
      <c r="B58" s="1590">
        <v>0.90910000000000002</v>
      </c>
      <c r="C58" s="1590">
        <v>0.90910000000000002</v>
      </c>
      <c r="D58" s="1590">
        <v>0.80120000000000002</v>
      </c>
      <c r="E58" s="1590">
        <v>0.80120000000000002</v>
      </c>
      <c r="F58" s="1590">
        <v>0.80120000000000002</v>
      </c>
      <c r="G58" s="1590">
        <v>0.80120000000000002</v>
      </c>
      <c r="H58" s="1590">
        <v>0.80120000000000002</v>
      </c>
      <c r="I58" s="1590">
        <v>0.63790000000000002</v>
      </c>
      <c r="J58" s="1590">
        <v>0.63790000000000002</v>
      </c>
      <c r="K58" s="1590">
        <v>0.63790000000000002</v>
      </c>
      <c r="L58" s="1590">
        <v>0.63790000000000002</v>
      </c>
      <c r="M58" s="1590">
        <v>0.63790000000000002</v>
      </c>
    </row>
    <row r="59" spans="1:13">
      <c r="A59" s="1604">
        <v>5.7</v>
      </c>
      <c r="B59" s="1590">
        <v>0.90639999999999998</v>
      </c>
      <c r="C59" s="1590">
        <v>0.90639999999999998</v>
      </c>
      <c r="D59" s="1590">
        <v>0.79820000000000002</v>
      </c>
      <c r="E59" s="1590">
        <v>0.79820000000000002</v>
      </c>
      <c r="F59" s="1590">
        <v>0.79820000000000002</v>
      </c>
      <c r="G59" s="1590">
        <v>0.79820000000000002</v>
      </c>
      <c r="H59" s="1590">
        <v>0.79820000000000002</v>
      </c>
      <c r="I59" s="1590">
        <v>0.6341</v>
      </c>
      <c r="J59" s="1590">
        <v>0.6341</v>
      </c>
      <c r="K59" s="1590">
        <v>0.6341</v>
      </c>
      <c r="L59" s="1590">
        <v>0.6341</v>
      </c>
      <c r="M59" s="1590">
        <v>0.6341</v>
      </c>
    </row>
    <row r="60" spans="1:13">
      <c r="A60" s="1581">
        <v>5.8</v>
      </c>
      <c r="B60" s="1590">
        <v>0.90380000000000005</v>
      </c>
      <c r="C60" s="1590">
        <v>0.90380000000000005</v>
      </c>
      <c r="D60" s="1590">
        <v>0.7954</v>
      </c>
      <c r="E60" s="1590">
        <v>0.7954</v>
      </c>
      <c r="F60" s="1590">
        <v>0.7954</v>
      </c>
      <c r="G60" s="1590">
        <v>0.7954</v>
      </c>
      <c r="H60" s="1590">
        <v>0.7954</v>
      </c>
      <c r="I60" s="1590">
        <v>0.63039999999999996</v>
      </c>
      <c r="J60" s="1590">
        <v>0.63039999999999996</v>
      </c>
      <c r="K60" s="1590">
        <v>0.63039999999999996</v>
      </c>
      <c r="L60" s="1590">
        <v>0.63039999999999996</v>
      </c>
      <c r="M60" s="1590">
        <v>0.63039999999999996</v>
      </c>
    </row>
    <row r="61" spans="1:13">
      <c r="A61" s="1581">
        <v>5.9</v>
      </c>
      <c r="B61" s="1590">
        <v>0.90129999999999999</v>
      </c>
      <c r="C61" s="1590">
        <v>0.90129999999999999</v>
      </c>
      <c r="D61" s="1590">
        <v>0.79269999999999996</v>
      </c>
      <c r="E61" s="1590">
        <v>0.79269999999999996</v>
      </c>
      <c r="F61" s="1590">
        <v>0.79269999999999996</v>
      </c>
      <c r="G61" s="1590">
        <v>0.79269999999999996</v>
      </c>
      <c r="H61" s="1590">
        <v>0.79269999999999996</v>
      </c>
      <c r="I61" s="1590">
        <v>0.62690000000000001</v>
      </c>
      <c r="J61" s="1590">
        <v>0.62690000000000001</v>
      </c>
      <c r="K61" s="1590">
        <v>0.62690000000000001</v>
      </c>
      <c r="L61" s="1590">
        <v>0.62690000000000001</v>
      </c>
      <c r="M61" s="1590">
        <v>0.62690000000000001</v>
      </c>
    </row>
    <row r="62" spans="1:13">
      <c r="A62" s="1581">
        <v>6</v>
      </c>
      <c r="B62" s="1590">
        <v>0.89890000000000003</v>
      </c>
      <c r="C62" s="1590">
        <v>0.89890000000000003</v>
      </c>
      <c r="D62" s="1590">
        <v>0.79020000000000001</v>
      </c>
      <c r="E62" s="1590">
        <v>0.79020000000000001</v>
      </c>
      <c r="F62" s="1590">
        <v>0.79020000000000001</v>
      </c>
      <c r="G62" s="1590">
        <v>0.79020000000000001</v>
      </c>
      <c r="H62" s="1590">
        <v>0.79020000000000001</v>
      </c>
      <c r="I62" s="1590">
        <v>0.62350000000000005</v>
      </c>
      <c r="J62" s="1590">
        <v>0.62350000000000005</v>
      </c>
      <c r="K62" s="1590">
        <v>0.62350000000000005</v>
      </c>
      <c r="L62" s="1590">
        <v>0.62350000000000005</v>
      </c>
      <c r="M62" s="1590">
        <v>0.62350000000000005</v>
      </c>
    </row>
    <row r="63" spans="1:13">
      <c r="A63" s="1581">
        <v>6.1</v>
      </c>
      <c r="B63" s="1590">
        <v>0.89649999999999996</v>
      </c>
      <c r="C63" s="1590">
        <v>0.89649999999999996</v>
      </c>
      <c r="D63" s="1590">
        <v>0.78769999999999996</v>
      </c>
      <c r="E63" s="1590">
        <v>0.78769999999999996</v>
      </c>
      <c r="F63" s="1590">
        <v>0.78769999999999996</v>
      </c>
      <c r="G63" s="1590">
        <v>0.78769999999999996</v>
      </c>
      <c r="H63" s="1590">
        <v>0.78769999999999996</v>
      </c>
      <c r="I63" s="1590">
        <v>0.62029999999999996</v>
      </c>
      <c r="J63" s="1590">
        <v>0.62029999999999996</v>
      </c>
      <c r="K63" s="1590">
        <v>0.62029999999999996</v>
      </c>
      <c r="L63" s="1590">
        <v>0.62029999999999996</v>
      </c>
      <c r="M63" s="1590">
        <v>0.62029999999999996</v>
      </c>
    </row>
    <row r="64" spans="1:13">
      <c r="A64" s="1581">
        <v>6.2</v>
      </c>
      <c r="B64" s="1590">
        <v>0.89429999999999998</v>
      </c>
      <c r="C64" s="1590">
        <v>0.89429999999999998</v>
      </c>
      <c r="D64" s="1590">
        <v>0.78520000000000001</v>
      </c>
      <c r="E64" s="1590">
        <v>0.78520000000000001</v>
      </c>
      <c r="F64" s="1590">
        <v>0.78520000000000001</v>
      </c>
      <c r="G64" s="1590">
        <v>0.78520000000000001</v>
      </c>
      <c r="H64" s="1590">
        <v>0.78520000000000001</v>
      </c>
      <c r="I64" s="1590">
        <v>0.61719999999999997</v>
      </c>
      <c r="J64" s="1590">
        <v>0.61719999999999997</v>
      </c>
      <c r="K64" s="1590">
        <v>0.61719999999999997</v>
      </c>
      <c r="L64" s="1590">
        <v>0.61719999999999997</v>
      </c>
      <c r="M64" s="1590">
        <v>0.61719999999999997</v>
      </c>
    </row>
    <row r="65" spans="1:13">
      <c r="A65" s="1581">
        <v>6.3</v>
      </c>
      <c r="B65" s="1590">
        <v>0.89200000000000002</v>
      </c>
      <c r="C65" s="1590">
        <v>0.89200000000000002</v>
      </c>
      <c r="D65" s="1590">
        <v>0.78280000000000005</v>
      </c>
      <c r="E65" s="1590">
        <v>0.78280000000000005</v>
      </c>
      <c r="F65" s="1590">
        <v>0.78280000000000005</v>
      </c>
      <c r="G65" s="1590">
        <v>0.78280000000000005</v>
      </c>
      <c r="H65" s="1590">
        <v>0.78280000000000005</v>
      </c>
      <c r="I65" s="1590">
        <v>0.61409999999999998</v>
      </c>
      <c r="J65" s="1590">
        <v>0.61409999999999998</v>
      </c>
      <c r="K65" s="1590">
        <v>0.61409999999999998</v>
      </c>
      <c r="L65" s="1590">
        <v>0.61409999999999998</v>
      </c>
      <c r="M65" s="1590">
        <v>0.61409999999999998</v>
      </c>
    </row>
    <row r="66" spans="1:13">
      <c r="A66" s="1581">
        <v>6.4</v>
      </c>
      <c r="B66" s="1590">
        <v>0.88990000000000002</v>
      </c>
      <c r="C66" s="1590">
        <v>0.88990000000000002</v>
      </c>
      <c r="D66" s="1590">
        <v>0.78039999999999998</v>
      </c>
      <c r="E66" s="1590">
        <v>0.78039999999999998</v>
      </c>
      <c r="F66" s="1590">
        <v>0.78039999999999998</v>
      </c>
      <c r="G66" s="1590">
        <v>0.78039999999999998</v>
      </c>
      <c r="H66" s="1590">
        <v>0.78039999999999998</v>
      </c>
      <c r="I66" s="1590">
        <v>0.61099999999999999</v>
      </c>
      <c r="J66" s="1590">
        <v>0.61099999999999999</v>
      </c>
      <c r="K66" s="1590">
        <v>0.61099999999999999</v>
      </c>
      <c r="L66" s="1590">
        <v>0.61099999999999999</v>
      </c>
      <c r="M66" s="1590">
        <v>0.61099999999999999</v>
      </c>
    </row>
    <row r="67" spans="1:13">
      <c r="A67" s="1581">
        <v>6.5</v>
      </c>
      <c r="B67" s="1590">
        <v>0.88780000000000003</v>
      </c>
      <c r="C67" s="1590">
        <v>0.88780000000000003</v>
      </c>
      <c r="D67" s="1590">
        <v>0.77810000000000001</v>
      </c>
      <c r="E67" s="1590">
        <v>0.77810000000000001</v>
      </c>
      <c r="F67" s="1590">
        <v>0.77810000000000001</v>
      </c>
      <c r="G67" s="1590">
        <v>0.77810000000000001</v>
      </c>
      <c r="H67" s="1590">
        <v>0.77810000000000001</v>
      </c>
      <c r="I67" s="1590">
        <v>0.60799999999999998</v>
      </c>
      <c r="J67" s="1590">
        <v>0.60799999999999998</v>
      </c>
      <c r="K67" s="1590">
        <v>0.60799999999999998</v>
      </c>
      <c r="L67" s="1590">
        <v>0.60799999999999998</v>
      </c>
      <c r="M67" s="1590">
        <v>0.60799999999999998</v>
      </c>
    </row>
    <row r="68" spans="1:13">
      <c r="A68" s="1581">
        <v>6.6</v>
      </c>
      <c r="B68" s="1590">
        <v>0.88580000000000003</v>
      </c>
      <c r="C68" s="1590">
        <v>0.88580000000000003</v>
      </c>
      <c r="D68" s="1590">
        <v>0.77580000000000005</v>
      </c>
      <c r="E68" s="1590">
        <v>0.77580000000000005</v>
      </c>
      <c r="F68" s="1590">
        <v>0.77580000000000005</v>
      </c>
      <c r="G68" s="1590">
        <v>0.77580000000000005</v>
      </c>
      <c r="H68" s="1590">
        <v>0.77580000000000005</v>
      </c>
      <c r="I68" s="1590">
        <v>0.60499999999999998</v>
      </c>
      <c r="J68" s="1590">
        <v>0.60499999999999998</v>
      </c>
      <c r="K68" s="1590">
        <v>0.60499999999999998</v>
      </c>
      <c r="L68" s="1590">
        <v>0.60499999999999998</v>
      </c>
      <c r="M68" s="1590">
        <v>0.60499999999999998</v>
      </c>
    </row>
    <row r="69" spans="1:13">
      <c r="A69" s="1581">
        <v>6.7</v>
      </c>
      <c r="B69" s="1590">
        <v>0.88380000000000003</v>
      </c>
      <c r="C69" s="1590">
        <v>0.88380000000000003</v>
      </c>
      <c r="D69" s="1590">
        <v>0.77359999999999995</v>
      </c>
      <c r="E69" s="1590">
        <v>0.77359999999999995</v>
      </c>
      <c r="F69" s="1590">
        <v>0.77359999999999995</v>
      </c>
      <c r="G69" s="1590">
        <v>0.77359999999999995</v>
      </c>
      <c r="H69" s="1590">
        <v>0.77359999999999995</v>
      </c>
      <c r="I69" s="1590">
        <v>0.60209999999999997</v>
      </c>
      <c r="J69" s="1590">
        <v>0.60209999999999997</v>
      </c>
      <c r="K69" s="1590">
        <v>0.60209999999999997</v>
      </c>
      <c r="L69" s="1590">
        <v>0.60209999999999997</v>
      </c>
      <c r="M69" s="1590">
        <v>0.60209999999999997</v>
      </c>
    </row>
    <row r="70" spans="1:13">
      <c r="A70" s="1581">
        <v>6.8</v>
      </c>
      <c r="B70" s="1590">
        <v>0.88190000000000002</v>
      </c>
      <c r="C70" s="1590">
        <v>0.88190000000000002</v>
      </c>
      <c r="D70" s="1590">
        <v>0.77159999999999995</v>
      </c>
      <c r="E70" s="1590">
        <v>0.77159999999999995</v>
      </c>
      <c r="F70" s="1590">
        <v>0.77159999999999995</v>
      </c>
      <c r="G70" s="1590">
        <v>0.77159999999999995</v>
      </c>
      <c r="H70" s="1590">
        <v>0.77159999999999995</v>
      </c>
      <c r="I70" s="1590">
        <v>0.59930000000000005</v>
      </c>
      <c r="J70" s="1590">
        <v>0.59930000000000005</v>
      </c>
      <c r="K70" s="1590">
        <v>0.59930000000000005</v>
      </c>
      <c r="L70" s="1590">
        <v>0.59930000000000005</v>
      </c>
      <c r="M70" s="1590">
        <v>0.59930000000000005</v>
      </c>
    </row>
    <row r="71" spans="1:13">
      <c r="A71" s="1581">
        <v>6.9</v>
      </c>
      <c r="B71" s="1590">
        <v>0.88</v>
      </c>
      <c r="C71" s="1590">
        <v>0.88</v>
      </c>
      <c r="D71" s="1590">
        <v>0.76949999999999996</v>
      </c>
      <c r="E71" s="1590">
        <v>0.76949999999999996</v>
      </c>
      <c r="F71" s="1590">
        <v>0.76949999999999996</v>
      </c>
      <c r="G71" s="1590">
        <v>0.76949999999999996</v>
      </c>
      <c r="H71" s="1590">
        <v>0.76949999999999996</v>
      </c>
      <c r="I71" s="1590">
        <v>0.59640000000000004</v>
      </c>
      <c r="J71" s="1590">
        <v>0.59640000000000004</v>
      </c>
      <c r="K71" s="1590">
        <v>0.59640000000000004</v>
      </c>
      <c r="L71" s="1590">
        <v>0.59640000000000004</v>
      </c>
      <c r="M71" s="1590">
        <v>0.59640000000000004</v>
      </c>
    </row>
    <row r="72" spans="1:13">
      <c r="A72" s="1581">
        <v>7</v>
      </c>
      <c r="B72" s="1590">
        <v>0.87819999999999998</v>
      </c>
      <c r="C72" s="1590">
        <v>0.87819999999999998</v>
      </c>
      <c r="D72" s="1590">
        <v>0.76749999999999996</v>
      </c>
      <c r="E72" s="1590">
        <v>0.76749999999999996</v>
      </c>
      <c r="F72" s="1590">
        <v>0.76749999999999996</v>
      </c>
      <c r="G72" s="1590">
        <v>0.76749999999999996</v>
      </c>
      <c r="H72" s="1590">
        <v>0.76749999999999996</v>
      </c>
      <c r="I72" s="1590">
        <v>0.59360000000000002</v>
      </c>
      <c r="J72" s="1590">
        <v>0.59360000000000002</v>
      </c>
      <c r="K72" s="1590">
        <v>0.59360000000000002</v>
      </c>
      <c r="L72" s="1590">
        <v>0.59360000000000002</v>
      </c>
      <c r="M72" s="1590">
        <v>0.59360000000000002</v>
      </c>
    </row>
    <row r="73" spans="1:13">
      <c r="A73" s="1581">
        <v>7.1</v>
      </c>
      <c r="B73" s="1590">
        <v>0.87660000000000005</v>
      </c>
      <c r="C73" s="1590">
        <v>0.87660000000000005</v>
      </c>
      <c r="D73" s="1590">
        <v>0.76570000000000005</v>
      </c>
      <c r="E73" s="1590">
        <v>0.76570000000000005</v>
      </c>
      <c r="F73" s="1590">
        <v>0.76570000000000005</v>
      </c>
      <c r="G73" s="1590">
        <v>0.76570000000000005</v>
      </c>
      <c r="H73" s="1590">
        <v>0.76570000000000005</v>
      </c>
      <c r="I73" s="1590">
        <v>0.59109999999999996</v>
      </c>
      <c r="J73" s="1590">
        <v>0.59109999999999996</v>
      </c>
      <c r="K73" s="1590">
        <v>0.59109999999999996</v>
      </c>
      <c r="L73" s="1590">
        <v>0.59109999999999996</v>
      </c>
      <c r="M73" s="1590">
        <v>0.59109999999999996</v>
      </c>
    </row>
    <row r="74" spans="1:13">
      <c r="A74" s="1581">
        <v>7.2</v>
      </c>
      <c r="B74" s="1590">
        <v>0.87490000000000001</v>
      </c>
      <c r="C74" s="1590">
        <v>0.87490000000000001</v>
      </c>
      <c r="D74" s="1590">
        <v>0.76380000000000003</v>
      </c>
      <c r="E74" s="1590">
        <v>0.76380000000000003</v>
      </c>
      <c r="F74" s="1590">
        <v>0.76380000000000003</v>
      </c>
      <c r="G74" s="1590">
        <v>0.76380000000000003</v>
      </c>
      <c r="H74" s="1590">
        <v>0.76380000000000003</v>
      </c>
      <c r="I74" s="1590">
        <v>0.58860000000000001</v>
      </c>
      <c r="J74" s="1590">
        <v>0.58860000000000001</v>
      </c>
      <c r="K74" s="1590">
        <v>0.58860000000000001</v>
      </c>
      <c r="L74" s="1590">
        <v>0.58860000000000001</v>
      </c>
      <c r="M74" s="1590">
        <v>0.58860000000000001</v>
      </c>
    </row>
    <row r="75" spans="1:13">
      <c r="A75" s="1581">
        <v>7.3</v>
      </c>
      <c r="B75" s="1590">
        <v>0.87329999999999997</v>
      </c>
      <c r="C75" s="1590">
        <v>0.87329999999999997</v>
      </c>
      <c r="D75" s="1590">
        <v>0.76200000000000001</v>
      </c>
      <c r="E75" s="1590">
        <v>0.76200000000000001</v>
      </c>
      <c r="F75" s="1590">
        <v>0.76200000000000001</v>
      </c>
      <c r="G75" s="1590">
        <v>0.76200000000000001</v>
      </c>
      <c r="H75" s="1590">
        <v>0.76200000000000001</v>
      </c>
      <c r="I75" s="1590">
        <v>0.58620000000000005</v>
      </c>
      <c r="J75" s="1590">
        <v>0.58620000000000005</v>
      </c>
      <c r="K75" s="1590">
        <v>0.58620000000000005</v>
      </c>
      <c r="L75" s="1590">
        <v>0.58620000000000005</v>
      </c>
      <c r="M75" s="1590">
        <v>0.58620000000000005</v>
      </c>
    </row>
    <row r="76" spans="1:13">
      <c r="A76" s="1581">
        <v>7.4</v>
      </c>
      <c r="B76" s="1590">
        <v>0.87160000000000004</v>
      </c>
      <c r="C76" s="1590">
        <v>0.87160000000000004</v>
      </c>
      <c r="D76" s="1590">
        <v>0.76029999999999998</v>
      </c>
      <c r="E76" s="1590">
        <v>0.76029999999999998</v>
      </c>
      <c r="F76" s="1590">
        <v>0.76029999999999998</v>
      </c>
      <c r="G76" s="1590">
        <v>0.76029999999999998</v>
      </c>
      <c r="H76" s="1590">
        <v>0.76029999999999998</v>
      </c>
      <c r="I76" s="1590">
        <v>0.58379999999999999</v>
      </c>
      <c r="J76" s="1590">
        <v>0.58379999999999999</v>
      </c>
      <c r="K76" s="1590">
        <v>0.58379999999999999</v>
      </c>
      <c r="L76" s="1590">
        <v>0.58379999999999999</v>
      </c>
      <c r="M76" s="1590">
        <v>0.58379999999999999</v>
      </c>
    </row>
    <row r="77" spans="1:13">
      <c r="A77" s="1581">
        <v>7.5</v>
      </c>
      <c r="B77" s="1590">
        <v>0.87</v>
      </c>
      <c r="C77" s="1590">
        <v>0.87</v>
      </c>
      <c r="D77" s="1590">
        <v>0.75849999999999995</v>
      </c>
      <c r="E77" s="1590">
        <v>0.75849999999999995</v>
      </c>
      <c r="F77" s="1590">
        <v>0.75849999999999995</v>
      </c>
      <c r="G77" s="1590">
        <v>0.75849999999999995</v>
      </c>
      <c r="H77" s="1590">
        <v>0.75849999999999995</v>
      </c>
      <c r="I77" s="1590">
        <v>0.58140000000000003</v>
      </c>
      <c r="J77" s="1590">
        <v>0.58140000000000003</v>
      </c>
      <c r="K77" s="1590">
        <v>0.58140000000000003</v>
      </c>
      <c r="L77" s="1590">
        <v>0.58140000000000003</v>
      </c>
      <c r="M77" s="1590">
        <v>0.58140000000000003</v>
      </c>
    </row>
    <row r="78" spans="1:13">
      <c r="A78" s="1581">
        <v>7.6</v>
      </c>
      <c r="B78" s="1590">
        <v>0.86839999999999995</v>
      </c>
      <c r="C78" s="1590">
        <v>0.86839999999999995</v>
      </c>
      <c r="D78" s="1590">
        <v>0.75680000000000003</v>
      </c>
      <c r="E78" s="1590">
        <v>0.75680000000000003</v>
      </c>
      <c r="F78" s="1590">
        <v>0.75680000000000003</v>
      </c>
      <c r="G78" s="1590">
        <v>0.75680000000000003</v>
      </c>
      <c r="H78" s="1590">
        <v>0.75680000000000003</v>
      </c>
      <c r="I78" s="1590">
        <v>0.57899999999999996</v>
      </c>
      <c r="J78" s="1590">
        <v>0.57899999999999996</v>
      </c>
      <c r="K78" s="1590">
        <v>0.57899999999999996</v>
      </c>
      <c r="L78" s="1590">
        <v>0.57899999999999996</v>
      </c>
      <c r="M78" s="1590">
        <v>0.57899999999999996</v>
      </c>
    </row>
    <row r="79" spans="1:13">
      <c r="A79" s="1581">
        <v>7.7</v>
      </c>
      <c r="B79" s="1590">
        <v>0.8669</v>
      </c>
      <c r="C79" s="1590">
        <v>0.8669</v>
      </c>
      <c r="D79" s="1590">
        <v>0.755</v>
      </c>
      <c r="E79" s="1590">
        <v>0.755</v>
      </c>
      <c r="F79" s="1590">
        <v>0.755</v>
      </c>
      <c r="G79" s="1590">
        <v>0.755</v>
      </c>
      <c r="H79" s="1590">
        <v>0.755</v>
      </c>
      <c r="I79" s="1590">
        <v>0.57669999999999999</v>
      </c>
      <c r="J79" s="1590">
        <v>0.57669999999999999</v>
      </c>
      <c r="K79" s="1590">
        <v>0.57669999999999999</v>
      </c>
      <c r="L79" s="1590">
        <v>0.57669999999999999</v>
      </c>
      <c r="M79" s="1590">
        <v>0.57669999999999999</v>
      </c>
    </row>
    <row r="80" spans="1:13">
      <c r="A80" s="1581">
        <v>7.8</v>
      </c>
      <c r="B80" s="1590">
        <v>0.86539999999999995</v>
      </c>
      <c r="C80" s="1590">
        <v>0.86539999999999995</v>
      </c>
      <c r="D80" s="1590">
        <v>0.75329999999999997</v>
      </c>
      <c r="E80" s="1590">
        <v>0.75329999999999997</v>
      </c>
      <c r="F80" s="1590">
        <v>0.75329999999999997</v>
      </c>
      <c r="G80" s="1590">
        <v>0.75329999999999997</v>
      </c>
      <c r="H80" s="1590">
        <v>0.75329999999999997</v>
      </c>
      <c r="I80" s="1590">
        <v>0.57450000000000001</v>
      </c>
      <c r="J80" s="1590">
        <v>0.57450000000000001</v>
      </c>
      <c r="K80" s="1590">
        <v>0.57450000000000001</v>
      </c>
      <c r="L80" s="1590">
        <v>0.57450000000000001</v>
      </c>
      <c r="M80" s="1590">
        <v>0.57450000000000001</v>
      </c>
    </row>
    <row r="81" spans="1:13">
      <c r="A81" s="1581">
        <v>7.9</v>
      </c>
      <c r="B81" s="1590">
        <v>0.86380000000000001</v>
      </c>
      <c r="C81" s="1590">
        <v>0.86380000000000001</v>
      </c>
      <c r="D81" s="1590">
        <v>0.75170000000000003</v>
      </c>
      <c r="E81" s="1590">
        <v>0.75170000000000003</v>
      </c>
      <c r="F81" s="1590">
        <v>0.75170000000000003</v>
      </c>
      <c r="G81" s="1590">
        <v>0.75170000000000003</v>
      </c>
      <c r="H81" s="1590">
        <v>0.75170000000000003</v>
      </c>
      <c r="I81" s="1590">
        <v>0.57220000000000004</v>
      </c>
      <c r="J81" s="1590">
        <v>0.57220000000000004</v>
      </c>
      <c r="K81" s="1590">
        <v>0.57220000000000004</v>
      </c>
      <c r="L81" s="1590">
        <v>0.57220000000000004</v>
      </c>
      <c r="M81" s="1590">
        <v>0.57220000000000004</v>
      </c>
    </row>
    <row r="82" spans="1:13">
      <c r="A82" s="1581">
        <v>8</v>
      </c>
      <c r="B82" s="1590">
        <v>0.86240000000000006</v>
      </c>
      <c r="C82" s="1590">
        <v>0.86240000000000006</v>
      </c>
      <c r="D82" s="1590">
        <v>0.75</v>
      </c>
      <c r="E82" s="1590">
        <v>0.75</v>
      </c>
      <c r="F82" s="1590">
        <v>0.75</v>
      </c>
      <c r="G82" s="1590">
        <v>0.75</v>
      </c>
      <c r="H82" s="1590">
        <v>0.75</v>
      </c>
      <c r="I82" s="1590">
        <v>0.56989999999999996</v>
      </c>
      <c r="J82" s="1590">
        <v>0.56989999999999996</v>
      </c>
      <c r="K82" s="1590">
        <v>0.56989999999999996</v>
      </c>
      <c r="L82" s="1590">
        <v>0.56989999999999996</v>
      </c>
      <c r="M82" s="1590">
        <v>0.56989999999999996</v>
      </c>
    </row>
    <row r="83" spans="1:13">
      <c r="A83" s="1581">
        <v>8.1</v>
      </c>
      <c r="B83" s="1590">
        <v>0.86099999999999999</v>
      </c>
      <c r="C83" s="1590">
        <v>0.86099999999999999</v>
      </c>
      <c r="D83" s="1590">
        <v>0.74850000000000005</v>
      </c>
      <c r="E83" s="1590">
        <v>0.74850000000000005</v>
      </c>
      <c r="F83" s="1590">
        <v>0.74850000000000005</v>
      </c>
      <c r="G83" s="1590">
        <v>0.74850000000000005</v>
      </c>
      <c r="H83" s="1590">
        <v>0.74850000000000005</v>
      </c>
      <c r="I83" s="1590">
        <v>0.56779999999999997</v>
      </c>
      <c r="J83" s="1590">
        <v>0.56779999999999997</v>
      </c>
      <c r="K83" s="1590">
        <v>0.56779999999999997</v>
      </c>
      <c r="L83" s="1590">
        <v>0.56779999999999997</v>
      </c>
      <c r="M83" s="1590">
        <v>0.56779999999999997</v>
      </c>
    </row>
    <row r="84" spans="1:13">
      <c r="A84" s="1581">
        <v>8.1999999999999993</v>
      </c>
      <c r="B84" s="1590">
        <v>0.85970000000000002</v>
      </c>
      <c r="C84" s="1590">
        <v>0.85970000000000002</v>
      </c>
      <c r="D84" s="1590">
        <v>0.747</v>
      </c>
      <c r="E84" s="1590">
        <v>0.747</v>
      </c>
      <c r="F84" s="1590">
        <v>0.747</v>
      </c>
      <c r="G84" s="1590">
        <v>0.747</v>
      </c>
      <c r="H84" s="1590">
        <v>0.747</v>
      </c>
      <c r="I84" s="1590">
        <v>0.56589999999999996</v>
      </c>
      <c r="J84" s="1590">
        <v>0.56589999999999996</v>
      </c>
      <c r="K84" s="1590">
        <v>0.56589999999999996</v>
      </c>
      <c r="L84" s="1590">
        <v>0.56589999999999996</v>
      </c>
      <c r="M84" s="1590">
        <v>0.56589999999999996</v>
      </c>
    </row>
    <row r="85" spans="1:13">
      <c r="A85" s="1581">
        <v>8.3000000000000007</v>
      </c>
      <c r="B85" s="1590">
        <v>0.85840000000000005</v>
      </c>
      <c r="C85" s="1590">
        <v>0.85840000000000005</v>
      </c>
      <c r="D85" s="1590">
        <v>0.74560000000000004</v>
      </c>
      <c r="E85" s="1590">
        <v>0.74560000000000004</v>
      </c>
      <c r="F85" s="1590">
        <v>0.74560000000000004</v>
      </c>
      <c r="G85" s="1590">
        <v>0.74560000000000004</v>
      </c>
      <c r="H85" s="1590">
        <v>0.74560000000000004</v>
      </c>
      <c r="I85" s="1590">
        <v>0.56389999999999996</v>
      </c>
      <c r="J85" s="1590">
        <v>0.56389999999999996</v>
      </c>
      <c r="K85" s="1590">
        <v>0.56389999999999996</v>
      </c>
      <c r="L85" s="1590">
        <v>0.56389999999999996</v>
      </c>
      <c r="M85" s="1590">
        <v>0.56389999999999996</v>
      </c>
    </row>
    <row r="86" spans="1:13">
      <c r="A86" s="1581">
        <v>8.4</v>
      </c>
      <c r="B86" s="1590">
        <v>0.85709999999999997</v>
      </c>
      <c r="C86" s="1590">
        <v>0.85709999999999997</v>
      </c>
      <c r="D86" s="1590">
        <v>0.74419999999999997</v>
      </c>
      <c r="E86" s="1590">
        <v>0.74419999999999997</v>
      </c>
      <c r="F86" s="1590">
        <v>0.74419999999999997</v>
      </c>
      <c r="G86" s="1590">
        <v>0.74419999999999997</v>
      </c>
      <c r="H86" s="1590">
        <v>0.74419999999999997</v>
      </c>
      <c r="I86" s="1590">
        <v>0.56189999999999996</v>
      </c>
      <c r="J86" s="1590">
        <v>0.56189999999999996</v>
      </c>
      <c r="K86" s="1590">
        <v>0.56189999999999996</v>
      </c>
      <c r="L86" s="1590">
        <v>0.56189999999999996</v>
      </c>
      <c r="M86" s="1590">
        <v>0.56189999999999996</v>
      </c>
    </row>
    <row r="87" spans="1:13">
      <c r="A87" s="1581">
        <v>8.5</v>
      </c>
      <c r="B87" s="1590">
        <v>0.85580000000000001</v>
      </c>
      <c r="C87" s="1590">
        <v>0.85580000000000001</v>
      </c>
      <c r="D87" s="1590">
        <v>0.74270000000000003</v>
      </c>
      <c r="E87" s="1590">
        <v>0.74270000000000003</v>
      </c>
      <c r="F87" s="1590">
        <v>0.74270000000000003</v>
      </c>
      <c r="G87" s="1590">
        <v>0.74270000000000003</v>
      </c>
      <c r="H87" s="1590">
        <v>0.74270000000000003</v>
      </c>
      <c r="I87" s="1590">
        <v>0.55989999999999995</v>
      </c>
      <c r="J87" s="1590">
        <v>0.55989999999999995</v>
      </c>
      <c r="K87" s="1590">
        <v>0.55989999999999995</v>
      </c>
      <c r="L87" s="1590">
        <v>0.55989999999999995</v>
      </c>
      <c r="M87" s="1590">
        <v>0.55989999999999995</v>
      </c>
    </row>
    <row r="88" spans="1:13">
      <c r="A88" s="1581">
        <v>8.6</v>
      </c>
      <c r="B88" s="1590">
        <v>0.85450000000000004</v>
      </c>
      <c r="C88" s="1590">
        <v>0.85450000000000004</v>
      </c>
      <c r="D88" s="1590">
        <v>0.74129999999999996</v>
      </c>
      <c r="E88" s="1590">
        <v>0.74129999999999996</v>
      </c>
      <c r="F88" s="1590">
        <v>0.74129999999999996</v>
      </c>
      <c r="G88" s="1590">
        <v>0.74129999999999996</v>
      </c>
      <c r="H88" s="1590">
        <v>0.74129999999999996</v>
      </c>
      <c r="I88" s="1590">
        <v>0.55800000000000005</v>
      </c>
      <c r="J88" s="1590">
        <v>0.55800000000000005</v>
      </c>
      <c r="K88" s="1590">
        <v>0.55800000000000005</v>
      </c>
      <c r="L88" s="1590">
        <v>0.55800000000000005</v>
      </c>
      <c r="M88" s="1590">
        <v>0.55800000000000005</v>
      </c>
    </row>
    <row r="89" spans="1:13">
      <c r="A89" s="1581">
        <v>8.6999999999999993</v>
      </c>
      <c r="B89" s="1590">
        <v>0.85329999999999995</v>
      </c>
      <c r="C89" s="1590">
        <v>0.85329999999999995</v>
      </c>
      <c r="D89" s="1590">
        <v>0.7399</v>
      </c>
      <c r="E89" s="1590">
        <v>0.7399</v>
      </c>
      <c r="F89" s="1590">
        <v>0.7399</v>
      </c>
      <c r="G89" s="1590">
        <v>0.7399</v>
      </c>
      <c r="H89" s="1590">
        <v>0.7399</v>
      </c>
      <c r="I89" s="1590">
        <v>0.55600000000000005</v>
      </c>
      <c r="J89" s="1590">
        <v>0.55600000000000005</v>
      </c>
      <c r="K89" s="1590">
        <v>0.55600000000000005</v>
      </c>
      <c r="L89" s="1590">
        <v>0.55600000000000005</v>
      </c>
      <c r="M89" s="1590">
        <v>0.55600000000000005</v>
      </c>
    </row>
    <row r="90" spans="1:13">
      <c r="A90" s="1581">
        <v>8.8000000000000007</v>
      </c>
      <c r="B90" s="1590">
        <v>0.85209999999999997</v>
      </c>
      <c r="C90" s="1590">
        <v>0.85209999999999997</v>
      </c>
      <c r="D90" s="1590">
        <v>0.73850000000000005</v>
      </c>
      <c r="E90" s="1590">
        <v>0.73850000000000005</v>
      </c>
      <c r="F90" s="1590">
        <v>0.73850000000000005</v>
      </c>
      <c r="G90" s="1590">
        <v>0.73850000000000005</v>
      </c>
      <c r="H90" s="1590">
        <v>0.73850000000000005</v>
      </c>
      <c r="I90" s="1590">
        <v>0.55420000000000003</v>
      </c>
      <c r="J90" s="1590">
        <v>0.55420000000000003</v>
      </c>
      <c r="K90" s="1590">
        <v>0.55420000000000003</v>
      </c>
      <c r="L90" s="1590">
        <v>0.55420000000000003</v>
      </c>
      <c r="M90" s="1590">
        <v>0.55420000000000003</v>
      </c>
    </row>
    <row r="91" spans="1:13">
      <c r="A91" s="1581">
        <v>8.9</v>
      </c>
      <c r="B91" s="1590">
        <v>0.85099999999999998</v>
      </c>
      <c r="C91" s="1590">
        <v>0.85099999999999998</v>
      </c>
      <c r="D91" s="1590">
        <v>0.73719999999999997</v>
      </c>
      <c r="E91" s="1590">
        <v>0.73719999999999997</v>
      </c>
      <c r="F91" s="1590">
        <v>0.73719999999999997</v>
      </c>
      <c r="G91" s="1590">
        <v>0.73719999999999997</v>
      </c>
      <c r="H91" s="1590">
        <v>0.73719999999999997</v>
      </c>
      <c r="I91" s="1590">
        <v>0.55230000000000001</v>
      </c>
      <c r="J91" s="1590">
        <v>0.55230000000000001</v>
      </c>
      <c r="K91" s="1590">
        <v>0.55230000000000001</v>
      </c>
      <c r="L91" s="1590">
        <v>0.55230000000000001</v>
      </c>
      <c r="M91" s="1590">
        <v>0.55230000000000001</v>
      </c>
    </row>
    <row r="92" spans="1:13">
      <c r="A92" s="1604">
        <v>9</v>
      </c>
      <c r="B92" s="1590">
        <v>0.8498</v>
      </c>
      <c r="C92" s="1590">
        <v>0.8498</v>
      </c>
      <c r="D92" s="1590">
        <v>0.7359</v>
      </c>
      <c r="E92" s="1590">
        <v>0.7359</v>
      </c>
      <c r="F92" s="1590">
        <v>0.7359</v>
      </c>
      <c r="G92" s="1590">
        <v>0.7359</v>
      </c>
      <c r="H92" s="1590">
        <v>0.7359</v>
      </c>
      <c r="I92" s="1590">
        <v>0.55049999999999999</v>
      </c>
      <c r="J92" s="1590">
        <v>0.55049999999999999</v>
      </c>
      <c r="K92" s="1590">
        <v>0.55049999999999999</v>
      </c>
      <c r="L92" s="1590">
        <v>0.55049999999999999</v>
      </c>
      <c r="M92" s="1590">
        <v>0.55049999999999999</v>
      </c>
    </row>
    <row r="93" spans="1:13">
      <c r="A93" s="1604">
        <v>9.1</v>
      </c>
      <c r="B93" s="1590">
        <v>0.84870000000000001</v>
      </c>
      <c r="C93" s="1590">
        <v>0.84870000000000001</v>
      </c>
      <c r="D93" s="1590">
        <v>0.73470000000000002</v>
      </c>
      <c r="E93" s="1590">
        <v>0.73470000000000002</v>
      </c>
      <c r="F93" s="1590">
        <v>0.73470000000000002</v>
      </c>
      <c r="G93" s="1590">
        <v>0.73470000000000002</v>
      </c>
      <c r="H93" s="1590">
        <v>0.73470000000000002</v>
      </c>
      <c r="I93" s="1590">
        <v>0.54879999999999995</v>
      </c>
      <c r="J93" s="1590">
        <v>0.54879999999999995</v>
      </c>
      <c r="K93" s="1590">
        <v>0.54879999999999995</v>
      </c>
      <c r="L93" s="1590">
        <v>0.54879999999999995</v>
      </c>
      <c r="M93" s="1590">
        <v>0.54879999999999995</v>
      </c>
    </row>
    <row r="94" spans="1:13">
      <c r="A94" s="1604">
        <v>9.1999999999999993</v>
      </c>
      <c r="B94" s="1590">
        <v>0.84770000000000001</v>
      </c>
      <c r="C94" s="1590">
        <v>0.84770000000000001</v>
      </c>
      <c r="D94" s="1590">
        <v>0.73350000000000004</v>
      </c>
      <c r="E94" s="1590">
        <v>0.73350000000000004</v>
      </c>
      <c r="F94" s="1590">
        <v>0.73350000000000004</v>
      </c>
      <c r="G94" s="1590">
        <v>0.73350000000000004</v>
      </c>
      <c r="H94" s="1590">
        <v>0.73350000000000004</v>
      </c>
      <c r="I94" s="1590">
        <v>0.54710000000000003</v>
      </c>
      <c r="J94" s="1590">
        <v>0.54710000000000003</v>
      </c>
      <c r="K94" s="1590">
        <v>0.54710000000000003</v>
      </c>
      <c r="L94" s="1590">
        <v>0.54710000000000003</v>
      </c>
      <c r="M94" s="1590">
        <v>0.54710000000000003</v>
      </c>
    </row>
    <row r="95" spans="1:13">
      <c r="A95" s="1604">
        <v>9.3000000000000007</v>
      </c>
      <c r="B95" s="1590">
        <v>0.84660000000000002</v>
      </c>
      <c r="C95" s="1590">
        <v>0.84660000000000002</v>
      </c>
      <c r="D95" s="1590">
        <v>0.73229999999999995</v>
      </c>
      <c r="E95" s="1590">
        <v>0.73229999999999995</v>
      </c>
      <c r="F95" s="1590">
        <v>0.73229999999999995</v>
      </c>
      <c r="G95" s="1590">
        <v>0.73229999999999995</v>
      </c>
      <c r="H95" s="1590">
        <v>0.73229999999999995</v>
      </c>
      <c r="I95" s="1590">
        <v>0.5454</v>
      </c>
      <c r="J95" s="1590">
        <v>0.5454</v>
      </c>
      <c r="K95" s="1590">
        <v>0.5454</v>
      </c>
      <c r="L95" s="1590">
        <v>0.5454</v>
      </c>
      <c r="M95" s="1590">
        <v>0.5454</v>
      </c>
    </row>
    <row r="96" spans="1:13">
      <c r="A96" s="1604">
        <v>9.4</v>
      </c>
      <c r="B96" s="1590">
        <v>0.84550000000000003</v>
      </c>
      <c r="C96" s="1590">
        <v>0.84550000000000003</v>
      </c>
      <c r="D96" s="1590">
        <v>0.73109999999999997</v>
      </c>
      <c r="E96" s="1590">
        <v>0.73109999999999997</v>
      </c>
      <c r="F96" s="1590">
        <v>0.73109999999999997</v>
      </c>
      <c r="G96" s="1590">
        <v>0.73109999999999997</v>
      </c>
      <c r="H96" s="1590">
        <v>0.73109999999999997</v>
      </c>
      <c r="I96" s="1590">
        <v>0.54369999999999996</v>
      </c>
      <c r="J96" s="1590">
        <v>0.54369999999999996</v>
      </c>
      <c r="K96" s="1590">
        <v>0.54369999999999996</v>
      </c>
      <c r="L96" s="1590">
        <v>0.54369999999999996</v>
      </c>
      <c r="M96" s="1590">
        <v>0.54369999999999996</v>
      </c>
    </row>
    <row r="97" spans="1:14">
      <c r="A97" s="1604">
        <v>9.5</v>
      </c>
      <c r="B97" s="1590">
        <v>0.84450000000000003</v>
      </c>
      <c r="C97" s="1590">
        <v>0.84450000000000003</v>
      </c>
      <c r="D97" s="1590">
        <v>0.72989999999999999</v>
      </c>
      <c r="E97" s="1590">
        <v>0.72989999999999999</v>
      </c>
      <c r="F97" s="1590">
        <v>0.72989999999999999</v>
      </c>
      <c r="G97" s="1590">
        <v>0.72989999999999999</v>
      </c>
      <c r="H97" s="1590">
        <v>0.72989999999999999</v>
      </c>
      <c r="I97" s="1590">
        <v>0.54200000000000004</v>
      </c>
      <c r="J97" s="1590">
        <v>0.54200000000000004</v>
      </c>
      <c r="K97" s="1590">
        <v>0.54200000000000004</v>
      </c>
      <c r="L97" s="1590">
        <v>0.54200000000000004</v>
      </c>
      <c r="M97" s="1590">
        <v>0.54200000000000004</v>
      </c>
    </row>
    <row r="98" spans="1:14">
      <c r="A98" s="1604">
        <v>9.6</v>
      </c>
      <c r="B98" s="1590">
        <v>0.84340000000000004</v>
      </c>
      <c r="C98" s="1590">
        <v>0.84340000000000004</v>
      </c>
      <c r="D98" s="1590">
        <v>0.72870000000000001</v>
      </c>
      <c r="E98" s="1590">
        <v>0.72870000000000001</v>
      </c>
      <c r="F98" s="1590">
        <v>0.72870000000000001</v>
      </c>
      <c r="G98" s="1590">
        <v>0.72870000000000001</v>
      </c>
      <c r="H98" s="1590">
        <v>0.72870000000000001</v>
      </c>
      <c r="I98" s="1590">
        <v>0.5403</v>
      </c>
      <c r="J98" s="1590">
        <v>0.5403</v>
      </c>
      <c r="K98" s="1590">
        <v>0.5403</v>
      </c>
      <c r="L98" s="1590">
        <v>0.5403</v>
      </c>
      <c r="M98" s="1590">
        <v>0.5403</v>
      </c>
    </row>
    <row r="99" spans="1:14">
      <c r="A99" s="1604">
        <v>9.6999999999999993</v>
      </c>
      <c r="B99" s="1590">
        <v>0.84230000000000005</v>
      </c>
      <c r="C99" s="1590">
        <v>0.84230000000000005</v>
      </c>
      <c r="D99" s="1590">
        <v>0.72750000000000004</v>
      </c>
      <c r="E99" s="1590">
        <v>0.72750000000000004</v>
      </c>
      <c r="F99" s="1590">
        <v>0.72750000000000004</v>
      </c>
      <c r="G99" s="1590">
        <v>0.72750000000000004</v>
      </c>
      <c r="H99" s="1590">
        <v>0.72750000000000004</v>
      </c>
      <c r="I99" s="1590">
        <v>0.53859999999999997</v>
      </c>
      <c r="J99" s="1590">
        <v>0.53859999999999997</v>
      </c>
      <c r="K99" s="1590">
        <v>0.53859999999999997</v>
      </c>
      <c r="L99" s="1590">
        <v>0.53859999999999997</v>
      </c>
      <c r="M99" s="1590">
        <v>0.53859999999999997</v>
      </c>
    </row>
    <row r="100" spans="1:14">
      <c r="A100" s="1604">
        <v>9.8000000000000007</v>
      </c>
      <c r="B100" s="1590">
        <v>0.84140000000000004</v>
      </c>
      <c r="C100" s="1590">
        <v>0.84140000000000004</v>
      </c>
      <c r="D100" s="1590">
        <v>0.72629999999999995</v>
      </c>
      <c r="E100" s="1590">
        <v>0.72629999999999995</v>
      </c>
      <c r="F100" s="1590">
        <v>0.72629999999999995</v>
      </c>
      <c r="G100" s="1590">
        <v>0.72629999999999995</v>
      </c>
      <c r="H100" s="1590">
        <v>0.72629999999999995</v>
      </c>
      <c r="I100" s="1590">
        <v>0.53710000000000002</v>
      </c>
      <c r="J100" s="1590">
        <v>0.53710000000000002</v>
      </c>
      <c r="K100" s="1590">
        <v>0.53710000000000002</v>
      </c>
      <c r="L100" s="1590">
        <v>0.53710000000000002</v>
      </c>
      <c r="M100" s="1590">
        <v>0.53710000000000002</v>
      </c>
    </row>
    <row r="101" spans="1:14">
      <c r="A101" s="1604">
        <v>9.9</v>
      </c>
      <c r="B101" s="1590">
        <v>0.84050000000000002</v>
      </c>
      <c r="C101" s="1590">
        <v>0.84050000000000002</v>
      </c>
      <c r="D101" s="1590">
        <v>0.72519999999999996</v>
      </c>
      <c r="E101" s="1590">
        <v>0.72519999999999996</v>
      </c>
      <c r="F101" s="1590">
        <v>0.72519999999999996</v>
      </c>
      <c r="G101" s="1590">
        <v>0.72519999999999996</v>
      </c>
      <c r="H101" s="1590">
        <v>0.72519999999999996</v>
      </c>
      <c r="I101" s="1590">
        <v>0.53549999999999998</v>
      </c>
      <c r="J101" s="1590">
        <v>0.53549999999999998</v>
      </c>
      <c r="K101" s="1590">
        <v>0.53549999999999998</v>
      </c>
      <c r="L101" s="1590">
        <v>0.53549999999999998</v>
      </c>
      <c r="M101" s="1590">
        <v>0.53549999999999998</v>
      </c>
    </row>
    <row r="102" spans="1:14">
      <c r="A102" s="1604">
        <v>10</v>
      </c>
      <c r="B102" s="1590">
        <v>0.83950000000000002</v>
      </c>
      <c r="C102" s="1590">
        <v>0.83950000000000002</v>
      </c>
      <c r="D102" s="1590">
        <v>0.72409999999999997</v>
      </c>
      <c r="E102" s="1590">
        <v>0.72409999999999997</v>
      </c>
      <c r="F102" s="1590">
        <v>0.72409999999999997</v>
      </c>
      <c r="G102" s="1590">
        <v>0.72409999999999997</v>
      </c>
      <c r="H102" s="1590">
        <v>0.72409999999999997</v>
      </c>
      <c r="I102" s="1590">
        <v>0.53400000000000003</v>
      </c>
      <c r="J102" s="1590">
        <v>0.53400000000000003</v>
      </c>
      <c r="K102" s="1590">
        <v>0.53400000000000003</v>
      </c>
      <c r="L102" s="1590">
        <v>0.53400000000000003</v>
      </c>
      <c r="M102" s="1590">
        <v>0.53400000000000003</v>
      </c>
    </row>
    <row r="103" spans="1:14" ht="14.25">
      <c r="A103" s="1578" t="s">
        <v>1768</v>
      </c>
      <c r="B103" s="1579"/>
      <c r="C103" s="1579"/>
      <c r="D103" s="1579"/>
      <c r="E103" s="1579"/>
      <c r="F103" s="1579"/>
      <c r="G103" s="1579"/>
      <c r="H103" s="1579"/>
      <c r="I103" s="1579"/>
      <c r="J103" s="1579"/>
      <c r="K103" s="1579"/>
      <c r="L103" s="1579"/>
      <c r="M103" s="1579"/>
      <c r="N103" s="1579"/>
    </row>
    <row r="104" spans="1:14" ht="14.25">
      <c r="A104" s="1581" t="s">
        <v>1759</v>
      </c>
      <c r="B104" s="1582" t="s">
        <v>1164</v>
      </c>
      <c r="C104" s="1582" t="s">
        <v>1165</v>
      </c>
      <c r="D104" s="1582" t="s">
        <v>1166</v>
      </c>
      <c r="E104" s="1582" t="s">
        <v>1167</v>
      </c>
      <c r="F104" s="1582" t="s">
        <v>1168</v>
      </c>
      <c r="G104" s="1582" t="s">
        <v>1169</v>
      </c>
      <c r="H104" s="1583" t="s">
        <v>1170</v>
      </c>
      <c r="I104" s="1583" t="s">
        <v>1171</v>
      </c>
      <c r="J104" s="1584" t="s">
        <v>1172</v>
      </c>
      <c r="K104" s="1584" t="s">
        <v>1173</v>
      </c>
      <c r="L104" s="1584" t="s">
        <v>1174</v>
      </c>
      <c r="M104" s="1584" t="s">
        <v>1175</v>
      </c>
      <c r="N104" s="1579">
        <f>SUMPRODUCT((A105:A204=ROUNDDOWN(基准地价修正!G3,1))*(B104:M104=基准地价修正!G2)*(B105:M204))</f>
        <v>1.2383999999999999</v>
      </c>
    </row>
    <row r="105" spans="1:14">
      <c r="A105" s="1581">
        <v>0.1</v>
      </c>
      <c r="B105" s="1590">
        <v>13.733000000000001</v>
      </c>
      <c r="C105" s="1590">
        <v>13.733000000000001</v>
      </c>
      <c r="D105" s="1590">
        <v>12.787000000000001</v>
      </c>
      <c r="E105" s="1590">
        <v>12.787000000000001</v>
      </c>
      <c r="F105" s="1590">
        <v>12.787000000000001</v>
      </c>
      <c r="G105" s="1590">
        <v>12.787000000000001</v>
      </c>
      <c r="H105" s="1590">
        <v>12.787000000000001</v>
      </c>
      <c r="I105" s="1590">
        <v>12.384</v>
      </c>
      <c r="J105" s="1590">
        <v>12.384</v>
      </c>
      <c r="K105" s="1590">
        <v>12.384</v>
      </c>
      <c r="L105" s="1590">
        <v>12.384</v>
      </c>
      <c r="M105" s="1590">
        <v>12.384</v>
      </c>
    </row>
    <row r="106" spans="1:14">
      <c r="A106" s="1581">
        <v>0.2</v>
      </c>
      <c r="B106" s="1590">
        <v>6.8665000000000003</v>
      </c>
      <c r="C106" s="1590">
        <v>6.8665000000000003</v>
      </c>
      <c r="D106" s="1590">
        <v>6.3935000000000004</v>
      </c>
      <c r="E106" s="1590">
        <v>6.3935000000000004</v>
      </c>
      <c r="F106" s="1590">
        <v>6.3935000000000004</v>
      </c>
      <c r="G106" s="1590">
        <v>6.3935000000000004</v>
      </c>
      <c r="H106" s="1590">
        <v>6.3935000000000004</v>
      </c>
      <c r="I106" s="1590">
        <v>6.1920000000000002</v>
      </c>
      <c r="J106" s="1590">
        <v>6.1920000000000002</v>
      </c>
      <c r="K106" s="1590">
        <v>6.1920000000000002</v>
      </c>
      <c r="L106" s="1590">
        <v>6.1920000000000002</v>
      </c>
      <c r="M106" s="1590">
        <v>6.1920000000000002</v>
      </c>
    </row>
    <row r="107" spans="1:14">
      <c r="A107" s="1581">
        <v>0.3</v>
      </c>
      <c r="B107" s="1590">
        <v>4.5777000000000001</v>
      </c>
      <c r="C107" s="1590">
        <v>4.5777000000000001</v>
      </c>
      <c r="D107" s="1590">
        <v>4.2622999999999998</v>
      </c>
      <c r="E107" s="1590">
        <v>4.2622999999999998</v>
      </c>
      <c r="F107" s="1590">
        <v>4.2622999999999998</v>
      </c>
      <c r="G107" s="1590">
        <v>4.2622999999999998</v>
      </c>
      <c r="H107" s="1590">
        <v>4.2622999999999998</v>
      </c>
      <c r="I107" s="1590">
        <v>4.1280000000000001</v>
      </c>
      <c r="J107" s="1590">
        <v>4.1280000000000001</v>
      </c>
      <c r="K107" s="1590">
        <v>4.1280000000000001</v>
      </c>
      <c r="L107" s="1590">
        <v>4.1280000000000001</v>
      </c>
      <c r="M107" s="1590">
        <v>4.1280000000000001</v>
      </c>
    </row>
    <row r="108" spans="1:14">
      <c r="A108" s="1581">
        <v>0.4</v>
      </c>
      <c r="B108" s="1590">
        <v>3.4333</v>
      </c>
      <c r="C108" s="1590">
        <v>3.4333</v>
      </c>
      <c r="D108" s="1590">
        <v>3.1968000000000001</v>
      </c>
      <c r="E108" s="1590">
        <v>3.1968000000000001</v>
      </c>
      <c r="F108" s="1590">
        <v>3.1968000000000001</v>
      </c>
      <c r="G108" s="1590">
        <v>3.1968000000000001</v>
      </c>
      <c r="H108" s="1590">
        <v>3.1968000000000001</v>
      </c>
      <c r="I108" s="1590">
        <v>3.0960000000000001</v>
      </c>
      <c r="J108" s="1590">
        <v>3.0960000000000001</v>
      </c>
      <c r="K108" s="1590">
        <v>3.0960000000000001</v>
      </c>
      <c r="L108" s="1590">
        <v>3.0960000000000001</v>
      </c>
      <c r="M108" s="1590">
        <v>3.0960000000000001</v>
      </c>
    </row>
    <row r="109" spans="1:14">
      <c r="A109" s="1581">
        <v>0.5</v>
      </c>
      <c r="B109" s="1590">
        <v>2.7465999999999999</v>
      </c>
      <c r="C109" s="1590">
        <v>2.7465999999999999</v>
      </c>
      <c r="D109" s="1590">
        <v>2.5573999999999999</v>
      </c>
      <c r="E109" s="1590">
        <v>2.5573999999999999</v>
      </c>
      <c r="F109" s="1590">
        <v>2.5573999999999999</v>
      </c>
      <c r="G109" s="1590">
        <v>2.5573999999999999</v>
      </c>
      <c r="H109" s="1590">
        <v>2.5573999999999999</v>
      </c>
      <c r="I109" s="1590">
        <v>2.4767999999999999</v>
      </c>
      <c r="J109" s="1590">
        <v>2.4767999999999999</v>
      </c>
      <c r="K109" s="1590">
        <v>2.4767999999999999</v>
      </c>
      <c r="L109" s="1590">
        <v>2.4767999999999999</v>
      </c>
      <c r="M109" s="1590">
        <v>2.4767999999999999</v>
      </c>
    </row>
    <row r="110" spans="1:14">
      <c r="A110" s="1581">
        <v>0.6</v>
      </c>
      <c r="B110" s="1590">
        <v>2.2888000000000002</v>
      </c>
      <c r="C110" s="1590">
        <v>2.2888000000000002</v>
      </c>
      <c r="D110" s="1590">
        <v>2.1312000000000002</v>
      </c>
      <c r="E110" s="1590">
        <v>2.1312000000000002</v>
      </c>
      <c r="F110" s="1590">
        <v>2.1312000000000002</v>
      </c>
      <c r="G110" s="1590">
        <v>2.1312000000000002</v>
      </c>
      <c r="H110" s="1590">
        <v>2.1312000000000002</v>
      </c>
      <c r="I110" s="1590">
        <v>2.0640000000000001</v>
      </c>
      <c r="J110" s="1590">
        <v>2.0640000000000001</v>
      </c>
      <c r="K110" s="1590">
        <v>2.0640000000000001</v>
      </c>
      <c r="L110" s="1590">
        <v>2.0640000000000001</v>
      </c>
      <c r="M110" s="1590">
        <v>2.0640000000000001</v>
      </c>
    </row>
    <row r="111" spans="1:14">
      <c r="A111" s="1581">
        <v>0.7</v>
      </c>
      <c r="B111" s="1590">
        <v>1.9619</v>
      </c>
      <c r="C111" s="1590">
        <v>1.9619</v>
      </c>
      <c r="D111" s="1590">
        <v>1.8267</v>
      </c>
      <c r="E111" s="1590">
        <v>1.8267</v>
      </c>
      <c r="F111" s="1590">
        <v>1.8267</v>
      </c>
      <c r="G111" s="1590">
        <v>1.8267</v>
      </c>
      <c r="H111" s="1590">
        <v>1.8267</v>
      </c>
      <c r="I111" s="1590">
        <v>1.7690999999999999</v>
      </c>
      <c r="J111" s="1590">
        <v>1.7690999999999999</v>
      </c>
      <c r="K111" s="1590">
        <v>1.7690999999999999</v>
      </c>
      <c r="L111" s="1590">
        <v>1.7690999999999999</v>
      </c>
      <c r="M111" s="1590">
        <v>1.7690999999999999</v>
      </c>
    </row>
    <row r="112" spans="1:14">
      <c r="A112" s="1581">
        <v>0.8</v>
      </c>
      <c r="B112" s="1590">
        <v>1.7165999999999999</v>
      </c>
      <c r="C112" s="1590">
        <v>1.7165999999999999</v>
      </c>
      <c r="D112" s="1590">
        <v>1.5984</v>
      </c>
      <c r="E112" s="1590">
        <v>1.5984</v>
      </c>
      <c r="F112" s="1590">
        <v>1.5984</v>
      </c>
      <c r="G112" s="1590">
        <v>1.5984</v>
      </c>
      <c r="H112" s="1590">
        <v>1.5984</v>
      </c>
      <c r="I112" s="1590">
        <v>1.548</v>
      </c>
      <c r="J112" s="1590">
        <v>1.548</v>
      </c>
      <c r="K112" s="1590">
        <v>1.548</v>
      </c>
      <c r="L112" s="1590">
        <v>1.548</v>
      </c>
      <c r="M112" s="1590">
        <v>1.548</v>
      </c>
    </row>
    <row r="113" spans="1:13">
      <c r="A113" s="1581">
        <v>0.9</v>
      </c>
      <c r="B113" s="1590">
        <v>1.5259</v>
      </c>
      <c r="C113" s="1590">
        <v>1.5259</v>
      </c>
      <c r="D113" s="1590">
        <v>1.4208000000000001</v>
      </c>
      <c r="E113" s="1590">
        <v>1.4208000000000001</v>
      </c>
      <c r="F113" s="1590">
        <v>1.4208000000000001</v>
      </c>
      <c r="G113" s="1590">
        <v>1.4208000000000001</v>
      </c>
      <c r="H113" s="1590">
        <v>1.4208000000000001</v>
      </c>
      <c r="I113" s="1590">
        <v>1.3759999999999999</v>
      </c>
      <c r="J113" s="1590">
        <v>1.3759999999999999</v>
      </c>
      <c r="K113" s="1590">
        <v>1.3759999999999999</v>
      </c>
      <c r="L113" s="1590">
        <v>1.3759999999999999</v>
      </c>
      <c r="M113" s="1590">
        <v>1.3759999999999999</v>
      </c>
    </row>
    <row r="114" spans="1:13">
      <c r="A114" s="1581">
        <v>1</v>
      </c>
      <c r="B114" s="1590">
        <v>1.3733</v>
      </c>
      <c r="C114" s="1590">
        <v>1.3733</v>
      </c>
      <c r="D114" s="1590">
        <v>1.2786999999999999</v>
      </c>
      <c r="E114" s="1590">
        <v>1.2786999999999999</v>
      </c>
      <c r="F114" s="1590">
        <v>1.2786999999999999</v>
      </c>
      <c r="G114" s="1590">
        <v>1.2786999999999999</v>
      </c>
      <c r="H114" s="1590">
        <v>1.2786999999999999</v>
      </c>
      <c r="I114" s="1590">
        <v>1.2383999999999999</v>
      </c>
      <c r="J114" s="1590">
        <v>1.2383999999999999</v>
      </c>
      <c r="K114" s="1590">
        <v>1.2383999999999999</v>
      </c>
      <c r="L114" s="1590">
        <v>1.2383999999999999</v>
      </c>
      <c r="M114" s="1590">
        <v>1.2383999999999999</v>
      </c>
    </row>
    <row r="115" spans="1:13">
      <c r="A115" s="1581">
        <v>1.1000000000000001</v>
      </c>
      <c r="B115" s="1590">
        <v>1.3489</v>
      </c>
      <c r="C115" s="1590">
        <v>1.3489</v>
      </c>
      <c r="D115" s="1590">
        <v>1.2542</v>
      </c>
      <c r="E115" s="1590">
        <v>1.2542</v>
      </c>
      <c r="F115" s="1590">
        <v>1.2542</v>
      </c>
      <c r="G115" s="1590">
        <v>1.2542</v>
      </c>
      <c r="H115" s="1590">
        <v>1.2542</v>
      </c>
      <c r="I115" s="1590">
        <v>1.2050000000000001</v>
      </c>
      <c r="J115" s="1590">
        <v>1.2050000000000001</v>
      </c>
      <c r="K115" s="1590">
        <v>1.2050000000000001</v>
      </c>
      <c r="L115" s="1590">
        <v>1.2050000000000001</v>
      </c>
      <c r="M115" s="1590">
        <v>1.2050000000000001</v>
      </c>
    </row>
    <row r="116" spans="1:13">
      <c r="A116" s="1581">
        <v>1.2</v>
      </c>
      <c r="B116" s="1590">
        <v>1.3255999999999999</v>
      </c>
      <c r="C116" s="1590">
        <v>1.3255999999999999</v>
      </c>
      <c r="D116" s="1590">
        <v>1.2305999999999999</v>
      </c>
      <c r="E116" s="1590">
        <v>1.2305999999999999</v>
      </c>
      <c r="F116" s="1590">
        <v>1.2305999999999999</v>
      </c>
      <c r="G116" s="1590">
        <v>1.2305999999999999</v>
      </c>
      <c r="H116" s="1590">
        <v>1.2305999999999999</v>
      </c>
      <c r="I116" s="1590">
        <v>1.1741999999999999</v>
      </c>
      <c r="J116" s="1590">
        <v>1.1741999999999999</v>
      </c>
      <c r="K116" s="1590">
        <v>1.1741999999999999</v>
      </c>
      <c r="L116" s="1590">
        <v>1.1741999999999999</v>
      </c>
      <c r="M116" s="1590">
        <v>1.1741999999999999</v>
      </c>
    </row>
    <row r="117" spans="1:13">
      <c r="A117" s="1581">
        <v>1.3</v>
      </c>
      <c r="B117" s="1590">
        <v>1.3032999999999999</v>
      </c>
      <c r="C117" s="1590">
        <v>1.3032999999999999</v>
      </c>
      <c r="D117" s="1590">
        <v>1.2079</v>
      </c>
      <c r="E117" s="1590">
        <v>1.2079</v>
      </c>
      <c r="F117" s="1590">
        <v>1.2079</v>
      </c>
      <c r="G117" s="1590">
        <v>1.2079</v>
      </c>
      <c r="H117" s="1590">
        <v>1.2079</v>
      </c>
      <c r="I117" s="1590">
        <v>1.1459999999999999</v>
      </c>
      <c r="J117" s="1590">
        <v>1.1459999999999999</v>
      </c>
      <c r="K117" s="1590">
        <v>1.1459999999999999</v>
      </c>
      <c r="L117" s="1590">
        <v>1.1459999999999999</v>
      </c>
      <c r="M117" s="1590">
        <v>1.1459999999999999</v>
      </c>
    </row>
    <row r="118" spans="1:13">
      <c r="A118" s="1581">
        <v>1.4</v>
      </c>
      <c r="B118" s="1590">
        <v>1.282</v>
      </c>
      <c r="C118" s="1590">
        <v>1.282</v>
      </c>
      <c r="D118" s="1590">
        <v>1.1861999999999999</v>
      </c>
      <c r="E118" s="1590">
        <v>1.1861999999999999</v>
      </c>
      <c r="F118" s="1590">
        <v>1.1861999999999999</v>
      </c>
      <c r="G118" s="1590">
        <v>1.1861999999999999</v>
      </c>
      <c r="H118" s="1590">
        <v>1.1861999999999999</v>
      </c>
      <c r="I118" s="1590">
        <v>1.1200000000000001</v>
      </c>
      <c r="J118" s="1590">
        <v>1.1200000000000001</v>
      </c>
      <c r="K118" s="1590">
        <v>1.1200000000000001</v>
      </c>
      <c r="L118" s="1590">
        <v>1.1200000000000001</v>
      </c>
      <c r="M118" s="1590">
        <v>1.1200000000000001</v>
      </c>
    </row>
    <row r="119" spans="1:13">
      <c r="A119" s="1581">
        <v>1.5</v>
      </c>
      <c r="B119" s="1590">
        <v>1.2617</v>
      </c>
      <c r="C119" s="1590">
        <v>1.2617</v>
      </c>
      <c r="D119" s="1590">
        <v>1.1653</v>
      </c>
      <c r="E119" s="1590">
        <v>1.1653</v>
      </c>
      <c r="F119" s="1590">
        <v>1.1653</v>
      </c>
      <c r="G119" s="1590">
        <v>1.1653</v>
      </c>
      <c r="H119" s="1590">
        <v>1.1653</v>
      </c>
      <c r="I119" s="1590">
        <v>1.0961000000000001</v>
      </c>
      <c r="J119" s="1590">
        <v>1.0961000000000001</v>
      </c>
      <c r="K119" s="1590">
        <v>1.0961000000000001</v>
      </c>
      <c r="L119" s="1590">
        <v>1.0961000000000001</v>
      </c>
      <c r="M119" s="1590">
        <v>1.0961000000000001</v>
      </c>
    </row>
    <row r="120" spans="1:13">
      <c r="A120" s="1581">
        <v>1.6</v>
      </c>
      <c r="B120" s="1590">
        <v>1.2423</v>
      </c>
      <c r="C120" s="1590">
        <v>1.2423</v>
      </c>
      <c r="D120" s="1590">
        <v>1.1453</v>
      </c>
      <c r="E120" s="1590">
        <v>1.1453</v>
      </c>
      <c r="F120" s="1590">
        <v>1.1453</v>
      </c>
      <c r="G120" s="1590">
        <v>1.1453</v>
      </c>
      <c r="H120" s="1590">
        <v>1.1453</v>
      </c>
      <c r="I120" s="1590">
        <v>1.0740000000000001</v>
      </c>
      <c r="J120" s="1590">
        <v>1.0740000000000001</v>
      </c>
      <c r="K120" s="1590">
        <v>1.0740000000000001</v>
      </c>
      <c r="L120" s="1590">
        <v>1.0740000000000001</v>
      </c>
      <c r="M120" s="1590">
        <v>1.0740000000000001</v>
      </c>
    </row>
    <row r="121" spans="1:13">
      <c r="A121" s="1581">
        <v>1.7</v>
      </c>
      <c r="B121" s="1590">
        <v>1.2237</v>
      </c>
      <c r="C121" s="1590">
        <v>1.2237</v>
      </c>
      <c r="D121" s="1590">
        <v>1.1261000000000001</v>
      </c>
      <c r="E121" s="1590">
        <v>1.1261000000000001</v>
      </c>
      <c r="F121" s="1590">
        <v>1.1261000000000001</v>
      </c>
      <c r="G121" s="1590">
        <v>1.1261000000000001</v>
      </c>
      <c r="H121" s="1590">
        <v>1.1261000000000001</v>
      </c>
      <c r="I121" s="1590">
        <v>1.0535000000000001</v>
      </c>
      <c r="J121" s="1590">
        <v>1.0535000000000001</v>
      </c>
      <c r="K121" s="1590">
        <v>1.0535000000000001</v>
      </c>
      <c r="L121" s="1590">
        <v>1.0535000000000001</v>
      </c>
      <c r="M121" s="1590">
        <v>1.0535000000000001</v>
      </c>
    </row>
    <row r="122" spans="1:13">
      <c r="A122" s="1581">
        <v>1.8</v>
      </c>
      <c r="B122" s="1590">
        <v>1.206</v>
      </c>
      <c r="C122" s="1590">
        <v>1.206</v>
      </c>
      <c r="D122" s="1590">
        <v>1.1076999999999999</v>
      </c>
      <c r="E122" s="1590">
        <v>1.1076999999999999</v>
      </c>
      <c r="F122" s="1590">
        <v>1.1076999999999999</v>
      </c>
      <c r="G122" s="1590">
        <v>1.1076999999999999</v>
      </c>
      <c r="H122" s="1590">
        <v>1.1076999999999999</v>
      </c>
      <c r="I122" s="1590">
        <v>1.0345</v>
      </c>
      <c r="J122" s="1590">
        <v>1.0345</v>
      </c>
      <c r="K122" s="1590">
        <v>1.0345</v>
      </c>
      <c r="L122" s="1590">
        <v>1.0345</v>
      </c>
      <c r="M122" s="1590">
        <v>1.0345</v>
      </c>
    </row>
    <row r="123" spans="1:13">
      <c r="A123" s="1581">
        <v>1.9</v>
      </c>
      <c r="B123" s="1590">
        <v>1.1891</v>
      </c>
      <c r="C123" s="1590">
        <v>1.1891</v>
      </c>
      <c r="D123" s="1590">
        <v>1.0901000000000001</v>
      </c>
      <c r="E123" s="1590">
        <v>1.0901000000000001</v>
      </c>
      <c r="F123" s="1590">
        <v>1.0901000000000001</v>
      </c>
      <c r="G123" s="1590">
        <v>1.0901000000000001</v>
      </c>
      <c r="H123" s="1590">
        <v>1.0901000000000001</v>
      </c>
      <c r="I123" s="1590">
        <v>1.0166999999999999</v>
      </c>
      <c r="J123" s="1590">
        <v>1.0166999999999999</v>
      </c>
      <c r="K123" s="1590">
        <v>1.0166999999999999</v>
      </c>
      <c r="L123" s="1590">
        <v>1.0166999999999999</v>
      </c>
      <c r="M123" s="1590">
        <v>1.0166999999999999</v>
      </c>
    </row>
    <row r="124" spans="1:13">
      <c r="A124" s="1581">
        <v>2</v>
      </c>
      <c r="B124" s="1590">
        <v>1.1729000000000001</v>
      </c>
      <c r="C124" s="1590">
        <v>1.1729000000000001</v>
      </c>
      <c r="D124" s="1590">
        <v>1.0732999999999999</v>
      </c>
      <c r="E124" s="1590">
        <v>1.0732999999999999</v>
      </c>
      <c r="F124" s="1590">
        <v>1.0732999999999999</v>
      </c>
      <c r="G124" s="1590">
        <v>1.0732999999999999</v>
      </c>
      <c r="H124" s="1590">
        <v>1.0732999999999999</v>
      </c>
      <c r="I124" s="1590">
        <v>1</v>
      </c>
      <c r="J124" s="1590">
        <v>1</v>
      </c>
      <c r="K124" s="1590">
        <v>1</v>
      </c>
      <c r="L124" s="1590">
        <v>1</v>
      </c>
      <c r="M124" s="1590">
        <v>1</v>
      </c>
    </row>
    <row r="125" spans="1:13">
      <c r="A125" s="1604">
        <v>2.1</v>
      </c>
      <c r="B125" s="1590">
        <v>1.1574</v>
      </c>
      <c r="C125" s="1590">
        <v>1.1574</v>
      </c>
      <c r="D125" s="1590">
        <v>1.0571999999999999</v>
      </c>
      <c r="E125" s="1590">
        <v>1.0571999999999999</v>
      </c>
      <c r="F125" s="1590">
        <v>1.0571999999999999</v>
      </c>
      <c r="G125" s="1590">
        <v>1.0571999999999999</v>
      </c>
      <c r="H125" s="1590">
        <v>1.0571999999999999</v>
      </c>
      <c r="I125" s="1590">
        <v>0.98409999999999997</v>
      </c>
      <c r="J125" s="1590">
        <v>0.98409999999999997</v>
      </c>
      <c r="K125" s="1590">
        <v>0.98409999999999997</v>
      </c>
      <c r="L125" s="1590">
        <v>0.98409999999999997</v>
      </c>
      <c r="M125" s="1590">
        <v>0.98409999999999997</v>
      </c>
    </row>
    <row r="126" spans="1:13">
      <c r="A126" s="1604">
        <v>2.2000000000000002</v>
      </c>
      <c r="B126" s="1590">
        <v>1.1426000000000001</v>
      </c>
      <c r="C126" s="1590">
        <v>1.1426000000000001</v>
      </c>
      <c r="D126" s="1590">
        <v>1.0419</v>
      </c>
      <c r="E126" s="1590">
        <v>1.0419</v>
      </c>
      <c r="F126" s="1590">
        <v>1.0419</v>
      </c>
      <c r="G126" s="1590">
        <v>1.0419</v>
      </c>
      <c r="H126" s="1590">
        <v>1.0419</v>
      </c>
      <c r="I126" s="1590">
        <v>0.96889999999999998</v>
      </c>
      <c r="J126" s="1590">
        <v>0.96889999999999998</v>
      </c>
      <c r="K126" s="1590">
        <v>0.96889999999999998</v>
      </c>
      <c r="L126" s="1590">
        <v>0.96889999999999998</v>
      </c>
      <c r="M126" s="1590">
        <v>0.96889999999999998</v>
      </c>
    </row>
    <row r="127" spans="1:13">
      <c r="A127" s="1604">
        <v>2.2999999999999998</v>
      </c>
      <c r="B127" s="1590">
        <v>1.1285000000000001</v>
      </c>
      <c r="C127" s="1590">
        <v>1.1285000000000001</v>
      </c>
      <c r="D127" s="1590">
        <v>1.0271999999999999</v>
      </c>
      <c r="E127" s="1590">
        <v>1.0271999999999999</v>
      </c>
      <c r="F127" s="1590">
        <v>1.0271999999999999</v>
      </c>
      <c r="G127" s="1590">
        <v>1.0271999999999999</v>
      </c>
      <c r="H127" s="1590">
        <v>1.0271999999999999</v>
      </c>
      <c r="I127" s="1590">
        <v>0.95440000000000003</v>
      </c>
      <c r="J127" s="1590">
        <v>0.95440000000000003</v>
      </c>
      <c r="K127" s="1590">
        <v>0.95440000000000003</v>
      </c>
      <c r="L127" s="1590">
        <v>0.95440000000000003</v>
      </c>
      <c r="M127" s="1590">
        <v>0.95440000000000003</v>
      </c>
    </row>
    <row r="128" spans="1:13">
      <c r="A128" s="1604">
        <v>2.4</v>
      </c>
      <c r="B128" s="1590">
        <v>1.1149</v>
      </c>
      <c r="C128" s="1590">
        <v>1.1149</v>
      </c>
      <c r="D128" s="1590">
        <v>1.0133000000000001</v>
      </c>
      <c r="E128" s="1590">
        <v>1.0133000000000001</v>
      </c>
      <c r="F128" s="1590">
        <v>1.0133000000000001</v>
      </c>
      <c r="G128" s="1590">
        <v>1.0133000000000001</v>
      </c>
      <c r="H128" s="1590">
        <v>1.0133000000000001</v>
      </c>
      <c r="I128" s="1590">
        <v>0.9405</v>
      </c>
      <c r="J128" s="1590">
        <v>0.9405</v>
      </c>
      <c r="K128" s="1590">
        <v>0.9405</v>
      </c>
      <c r="L128" s="1590">
        <v>0.9405</v>
      </c>
      <c r="M128" s="1590">
        <v>0.9405</v>
      </c>
    </row>
    <row r="129" spans="1:13">
      <c r="A129" s="1604">
        <v>2.5</v>
      </c>
      <c r="B129" s="1590">
        <v>1.1020000000000001</v>
      </c>
      <c r="C129" s="1590">
        <v>1.1020000000000001</v>
      </c>
      <c r="D129" s="1590">
        <v>1</v>
      </c>
      <c r="E129" s="1590">
        <v>1</v>
      </c>
      <c r="F129" s="1590">
        <v>1</v>
      </c>
      <c r="G129" s="1590">
        <v>1</v>
      </c>
      <c r="H129" s="1590">
        <v>1</v>
      </c>
      <c r="I129" s="1590">
        <v>0.92730000000000001</v>
      </c>
      <c r="J129" s="1590">
        <v>0.92730000000000001</v>
      </c>
      <c r="K129" s="1590">
        <v>0.92730000000000001</v>
      </c>
      <c r="L129" s="1590">
        <v>0.92730000000000001</v>
      </c>
      <c r="M129" s="1590">
        <v>0.92730000000000001</v>
      </c>
    </row>
    <row r="130" spans="1:13">
      <c r="A130" s="1604">
        <v>2.6</v>
      </c>
      <c r="B130" s="1590">
        <v>1.0895999999999999</v>
      </c>
      <c r="C130" s="1590">
        <v>1.0895999999999999</v>
      </c>
      <c r="D130" s="1590">
        <v>0.98740000000000006</v>
      </c>
      <c r="E130" s="1590">
        <v>0.98740000000000006</v>
      </c>
      <c r="F130" s="1590">
        <v>0.98740000000000006</v>
      </c>
      <c r="G130" s="1590">
        <v>0.98740000000000006</v>
      </c>
      <c r="H130" s="1590">
        <v>0.98740000000000006</v>
      </c>
      <c r="I130" s="1590">
        <v>0.91469999999999996</v>
      </c>
      <c r="J130" s="1590">
        <v>0.91469999999999996</v>
      </c>
      <c r="K130" s="1590">
        <v>0.91469999999999996</v>
      </c>
      <c r="L130" s="1590">
        <v>0.91469999999999996</v>
      </c>
      <c r="M130" s="1590">
        <v>0.91469999999999996</v>
      </c>
    </row>
    <row r="131" spans="1:13">
      <c r="A131" s="1604">
        <v>2.7</v>
      </c>
      <c r="B131" s="1590">
        <v>1.0778000000000001</v>
      </c>
      <c r="C131" s="1590">
        <v>1.0778000000000001</v>
      </c>
      <c r="D131" s="1590">
        <v>0.97540000000000004</v>
      </c>
      <c r="E131" s="1590">
        <v>0.97540000000000004</v>
      </c>
      <c r="F131" s="1590">
        <v>0.97540000000000004</v>
      </c>
      <c r="G131" s="1590">
        <v>0.97540000000000004</v>
      </c>
      <c r="H131" s="1590">
        <v>0.97540000000000004</v>
      </c>
      <c r="I131" s="1590">
        <v>0.90269999999999995</v>
      </c>
      <c r="J131" s="1590">
        <v>0.90269999999999995</v>
      </c>
      <c r="K131" s="1590">
        <v>0.90269999999999995</v>
      </c>
      <c r="L131" s="1590">
        <v>0.90269999999999995</v>
      </c>
      <c r="M131" s="1590">
        <v>0.90269999999999995</v>
      </c>
    </row>
    <row r="132" spans="1:13">
      <c r="A132" s="1604">
        <v>2.8</v>
      </c>
      <c r="B132" s="1590">
        <v>1.0665</v>
      </c>
      <c r="C132" s="1590">
        <v>1.0665</v>
      </c>
      <c r="D132" s="1590">
        <v>0.96399999999999997</v>
      </c>
      <c r="E132" s="1590">
        <v>0.96399999999999997</v>
      </c>
      <c r="F132" s="1590">
        <v>0.96399999999999997</v>
      </c>
      <c r="G132" s="1590">
        <v>0.96399999999999997</v>
      </c>
      <c r="H132" s="1590">
        <v>0.96399999999999997</v>
      </c>
      <c r="I132" s="1590">
        <v>0.89119999999999999</v>
      </c>
      <c r="J132" s="1590">
        <v>0.89119999999999999</v>
      </c>
      <c r="K132" s="1590">
        <v>0.89119999999999999</v>
      </c>
      <c r="L132" s="1590">
        <v>0.89119999999999999</v>
      </c>
      <c r="M132" s="1590">
        <v>0.89119999999999999</v>
      </c>
    </row>
    <row r="133" spans="1:13">
      <c r="A133" s="1604">
        <v>2.9</v>
      </c>
      <c r="B133" s="1590">
        <v>1.0556000000000001</v>
      </c>
      <c r="C133" s="1590">
        <v>1.0556000000000001</v>
      </c>
      <c r="D133" s="1590">
        <v>0.95330000000000004</v>
      </c>
      <c r="E133" s="1590">
        <v>0.95330000000000004</v>
      </c>
      <c r="F133" s="1590">
        <v>0.95330000000000004</v>
      </c>
      <c r="G133" s="1590">
        <v>0.95330000000000004</v>
      </c>
      <c r="H133" s="1590">
        <v>0.95330000000000004</v>
      </c>
      <c r="I133" s="1590">
        <v>0.88019999999999998</v>
      </c>
      <c r="J133" s="1590">
        <v>0.88019999999999998</v>
      </c>
      <c r="K133" s="1590">
        <v>0.88019999999999998</v>
      </c>
      <c r="L133" s="1590">
        <v>0.88019999999999998</v>
      </c>
      <c r="M133" s="1590">
        <v>0.88019999999999998</v>
      </c>
    </row>
    <row r="134" spans="1:13">
      <c r="A134" s="1604">
        <v>3</v>
      </c>
      <c r="B134" s="1590">
        <v>1.0452999999999999</v>
      </c>
      <c r="C134" s="1590">
        <v>1.0452999999999999</v>
      </c>
      <c r="D134" s="1590">
        <v>0.94299999999999995</v>
      </c>
      <c r="E134" s="1590">
        <v>0.94299999999999995</v>
      </c>
      <c r="F134" s="1590">
        <v>0.94299999999999995</v>
      </c>
      <c r="G134" s="1590">
        <v>0.94299999999999995</v>
      </c>
      <c r="H134" s="1590">
        <v>0.94299999999999995</v>
      </c>
      <c r="I134" s="1590">
        <v>0.86970000000000003</v>
      </c>
      <c r="J134" s="1590">
        <v>0.86970000000000003</v>
      </c>
      <c r="K134" s="1590">
        <v>0.86970000000000003</v>
      </c>
      <c r="L134" s="1590">
        <v>0.86970000000000003</v>
      </c>
      <c r="M134" s="1590">
        <v>0.86970000000000003</v>
      </c>
    </row>
    <row r="135" spans="1:13">
      <c r="A135" s="1604">
        <v>3.1</v>
      </c>
      <c r="B135" s="1590">
        <v>1.0354000000000001</v>
      </c>
      <c r="C135" s="1590">
        <v>1.0354000000000001</v>
      </c>
      <c r="D135" s="1590">
        <v>0.93330000000000002</v>
      </c>
      <c r="E135" s="1590">
        <v>0.93330000000000002</v>
      </c>
      <c r="F135" s="1590">
        <v>0.93330000000000002</v>
      </c>
      <c r="G135" s="1590">
        <v>0.93330000000000002</v>
      </c>
      <c r="H135" s="1590">
        <v>0.93330000000000002</v>
      </c>
      <c r="I135" s="1590">
        <v>0.85970000000000002</v>
      </c>
      <c r="J135" s="1590">
        <v>0.85970000000000002</v>
      </c>
      <c r="K135" s="1590">
        <v>0.85970000000000002</v>
      </c>
      <c r="L135" s="1590">
        <v>0.85970000000000002</v>
      </c>
      <c r="M135" s="1590">
        <v>0.85970000000000002</v>
      </c>
    </row>
    <row r="136" spans="1:13">
      <c r="A136" s="1604">
        <v>3.2</v>
      </c>
      <c r="B136" s="1590">
        <v>1.0259</v>
      </c>
      <c r="C136" s="1590">
        <v>1.0259</v>
      </c>
      <c r="D136" s="1590">
        <v>0.92410000000000003</v>
      </c>
      <c r="E136" s="1590">
        <v>0.92410000000000003</v>
      </c>
      <c r="F136" s="1590">
        <v>0.92410000000000003</v>
      </c>
      <c r="G136" s="1590">
        <v>0.92410000000000003</v>
      </c>
      <c r="H136" s="1590">
        <v>0.92410000000000003</v>
      </c>
      <c r="I136" s="1590">
        <v>0.85019999999999996</v>
      </c>
      <c r="J136" s="1590">
        <v>0.85019999999999996</v>
      </c>
      <c r="K136" s="1590">
        <v>0.85019999999999996</v>
      </c>
      <c r="L136" s="1590">
        <v>0.85019999999999996</v>
      </c>
      <c r="M136" s="1590">
        <v>0.85019999999999996</v>
      </c>
    </row>
    <row r="137" spans="1:13">
      <c r="A137" s="1604">
        <v>3.3</v>
      </c>
      <c r="B137" s="1590">
        <v>1.0168999999999999</v>
      </c>
      <c r="C137" s="1590">
        <v>1.0168999999999999</v>
      </c>
      <c r="D137" s="1590">
        <v>0.91539999999999999</v>
      </c>
      <c r="E137" s="1590">
        <v>0.91539999999999999</v>
      </c>
      <c r="F137" s="1590">
        <v>0.91539999999999999</v>
      </c>
      <c r="G137" s="1590">
        <v>0.91539999999999999</v>
      </c>
      <c r="H137" s="1590">
        <v>0.91539999999999999</v>
      </c>
      <c r="I137" s="1590">
        <v>0.84109999999999996</v>
      </c>
      <c r="J137" s="1590">
        <v>0.84109999999999996</v>
      </c>
      <c r="K137" s="1590">
        <v>0.84109999999999996</v>
      </c>
      <c r="L137" s="1590">
        <v>0.84109999999999996</v>
      </c>
      <c r="M137" s="1590">
        <v>0.84109999999999996</v>
      </c>
    </row>
    <row r="138" spans="1:13">
      <c r="A138" s="1604">
        <v>3.4</v>
      </c>
      <c r="B138" s="1590">
        <v>1.0082</v>
      </c>
      <c r="C138" s="1590">
        <v>1.0082</v>
      </c>
      <c r="D138" s="1590">
        <v>0.90710000000000002</v>
      </c>
      <c r="E138" s="1590">
        <v>0.90710000000000002</v>
      </c>
      <c r="F138" s="1590">
        <v>0.90710000000000002</v>
      </c>
      <c r="G138" s="1590">
        <v>0.90710000000000002</v>
      </c>
      <c r="H138" s="1590">
        <v>0.90710000000000002</v>
      </c>
      <c r="I138" s="1590">
        <v>0.83240000000000003</v>
      </c>
      <c r="J138" s="1590">
        <v>0.83240000000000003</v>
      </c>
      <c r="K138" s="1590">
        <v>0.83240000000000003</v>
      </c>
      <c r="L138" s="1590">
        <v>0.83240000000000003</v>
      </c>
      <c r="M138" s="1590">
        <v>0.83240000000000003</v>
      </c>
    </row>
    <row r="139" spans="1:13">
      <c r="A139" s="1604">
        <v>3.5</v>
      </c>
      <c r="B139" s="1590">
        <v>1</v>
      </c>
      <c r="C139" s="1590">
        <v>1</v>
      </c>
      <c r="D139" s="1590">
        <v>0.89929999999999999</v>
      </c>
      <c r="E139" s="1590">
        <v>0.89929999999999999</v>
      </c>
      <c r="F139" s="1590">
        <v>0.89929999999999999</v>
      </c>
      <c r="G139" s="1590">
        <v>0.89929999999999999</v>
      </c>
      <c r="H139" s="1590">
        <v>0.89929999999999999</v>
      </c>
      <c r="I139" s="1590">
        <v>0.82410000000000005</v>
      </c>
      <c r="J139" s="1590">
        <v>0.82410000000000005</v>
      </c>
      <c r="K139" s="1590">
        <v>0.82410000000000005</v>
      </c>
      <c r="L139" s="1590">
        <v>0.82410000000000005</v>
      </c>
      <c r="M139" s="1590">
        <v>0.82410000000000005</v>
      </c>
    </row>
    <row r="140" spans="1:13">
      <c r="A140" s="1604">
        <v>3.6</v>
      </c>
      <c r="B140" s="1590">
        <v>0.99219999999999997</v>
      </c>
      <c r="C140" s="1590">
        <v>0.99219999999999997</v>
      </c>
      <c r="D140" s="1590">
        <v>0.89190000000000003</v>
      </c>
      <c r="E140" s="1590">
        <v>0.89190000000000003</v>
      </c>
      <c r="F140" s="1590">
        <v>0.89190000000000003</v>
      </c>
      <c r="G140" s="1590">
        <v>0.89190000000000003</v>
      </c>
      <c r="H140" s="1590">
        <v>0.89190000000000003</v>
      </c>
      <c r="I140" s="1590">
        <v>0.81620000000000004</v>
      </c>
      <c r="J140" s="1590">
        <v>0.81620000000000004</v>
      </c>
      <c r="K140" s="1590">
        <v>0.81620000000000004</v>
      </c>
      <c r="L140" s="1590">
        <v>0.81620000000000004</v>
      </c>
      <c r="M140" s="1590">
        <v>0.81620000000000004</v>
      </c>
    </row>
    <row r="141" spans="1:13">
      <c r="A141" s="1604">
        <v>3.7</v>
      </c>
      <c r="B141" s="1590">
        <v>0.98480000000000001</v>
      </c>
      <c r="C141" s="1590">
        <v>0.98480000000000001</v>
      </c>
      <c r="D141" s="1590">
        <v>0.88480000000000003</v>
      </c>
      <c r="E141" s="1590">
        <v>0.88480000000000003</v>
      </c>
      <c r="F141" s="1590">
        <v>0.88480000000000003</v>
      </c>
      <c r="G141" s="1590">
        <v>0.88480000000000003</v>
      </c>
      <c r="H141" s="1590">
        <v>0.88480000000000003</v>
      </c>
      <c r="I141" s="1590">
        <v>0.80869999999999997</v>
      </c>
      <c r="J141" s="1590">
        <v>0.80869999999999997</v>
      </c>
      <c r="K141" s="1590">
        <v>0.80869999999999997</v>
      </c>
      <c r="L141" s="1590">
        <v>0.80869999999999997</v>
      </c>
      <c r="M141" s="1590">
        <v>0.80869999999999997</v>
      </c>
    </row>
    <row r="142" spans="1:13">
      <c r="A142" s="1604">
        <v>3.8</v>
      </c>
      <c r="B142" s="1590">
        <v>0.9778</v>
      </c>
      <c r="C142" s="1590">
        <v>0.9778</v>
      </c>
      <c r="D142" s="1590">
        <v>0.87809999999999999</v>
      </c>
      <c r="E142" s="1590">
        <v>0.87809999999999999</v>
      </c>
      <c r="F142" s="1590">
        <v>0.87809999999999999</v>
      </c>
      <c r="G142" s="1590">
        <v>0.87809999999999999</v>
      </c>
      <c r="H142" s="1590">
        <v>0.87809999999999999</v>
      </c>
      <c r="I142" s="1590">
        <v>0.80159999999999998</v>
      </c>
      <c r="J142" s="1590">
        <v>0.80159999999999998</v>
      </c>
      <c r="K142" s="1590">
        <v>0.80159999999999998</v>
      </c>
      <c r="L142" s="1590">
        <v>0.80159999999999998</v>
      </c>
      <c r="M142" s="1590">
        <v>0.80159999999999998</v>
      </c>
    </row>
    <row r="143" spans="1:13">
      <c r="A143" s="1604">
        <v>3.9</v>
      </c>
      <c r="B143" s="1590">
        <v>0.97119999999999995</v>
      </c>
      <c r="C143" s="1590">
        <v>0.97119999999999995</v>
      </c>
      <c r="D143" s="1590">
        <v>0.87180000000000002</v>
      </c>
      <c r="E143" s="1590">
        <v>0.87180000000000002</v>
      </c>
      <c r="F143" s="1590">
        <v>0.87180000000000002</v>
      </c>
      <c r="G143" s="1590">
        <v>0.87180000000000002</v>
      </c>
      <c r="H143" s="1590">
        <v>0.87180000000000002</v>
      </c>
      <c r="I143" s="1590">
        <v>0.79479999999999995</v>
      </c>
      <c r="J143" s="1590">
        <v>0.79479999999999995</v>
      </c>
      <c r="K143" s="1590">
        <v>0.79479999999999995</v>
      </c>
      <c r="L143" s="1590">
        <v>0.79479999999999995</v>
      </c>
      <c r="M143" s="1590">
        <v>0.79479999999999995</v>
      </c>
    </row>
    <row r="144" spans="1:13">
      <c r="A144" s="1604">
        <v>4</v>
      </c>
      <c r="B144" s="1590">
        <v>0.96499999999999997</v>
      </c>
      <c r="C144" s="1590">
        <v>0.96499999999999997</v>
      </c>
      <c r="D144" s="1590">
        <v>0.86580000000000001</v>
      </c>
      <c r="E144" s="1590">
        <v>0.86580000000000001</v>
      </c>
      <c r="F144" s="1590">
        <v>0.86580000000000001</v>
      </c>
      <c r="G144" s="1590">
        <v>0.86580000000000001</v>
      </c>
      <c r="H144" s="1590">
        <v>0.86580000000000001</v>
      </c>
      <c r="I144" s="1590">
        <v>0.7883</v>
      </c>
      <c r="J144" s="1590">
        <v>0.7883</v>
      </c>
      <c r="K144" s="1590">
        <v>0.7883</v>
      </c>
      <c r="L144" s="1590">
        <v>0.7883</v>
      </c>
      <c r="M144" s="1590">
        <v>0.7883</v>
      </c>
    </row>
    <row r="145" spans="1:13">
      <c r="A145" s="1604">
        <v>4.0999999999999996</v>
      </c>
      <c r="B145" s="1590">
        <v>0.95909999999999995</v>
      </c>
      <c r="C145" s="1590">
        <v>0.95909999999999995</v>
      </c>
      <c r="D145" s="1590">
        <v>0.86009999999999998</v>
      </c>
      <c r="E145" s="1590">
        <v>0.86009999999999998</v>
      </c>
      <c r="F145" s="1590">
        <v>0.86009999999999998</v>
      </c>
      <c r="G145" s="1590">
        <v>0.86009999999999998</v>
      </c>
      <c r="H145" s="1590">
        <v>0.86009999999999998</v>
      </c>
      <c r="I145" s="1590">
        <v>0.78200000000000003</v>
      </c>
      <c r="J145" s="1590">
        <v>0.78200000000000003</v>
      </c>
      <c r="K145" s="1590">
        <v>0.78200000000000003</v>
      </c>
      <c r="L145" s="1590">
        <v>0.78200000000000003</v>
      </c>
      <c r="M145" s="1590">
        <v>0.78200000000000003</v>
      </c>
    </row>
    <row r="146" spans="1:13">
      <c r="A146" s="1604">
        <v>4.2</v>
      </c>
      <c r="B146" s="1590">
        <v>0.95350000000000001</v>
      </c>
      <c r="C146" s="1590">
        <v>0.95350000000000001</v>
      </c>
      <c r="D146" s="1590">
        <v>0.85470000000000002</v>
      </c>
      <c r="E146" s="1590">
        <v>0.85470000000000002</v>
      </c>
      <c r="F146" s="1590">
        <v>0.85470000000000002</v>
      </c>
      <c r="G146" s="1590">
        <v>0.85470000000000002</v>
      </c>
      <c r="H146" s="1590">
        <v>0.85470000000000002</v>
      </c>
      <c r="I146" s="1590">
        <v>0.77600000000000002</v>
      </c>
      <c r="J146" s="1590">
        <v>0.77600000000000002</v>
      </c>
      <c r="K146" s="1590">
        <v>0.77600000000000002</v>
      </c>
      <c r="L146" s="1590">
        <v>0.77600000000000002</v>
      </c>
      <c r="M146" s="1590">
        <v>0.77600000000000002</v>
      </c>
    </row>
    <row r="147" spans="1:13">
      <c r="A147" s="1604">
        <v>4.3</v>
      </c>
      <c r="B147" s="1590">
        <v>0.94820000000000004</v>
      </c>
      <c r="C147" s="1590">
        <v>0.94820000000000004</v>
      </c>
      <c r="D147" s="1590">
        <v>0.84960000000000002</v>
      </c>
      <c r="E147" s="1590">
        <v>0.84960000000000002</v>
      </c>
      <c r="F147" s="1590">
        <v>0.84960000000000002</v>
      </c>
      <c r="G147" s="1590">
        <v>0.84960000000000002</v>
      </c>
      <c r="H147" s="1590">
        <v>0.84960000000000002</v>
      </c>
      <c r="I147" s="1590">
        <v>0.77029999999999998</v>
      </c>
      <c r="J147" s="1590">
        <v>0.77029999999999998</v>
      </c>
      <c r="K147" s="1590">
        <v>0.77029999999999998</v>
      </c>
      <c r="L147" s="1590">
        <v>0.77029999999999998</v>
      </c>
      <c r="M147" s="1590">
        <v>0.77029999999999998</v>
      </c>
    </row>
    <row r="148" spans="1:13">
      <c r="A148" s="1604">
        <v>4.4000000000000004</v>
      </c>
      <c r="B148" s="1590">
        <v>0.94320000000000004</v>
      </c>
      <c r="C148" s="1590">
        <v>0.94320000000000004</v>
      </c>
      <c r="D148" s="1590">
        <v>0.8448</v>
      </c>
      <c r="E148" s="1590">
        <v>0.8448</v>
      </c>
      <c r="F148" s="1590">
        <v>0.8448</v>
      </c>
      <c r="G148" s="1590">
        <v>0.8448</v>
      </c>
      <c r="H148" s="1590">
        <v>0.8448</v>
      </c>
      <c r="I148" s="1590">
        <v>0.76490000000000002</v>
      </c>
      <c r="J148" s="1590">
        <v>0.76490000000000002</v>
      </c>
      <c r="K148" s="1590">
        <v>0.76490000000000002</v>
      </c>
      <c r="L148" s="1590">
        <v>0.76490000000000002</v>
      </c>
      <c r="M148" s="1590">
        <v>0.76490000000000002</v>
      </c>
    </row>
    <row r="149" spans="1:13">
      <c r="A149" s="1604">
        <v>4.5</v>
      </c>
      <c r="B149" s="1590">
        <v>0.9385</v>
      </c>
      <c r="C149" s="1590">
        <v>0.9385</v>
      </c>
      <c r="D149" s="1590">
        <v>0.84019999999999995</v>
      </c>
      <c r="E149" s="1590">
        <v>0.84019999999999995</v>
      </c>
      <c r="F149" s="1590">
        <v>0.84019999999999995</v>
      </c>
      <c r="G149" s="1590">
        <v>0.84019999999999995</v>
      </c>
      <c r="H149" s="1590">
        <v>0.84019999999999995</v>
      </c>
      <c r="I149" s="1590">
        <v>0.75970000000000004</v>
      </c>
      <c r="J149" s="1590">
        <v>0.75970000000000004</v>
      </c>
      <c r="K149" s="1590">
        <v>0.75970000000000004</v>
      </c>
      <c r="L149" s="1590">
        <v>0.75970000000000004</v>
      </c>
      <c r="M149" s="1590">
        <v>0.75970000000000004</v>
      </c>
    </row>
    <row r="150" spans="1:13">
      <c r="A150" s="1604">
        <v>4.5999999999999996</v>
      </c>
      <c r="B150" s="1590">
        <v>0.93410000000000004</v>
      </c>
      <c r="C150" s="1590">
        <v>0.93410000000000004</v>
      </c>
      <c r="D150" s="1590">
        <v>0.83579999999999999</v>
      </c>
      <c r="E150" s="1590">
        <v>0.83579999999999999</v>
      </c>
      <c r="F150" s="1590">
        <v>0.83579999999999999</v>
      </c>
      <c r="G150" s="1590">
        <v>0.83579999999999999</v>
      </c>
      <c r="H150" s="1590">
        <v>0.83579999999999999</v>
      </c>
      <c r="I150" s="1590">
        <v>0.75470000000000004</v>
      </c>
      <c r="J150" s="1590">
        <v>0.75470000000000004</v>
      </c>
      <c r="K150" s="1590">
        <v>0.75470000000000004</v>
      </c>
      <c r="L150" s="1590">
        <v>0.75470000000000004</v>
      </c>
      <c r="M150" s="1590">
        <v>0.75470000000000004</v>
      </c>
    </row>
    <row r="151" spans="1:13">
      <c r="A151" s="1604">
        <v>4.7</v>
      </c>
      <c r="B151" s="1590">
        <v>0.92989999999999995</v>
      </c>
      <c r="C151" s="1590">
        <v>0.92989999999999995</v>
      </c>
      <c r="D151" s="1590">
        <v>0.83160000000000001</v>
      </c>
      <c r="E151" s="1590">
        <v>0.83160000000000001</v>
      </c>
      <c r="F151" s="1590">
        <v>0.83160000000000001</v>
      </c>
      <c r="G151" s="1590">
        <v>0.83160000000000001</v>
      </c>
      <c r="H151" s="1590">
        <v>0.83160000000000001</v>
      </c>
      <c r="I151" s="1590">
        <v>0.74990000000000001</v>
      </c>
      <c r="J151" s="1590">
        <v>0.74990000000000001</v>
      </c>
      <c r="K151" s="1590">
        <v>0.74990000000000001</v>
      </c>
      <c r="L151" s="1590">
        <v>0.74990000000000001</v>
      </c>
      <c r="M151" s="1590">
        <v>0.74990000000000001</v>
      </c>
    </row>
    <row r="152" spans="1:13">
      <c r="A152" s="1604">
        <v>4.8</v>
      </c>
      <c r="B152" s="1590">
        <v>0.92589999999999995</v>
      </c>
      <c r="C152" s="1590">
        <v>0.92589999999999995</v>
      </c>
      <c r="D152" s="1590">
        <v>0.82769999999999999</v>
      </c>
      <c r="E152" s="1590">
        <v>0.82769999999999999</v>
      </c>
      <c r="F152" s="1590">
        <v>0.82769999999999999</v>
      </c>
      <c r="G152" s="1590">
        <v>0.82769999999999999</v>
      </c>
      <c r="H152" s="1590">
        <v>0.82769999999999999</v>
      </c>
      <c r="I152" s="1590">
        <v>0.74529999999999996</v>
      </c>
      <c r="J152" s="1590">
        <v>0.74529999999999996</v>
      </c>
      <c r="K152" s="1590">
        <v>0.74529999999999996</v>
      </c>
      <c r="L152" s="1590">
        <v>0.74529999999999996</v>
      </c>
      <c r="M152" s="1590">
        <v>0.74529999999999996</v>
      </c>
    </row>
    <row r="153" spans="1:13">
      <c r="A153" s="1604">
        <v>4.9000000000000004</v>
      </c>
      <c r="B153" s="1590">
        <v>0.92210000000000003</v>
      </c>
      <c r="C153" s="1590">
        <v>0.92210000000000003</v>
      </c>
      <c r="D153" s="1590">
        <v>0.82389999999999997</v>
      </c>
      <c r="E153" s="1590">
        <v>0.82389999999999997</v>
      </c>
      <c r="F153" s="1590">
        <v>0.82389999999999997</v>
      </c>
      <c r="G153" s="1590">
        <v>0.82389999999999997</v>
      </c>
      <c r="H153" s="1590">
        <v>0.82389999999999997</v>
      </c>
      <c r="I153" s="1590">
        <v>0.7409</v>
      </c>
      <c r="J153" s="1590">
        <v>0.7409</v>
      </c>
      <c r="K153" s="1590">
        <v>0.7409</v>
      </c>
      <c r="L153" s="1590">
        <v>0.7409</v>
      </c>
      <c r="M153" s="1590">
        <v>0.7409</v>
      </c>
    </row>
    <row r="154" spans="1:13">
      <c r="A154" s="1604">
        <v>5</v>
      </c>
      <c r="B154" s="1590">
        <v>0.91849999999999998</v>
      </c>
      <c r="C154" s="1590">
        <v>0.91849999999999998</v>
      </c>
      <c r="D154" s="1590">
        <v>0.82030000000000003</v>
      </c>
      <c r="E154" s="1590">
        <v>0.82030000000000003</v>
      </c>
      <c r="F154" s="1590">
        <v>0.82030000000000003</v>
      </c>
      <c r="G154" s="1590">
        <v>0.82030000000000003</v>
      </c>
      <c r="H154" s="1590">
        <v>0.82030000000000003</v>
      </c>
      <c r="I154" s="1590">
        <v>0.73670000000000002</v>
      </c>
      <c r="J154" s="1590">
        <v>0.73670000000000002</v>
      </c>
      <c r="K154" s="1590">
        <v>0.73670000000000002</v>
      </c>
      <c r="L154" s="1590">
        <v>0.73670000000000002</v>
      </c>
      <c r="M154" s="1590">
        <v>0.73670000000000002</v>
      </c>
    </row>
    <row r="155" spans="1:13">
      <c r="A155" s="1581">
        <v>5.0999999999999996</v>
      </c>
      <c r="B155" s="1590">
        <v>0.91510000000000002</v>
      </c>
      <c r="C155" s="1590">
        <v>0.91510000000000002</v>
      </c>
      <c r="D155" s="1590">
        <v>0.81689999999999996</v>
      </c>
      <c r="E155" s="1590">
        <v>0.81689999999999996</v>
      </c>
      <c r="F155" s="1590">
        <v>0.81689999999999996</v>
      </c>
      <c r="G155" s="1590">
        <v>0.81689999999999996</v>
      </c>
      <c r="H155" s="1590">
        <v>0.81689999999999996</v>
      </c>
      <c r="I155" s="1590">
        <v>0.73270000000000002</v>
      </c>
      <c r="J155" s="1590">
        <v>0.73270000000000002</v>
      </c>
      <c r="K155" s="1590">
        <v>0.73270000000000002</v>
      </c>
      <c r="L155" s="1590">
        <v>0.73270000000000002</v>
      </c>
      <c r="M155" s="1590">
        <v>0.73270000000000002</v>
      </c>
    </row>
    <row r="156" spans="1:13">
      <c r="A156" s="1581">
        <v>5.2</v>
      </c>
      <c r="B156" s="1590">
        <v>0.91190000000000004</v>
      </c>
      <c r="C156" s="1590">
        <v>0.91190000000000004</v>
      </c>
      <c r="D156" s="1590">
        <v>0.81359999999999999</v>
      </c>
      <c r="E156" s="1590">
        <v>0.81359999999999999</v>
      </c>
      <c r="F156" s="1590">
        <v>0.81359999999999999</v>
      </c>
      <c r="G156" s="1590">
        <v>0.81359999999999999</v>
      </c>
      <c r="H156" s="1590">
        <v>0.81359999999999999</v>
      </c>
      <c r="I156" s="1590">
        <v>0.72889999999999999</v>
      </c>
      <c r="J156" s="1590">
        <v>0.72889999999999999</v>
      </c>
      <c r="K156" s="1590">
        <v>0.72889999999999999</v>
      </c>
      <c r="L156" s="1590">
        <v>0.72889999999999999</v>
      </c>
      <c r="M156" s="1590">
        <v>0.72889999999999999</v>
      </c>
    </row>
    <row r="157" spans="1:13">
      <c r="A157" s="1581">
        <v>5.3</v>
      </c>
      <c r="B157" s="1590">
        <v>0.90880000000000005</v>
      </c>
      <c r="C157" s="1590">
        <v>0.90880000000000005</v>
      </c>
      <c r="D157" s="1590">
        <v>0.8105</v>
      </c>
      <c r="E157" s="1590">
        <v>0.8105</v>
      </c>
      <c r="F157" s="1590">
        <v>0.8105</v>
      </c>
      <c r="G157" s="1590">
        <v>0.8105</v>
      </c>
      <c r="H157" s="1590">
        <v>0.8105</v>
      </c>
      <c r="I157" s="1590">
        <v>0.72529999999999994</v>
      </c>
      <c r="J157" s="1590">
        <v>0.72529999999999994</v>
      </c>
      <c r="K157" s="1590">
        <v>0.72529999999999994</v>
      </c>
      <c r="L157" s="1590">
        <v>0.72529999999999994</v>
      </c>
      <c r="M157" s="1590">
        <v>0.72529999999999994</v>
      </c>
    </row>
    <row r="158" spans="1:13">
      <c r="A158" s="1581">
        <v>5.4</v>
      </c>
      <c r="B158" s="1590">
        <v>0.90580000000000005</v>
      </c>
      <c r="C158" s="1590">
        <v>0.90580000000000005</v>
      </c>
      <c r="D158" s="1590">
        <v>0.8075</v>
      </c>
      <c r="E158" s="1590">
        <v>0.8075</v>
      </c>
      <c r="F158" s="1590">
        <v>0.8075</v>
      </c>
      <c r="G158" s="1590">
        <v>0.8075</v>
      </c>
      <c r="H158" s="1590">
        <v>0.8075</v>
      </c>
      <c r="I158" s="1590">
        <v>0.7218</v>
      </c>
      <c r="J158" s="1590">
        <v>0.7218</v>
      </c>
      <c r="K158" s="1590">
        <v>0.7218</v>
      </c>
      <c r="L158" s="1590">
        <v>0.7218</v>
      </c>
      <c r="M158" s="1590">
        <v>0.7218</v>
      </c>
    </row>
    <row r="159" spans="1:13">
      <c r="A159" s="1581">
        <v>5.5</v>
      </c>
      <c r="B159" s="1590">
        <v>0.90290000000000004</v>
      </c>
      <c r="C159" s="1590">
        <v>0.90290000000000004</v>
      </c>
      <c r="D159" s="1590">
        <v>0.80469999999999997</v>
      </c>
      <c r="E159" s="1590">
        <v>0.80469999999999997</v>
      </c>
      <c r="F159" s="1590">
        <v>0.80469999999999997</v>
      </c>
      <c r="G159" s="1590">
        <v>0.80469999999999997</v>
      </c>
      <c r="H159" s="1590">
        <v>0.80469999999999997</v>
      </c>
      <c r="I159" s="1590">
        <v>0.71840000000000004</v>
      </c>
      <c r="J159" s="1590">
        <v>0.71840000000000004</v>
      </c>
      <c r="K159" s="1590">
        <v>0.71840000000000004</v>
      </c>
      <c r="L159" s="1590">
        <v>0.71840000000000004</v>
      </c>
      <c r="M159" s="1590">
        <v>0.71840000000000004</v>
      </c>
    </row>
    <row r="160" spans="1:13">
      <c r="A160" s="1581">
        <v>5.6</v>
      </c>
      <c r="B160" s="1590">
        <v>0.90010000000000001</v>
      </c>
      <c r="C160" s="1590">
        <v>0.90010000000000001</v>
      </c>
      <c r="D160" s="1590">
        <v>0.80200000000000005</v>
      </c>
      <c r="E160" s="1590">
        <v>0.80200000000000005</v>
      </c>
      <c r="F160" s="1590">
        <v>0.80200000000000005</v>
      </c>
      <c r="G160" s="1590">
        <v>0.80200000000000005</v>
      </c>
      <c r="H160" s="1590">
        <v>0.80200000000000005</v>
      </c>
      <c r="I160" s="1590">
        <v>0.71509999999999996</v>
      </c>
      <c r="J160" s="1590">
        <v>0.71509999999999996</v>
      </c>
      <c r="K160" s="1590">
        <v>0.71509999999999996</v>
      </c>
      <c r="L160" s="1590">
        <v>0.71509999999999996</v>
      </c>
      <c r="M160" s="1590">
        <v>0.71509999999999996</v>
      </c>
    </row>
    <row r="161" spans="1:13">
      <c r="A161" s="1604">
        <v>5.7</v>
      </c>
      <c r="B161" s="1590">
        <v>0.89749999999999996</v>
      </c>
      <c r="C161" s="1590">
        <v>0.89749999999999996</v>
      </c>
      <c r="D161" s="1590">
        <v>0.79930000000000001</v>
      </c>
      <c r="E161" s="1590">
        <v>0.79930000000000001</v>
      </c>
      <c r="F161" s="1590">
        <v>0.79930000000000001</v>
      </c>
      <c r="G161" s="1590">
        <v>0.79930000000000001</v>
      </c>
      <c r="H161" s="1590">
        <v>0.79930000000000001</v>
      </c>
      <c r="I161" s="1590">
        <v>0.71189999999999998</v>
      </c>
      <c r="J161" s="1590">
        <v>0.71189999999999998</v>
      </c>
      <c r="K161" s="1590">
        <v>0.71189999999999998</v>
      </c>
      <c r="L161" s="1590">
        <v>0.71189999999999998</v>
      </c>
      <c r="M161" s="1590">
        <v>0.71189999999999998</v>
      </c>
    </row>
    <row r="162" spans="1:13">
      <c r="A162" s="1581">
        <v>5.8</v>
      </c>
      <c r="B162" s="1590">
        <v>0.89500000000000002</v>
      </c>
      <c r="C162" s="1590">
        <v>0.89500000000000002</v>
      </c>
      <c r="D162" s="1590">
        <v>0.79679999999999995</v>
      </c>
      <c r="E162" s="1590">
        <v>0.79679999999999995</v>
      </c>
      <c r="F162" s="1590">
        <v>0.79679999999999995</v>
      </c>
      <c r="G162" s="1590">
        <v>0.79679999999999995</v>
      </c>
      <c r="H162" s="1590">
        <v>0.79679999999999995</v>
      </c>
      <c r="I162" s="1590">
        <v>0.70879999999999999</v>
      </c>
      <c r="J162" s="1590">
        <v>0.70879999999999999</v>
      </c>
      <c r="K162" s="1590">
        <v>0.70879999999999999</v>
      </c>
      <c r="L162" s="1590">
        <v>0.70879999999999999</v>
      </c>
      <c r="M162" s="1590">
        <v>0.70879999999999999</v>
      </c>
    </row>
    <row r="163" spans="1:13">
      <c r="A163" s="1581">
        <v>5.9</v>
      </c>
      <c r="B163" s="1590">
        <v>0.89259999999999995</v>
      </c>
      <c r="C163" s="1590">
        <v>0.89259999999999995</v>
      </c>
      <c r="D163" s="1590">
        <v>0.7944</v>
      </c>
      <c r="E163" s="1590">
        <v>0.7944</v>
      </c>
      <c r="F163" s="1590">
        <v>0.7944</v>
      </c>
      <c r="G163" s="1590">
        <v>0.7944</v>
      </c>
      <c r="H163" s="1590">
        <v>0.7944</v>
      </c>
      <c r="I163" s="1590">
        <v>0.70579999999999998</v>
      </c>
      <c r="J163" s="1590">
        <v>0.70579999999999998</v>
      </c>
      <c r="K163" s="1590">
        <v>0.70579999999999998</v>
      </c>
      <c r="L163" s="1590">
        <v>0.70579999999999998</v>
      </c>
      <c r="M163" s="1590">
        <v>0.70579999999999998</v>
      </c>
    </row>
    <row r="164" spans="1:13">
      <c r="A164" s="1581">
        <v>6</v>
      </c>
      <c r="B164" s="1590">
        <v>0.89029999999999998</v>
      </c>
      <c r="C164" s="1590">
        <v>0.89029999999999998</v>
      </c>
      <c r="D164" s="1590">
        <v>0.79200000000000004</v>
      </c>
      <c r="E164" s="1590">
        <v>0.79200000000000004</v>
      </c>
      <c r="F164" s="1590">
        <v>0.79200000000000004</v>
      </c>
      <c r="G164" s="1590">
        <v>0.79200000000000004</v>
      </c>
      <c r="H164" s="1590">
        <v>0.79200000000000004</v>
      </c>
      <c r="I164" s="1590">
        <v>0.70289999999999997</v>
      </c>
      <c r="J164" s="1590">
        <v>0.70289999999999997</v>
      </c>
      <c r="K164" s="1590">
        <v>0.70289999999999997</v>
      </c>
      <c r="L164" s="1590">
        <v>0.70289999999999997</v>
      </c>
      <c r="M164" s="1590">
        <v>0.70289999999999997</v>
      </c>
    </row>
    <row r="165" spans="1:13">
      <c r="A165" s="1581">
        <v>6.1</v>
      </c>
      <c r="B165" s="1590">
        <v>0.8881</v>
      </c>
      <c r="C165" s="1590">
        <v>0.8881</v>
      </c>
      <c r="D165" s="1590">
        <v>0.78979999999999995</v>
      </c>
      <c r="E165" s="1590">
        <v>0.78979999999999995</v>
      </c>
      <c r="F165" s="1590">
        <v>0.78979999999999995</v>
      </c>
      <c r="G165" s="1590">
        <v>0.78979999999999995</v>
      </c>
      <c r="H165" s="1590">
        <v>0.78979999999999995</v>
      </c>
      <c r="I165" s="1590">
        <v>0.70009999999999994</v>
      </c>
      <c r="J165" s="1590">
        <v>0.70009999999999994</v>
      </c>
      <c r="K165" s="1590">
        <v>0.70009999999999994</v>
      </c>
      <c r="L165" s="1590">
        <v>0.70009999999999994</v>
      </c>
      <c r="M165" s="1590">
        <v>0.70009999999999994</v>
      </c>
    </row>
    <row r="166" spans="1:13">
      <c r="A166" s="1581">
        <v>6.2</v>
      </c>
      <c r="B166" s="1590">
        <v>0.88600000000000001</v>
      </c>
      <c r="C166" s="1590">
        <v>0.88600000000000001</v>
      </c>
      <c r="D166" s="1590">
        <v>0.78759999999999997</v>
      </c>
      <c r="E166" s="1590">
        <v>0.78759999999999997</v>
      </c>
      <c r="F166" s="1590">
        <v>0.78759999999999997</v>
      </c>
      <c r="G166" s="1590">
        <v>0.78759999999999997</v>
      </c>
      <c r="H166" s="1590">
        <v>0.78759999999999997</v>
      </c>
      <c r="I166" s="1590">
        <v>0.69740000000000002</v>
      </c>
      <c r="J166" s="1590">
        <v>0.69740000000000002</v>
      </c>
      <c r="K166" s="1590">
        <v>0.69740000000000002</v>
      </c>
      <c r="L166" s="1590">
        <v>0.69740000000000002</v>
      </c>
      <c r="M166" s="1590">
        <v>0.69740000000000002</v>
      </c>
    </row>
    <row r="167" spans="1:13">
      <c r="A167" s="1581">
        <v>6.3</v>
      </c>
      <c r="B167" s="1590">
        <v>0.88390000000000002</v>
      </c>
      <c r="C167" s="1590">
        <v>0.88390000000000002</v>
      </c>
      <c r="D167" s="1590">
        <v>0.78549999999999998</v>
      </c>
      <c r="E167" s="1590">
        <v>0.78549999999999998</v>
      </c>
      <c r="F167" s="1590">
        <v>0.78549999999999998</v>
      </c>
      <c r="G167" s="1590">
        <v>0.78549999999999998</v>
      </c>
      <c r="H167" s="1590">
        <v>0.78549999999999998</v>
      </c>
      <c r="I167" s="1590">
        <v>0.69479999999999997</v>
      </c>
      <c r="J167" s="1590">
        <v>0.69479999999999997</v>
      </c>
      <c r="K167" s="1590">
        <v>0.69479999999999997</v>
      </c>
      <c r="L167" s="1590">
        <v>0.69479999999999997</v>
      </c>
      <c r="M167" s="1590">
        <v>0.69479999999999997</v>
      </c>
    </row>
    <row r="168" spans="1:13">
      <c r="A168" s="1581">
        <v>6.4</v>
      </c>
      <c r="B168" s="1590">
        <v>0.88190000000000002</v>
      </c>
      <c r="C168" s="1590">
        <v>0.88190000000000002</v>
      </c>
      <c r="D168" s="1590">
        <v>0.78339999999999999</v>
      </c>
      <c r="E168" s="1590">
        <v>0.78339999999999999</v>
      </c>
      <c r="F168" s="1590">
        <v>0.78339999999999999</v>
      </c>
      <c r="G168" s="1590">
        <v>0.78339999999999999</v>
      </c>
      <c r="H168" s="1590">
        <v>0.78339999999999999</v>
      </c>
      <c r="I168" s="1590">
        <v>0.69230000000000003</v>
      </c>
      <c r="J168" s="1590">
        <v>0.69230000000000003</v>
      </c>
      <c r="K168" s="1590">
        <v>0.69230000000000003</v>
      </c>
      <c r="L168" s="1590">
        <v>0.69230000000000003</v>
      </c>
      <c r="M168" s="1590">
        <v>0.69230000000000003</v>
      </c>
    </row>
    <row r="169" spans="1:13">
      <c r="A169" s="1581">
        <v>6.5</v>
      </c>
      <c r="B169" s="1590">
        <v>0.88</v>
      </c>
      <c r="C169" s="1590">
        <v>0.88</v>
      </c>
      <c r="D169" s="1590">
        <v>0.78139999999999998</v>
      </c>
      <c r="E169" s="1590">
        <v>0.78139999999999998</v>
      </c>
      <c r="F169" s="1590">
        <v>0.78139999999999998</v>
      </c>
      <c r="G169" s="1590">
        <v>0.78139999999999998</v>
      </c>
      <c r="H169" s="1590">
        <v>0.78139999999999998</v>
      </c>
      <c r="I169" s="1590">
        <v>0.68989999999999996</v>
      </c>
      <c r="J169" s="1590">
        <v>0.68989999999999996</v>
      </c>
      <c r="K169" s="1590">
        <v>0.68989999999999996</v>
      </c>
      <c r="L169" s="1590">
        <v>0.68989999999999996</v>
      </c>
      <c r="M169" s="1590">
        <v>0.68989999999999996</v>
      </c>
    </row>
    <row r="170" spans="1:13">
      <c r="A170" s="1581">
        <v>6.6</v>
      </c>
      <c r="B170" s="1590">
        <v>0.87809999999999999</v>
      </c>
      <c r="C170" s="1590">
        <v>0.87809999999999999</v>
      </c>
      <c r="D170" s="1590">
        <v>0.77949999999999997</v>
      </c>
      <c r="E170" s="1590">
        <v>0.77949999999999997</v>
      </c>
      <c r="F170" s="1590">
        <v>0.77949999999999997</v>
      </c>
      <c r="G170" s="1590">
        <v>0.77949999999999997</v>
      </c>
      <c r="H170" s="1590">
        <v>0.77949999999999997</v>
      </c>
      <c r="I170" s="1590">
        <v>0.68759999999999999</v>
      </c>
      <c r="J170" s="1590">
        <v>0.68759999999999999</v>
      </c>
      <c r="K170" s="1590">
        <v>0.68759999999999999</v>
      </c>
      <c r="L170" s="1590">
        <v>0.68759999999999999</v>
      </c>
      <c r="M170" s="1590">
        <v>0.68759999999999999</v>
      </c>
    </row>
    <row r="171" spans="1:13">
      <c r="A171" s="1581">
        <v>6.7</v>
      </c>
      <c r="B171" s="1590">
        <v>0.87629999999999997</v>
      </c>
      <c r="C171" s="1590">
        <v>0.87629999999999997</v>
      </c>
      <c r="D171" s="1590">
        <v>0.77759999999999996</v>
      </c>
      <c r="E171" s="1590">
        <v>0.77759999999999996</v>
      </c>
      <c r="F171" s="1590">
        <v>0.77759999999999996</v>
      </c>
      <c r="G171" s="1590">
        <v>0.77759999999999996</v>
      </c>
      <c r="H171" s="1590">
        <v>0.77759999999999996</v>
      </c>
      <c r="I171" s="1590">
        <v>0.68530000000000002</v>
      </c>
      <c r="J171" s="1590">
        <v>0.68530000000000002</v>
      </c>
      <c r="K171" s="1590">
        <v>0.68530000000000002</v>
      </c>
      <c r="L171" s="1590">
        <v>0.68530000000000002</v>
      </c>
      <c r="M171" s="1590">
        <v>0.68530000000000002</v>
      </c>
    </row>
    <row r="172" spans="1:13">
      <c r="A172" s="1581">
        <v>6.8</v>
      </c>
      <c r="B172" s="1590">
        <v>0.87450000000000006</v>
      </c>
      <c r="C172" s="1590">
        <v>0.87450000000000006</v>
      </c>
      <c r="D172" s="1590">
        <v>0.77569999999999995</v>
      </c>
      <c r="E172" s="1590">
        <v>0.77569999999999995</v>
      </c>
      <c r="F172" s="1590">
        <v>0.77569999999999995</v>
      </c>
      <c r="G172" s="1590">
        <v>0.77569999999999995</v>
      </c>
      <c r="H172" s="1590">
        <v>0.77569999999999995</v>
      </c>
      <c r="I172" s="1590">
        <v>0.68310000000000004</v>
      </c>
      <c r="J172" s="1590">
        <v>0.68310000000000004</v>
      </c>
      <c r="K172" s="1590">
        <v>0.68310000000000004</v>
      </c>
      <c r="L172" s="1590">
        <v>0.68310000000000004</v>
      </c>
      <c r="M172" s="1590">
        <v>0.68310000000000004</v>
      </c>
    </row>
    <row r="173" spans="1:13">
      <c r="A173" s="1581">
        <v>6.9</v>
      </c>
      <c r="B173" s="1590">
        <v>0.87280000000000002</v>
      </c>
      <c r="C173" s="1590">
        <v>0.87280000000000002</v>
      </c>
      <c r="D173" s="1590">
        <v>0.77390000000000003</v>
      </c>
      <c r="E173" s="1590">
        <v>0.77390000000000003</v>
      </c>
      <c r="F173" s="1590">
        <v>0.77390000000000003</v>
      </c>
      <c r="G173" s="1590">
        <v>0.77390000000000003</v>
      </c>
      <c r="H173" s="1590">
        <v>0.77390000000000003</v>
      </c>
      <c r="I173" s="1590">
        <v>0.68089999999999995</v>
      </c>
      <c r="J173" s="1590">
        <v>0.68089999999999995</v>
      </c>
      <c r="K173" s="1590">
        <v>0.68089999999999995</v>
      </c>
      <c r="L173" s="1590">
        <v>0.68089999999999995</v>
      </c>
      <c r="M173" s="1590">
        <v>0.68089999999999995</v>
      </c>
    </row>
    <row r="174" spans="1:13">
      <c r="A174" s="1581">
        <v>7</v>
      </c>
      <c r="B174" s="1590">
        <v>0.87109999999999999</v>
      </c>
      <c r="C174" s="1590">
        <v>0.87109999999999999</v>
      </c>
      <c r="D174" s="1590">
        <v>0.77210000000000001</v>
      </c>
      <c r="E174" s="1590">
        <v>0.77210000000000001</v>
      </c>
      <c r="F174" s="1590">
        <v>0.77210000000000001</v>
      </c>
      <c r="G174" s="1590">
        <v>0.77210000000000001</v>
      </c>
      <c r="H174" s="1590">
        <v>0.77210000000000001</v>
      </c>
      <c r="I174" s="1590">
        <v>0.67879999999999996</v>
      </c>
      <c r="J174" s="1590">
        <v>0.67879999999999996</v>
      </c>
      <c r="K174" s="1590">
        <v>0.67879999999999996</v>
      </c>
      <c r="L174" s="1590">
        <v>0.67879999999999996</v>
      </c>
      <c r="M174" s="1590">
        <v>0.67879999999999996</v>
      </c>
    </row>
    <row r="175" spans="1:13">
      <c r="A175" s="1581">
        <v>7.1</v>
      </c>
      <c r="B175" s="1590">
        <v>0.86939999999999995</v>
      </c>
      <c r="C175" s="1590">
        <v>0.86939999999999995</v>
      </c>
      <c r="D175" s="1590">
        <v>0.77039999999999997</v>
      </c>
      <c r="E175" s="1590">
        <v>0.77039999999999997</v>
      </c>
      <c r="F175" s="1590">
        <v>0.77039999999999997</v>
      </c>
      <c r="G175" s="1590">
        <v>0.77039999999999997</v>
      </c>
      <c r="H175" s="1590">
        <v>0.77039999999999997</v>
      </c>
      <c r="I175" s="1590">
        <v>0.67669999999999997</v>
      </c>
      <c r="J175" s="1590">
        <v>0.67669999999999997</v>
      </c>
      <c r="K175" s="1590">
        <v>0.67669999999999997</v>
      </c>
      <c r="L175" s="1590">
        <v>0.67669999999999997</v>
      </c>
      <c r="M175" s="1590">
        <v>0.67669999999999997</v>
      </c>
    </row>
    <row r="176" spans="1:13">
      <c r="A176" s="1581">
        <v>7.2</v>
      </c>
      <c r="B176" s="1590">
        <v>0.86770000000000003</v>
      </c>
      <c r="C176" s="1590">
        <v>0.86770000000000003</v>
      </c>
      <c r="D176" s="1590">
        <v>0.76870000000000005</v>
      </c>
      <c r="E176" s="1590">
        <v>0.76870000000000005</v>
      </c>
      <c r="F176" s="1590">
        <v>0.76870000000000005</v>
      </c>
      <c r="G176" s="1590">
        <v>0.76870000000000005</v>
      </c>
      <c r="H176" s="1590">
        <v>0.76870000000000005</v>
      </c>
      <c r="I176" s="1590">
        <v>0.67469999999999997</v>
      </c>
      <c r="J176" s="1590">
        <v>0.67469999999999997</v>
      </c>
      <c r="K176" s="1590">
        <v>0.67469999999999997</v>
      </c>
      <c r="L176" s="1590">
        <v>0.67469999999999997</v>
      </c>
      <c r="M176" s="1590">
        <v>0.67469999999999997</v>
      </c>
    </row>
    <row r="177" spans="1:13">
      <c r="A177" s="1581">
        <v>7.3</v>
      </c>
      <c r="B177" s="1590">
        <v>0.86609999999999998</v>
      </c>
      <c r="C177" s="1590">
        <v>0.86609999999999998</v>
      </c>
      <c r="D177" s="1590">
        <v>0.76700000000000002</v>
      </c>
      <c r="E177" s="1590">
        <v>0.76700000000000002</v>
      </c>
      <c r="F177" s="1590">
        <v>0.76700000000000002</v>
      </c>
      <c r="G177" s="1590">
        <v>0.76700000000000002</v>
      </c>
      <c r="H177" s="1590">
        <v>0.76700000000000002</v>
      </c>
      <c r="I177" s="1590">
        <v>0.67269999999999996</v>
      </c>
      <c r="J177" s="1590">
        <v>0.67269999999999996</v>
      </c>
      <c r="K177" s="1590">
        <v>0.67269999999999996</v>
      </c>
      <c r="L177" s="1590">
        <v>0.67269999999999996</v>
      </c>
      <c r="M177" s="1590">
        <v>0.67269999999999996</v>
      </c>
    </row>
    <row r="178" spans="1:13">
      <c r="A178" s="1581">
        <v>7.4</v>
      </c>
      <c r="B178" s="1590">
        <v>0.86450000000000005</v>
      </c>
      <c r="C178" s="1590">
        <v>0.86450000000000005</v>
      </c>
      <c r="D178" s="1590">
        <v>0.76529999999999998</v>
      </c>
      <c r="E178" s="1590">
        <v>0.76529999999999998</v>
      </c>
      <c r="F178" s="1590">
        <v>0.76529999999999998</v>
      </c>
      <c r="G178" s="1590">
        <v>0.76529999999999998</v>
      </c>
      <c r="H178" s="1590">
        <v>0.76529999999999998</v>
      </c>
      <c r="I178" s="1590">
        <v>0.67079999999999995</v>
      </c>
      <c r="J178" s="1590">
        <v>0.67079999999999995</v>
      </c>
      <c r="K178" s="1590">
        <v>0.67079999999999995</v>
      </c>
      <c r="L178" s="1590">
        <v>0.67079999999999995</v>
      </c>
      <c r="M178" s="1590">
        <v>0.67079999999999995</v>
      </c>
    </row>
    <row r="179" spans="1:13">
      <c r="A179" s="1581">
        <v>7.5</v>
      </c>
      <c r="B179" s="1590">
        <v>0.86299999999999999</v>
      </c>
      <c r="C179" s="1590">
        <v>0.86299999999999999</v>
      </c>
      <c r="D179" s="1590">
        <v>0.76359999999999995</v>
      </c>
      <c r="E179" s="1590">
        <v>0.76359999999999995</v>
      </c>
      <c r="F179" s="1590">
        <v>0.76359999999999995</v>
      </c>
      <c r="G179" s="1590">
        <v>0.76359999999999995</v>
      </c>
      <c r="H179" s="1590">
        <v>0.76359999999999995</v>
      </c>
      <c r="I179" s="1590">
        <v>0.66890000000000005</v>
      </c>
      <c r="J179" s="1590">
        <v>0.66890000000000005</v>
      </c>
      <c r="K179" s="1590">
        <v>0.66890000000000005</v>
      </c>
      <c r="L179" s="1590">
        <v>0.66890000000000005</v>
      </c>
      <c r="M179" s="1590">
        <v>0.66890000000000005</v>
      </c>
    </row>
    <row r="180" spans="1:13">
      <c r="A180" s="1581">
        <v>7.6</v>
      </c>
      <c r="B180" s="1590">
        <v>0.86150000000000004</v>
      </c>
      <c r="C180" s="1590">
        <v>0.86150000000000004</v>
      </c>
      <c r="D180" s="1590">
        <v>0.76200000000000001</v>
      </c>
      <c r="E180" s="1590">
        <v>0.76200000000000001</v>
      </c>
      <c r="F180" s="1590">
        <v>0.76200000000000001</v>
      </c>
      <c r="G180" s="1590">
        <v>0.76200000000000001</v>
      </c>
      <c r="H180" s="1590">
        <v>0.76200000000000001</v>
      </c>
      <c r="I180" s="1590">
        <v>0.66700000000000004</v>
      </c>
      <c r="J180" s="1590">
        <v>0.66700000000000004</v>
      </c>
      <c r="K180" s="1590">
        <v>0.66700000000000004</v>
      </c>
      <c r="L180" s="1590">
        <v>0.66700000000000004</v>
      </c>
      <c r="M180" s="1590">
        <v>0.66700000000000004</v>
      </c>
    </row>
    <row r="181" spans="1:13">
      <c r="A181" s="1581">
        <v>7.7</v>
      </c>
      <c r="B181" s="1590">
        <v>0.86</v>
      </c>
      <c r="C181" s="1590">
        <v>0.86</v>
      </c>
      <c r="D181" s="1590">
        <v>0.76039999999999996</v>
      </c>
      <c r="E181" s="1590">
        <v>0.76039999999999996</v>
      </c>
      <c r="F181" s="1590">
        <v>0.76039999999999996</v>
      </c>
      <c r="G181" s="1590">
        <v>0.76039999999999996</v>
      </c>
      <c r="H181" s="1590">
        <v>0.76039999999999996</v>
      </c>
      <c r="I181" s="1590">
        <v>0.66510000000000002</v>
      </c>
      <c r="J181" s="1590">
        <v>0.66510000000000002</v>
      </c>
      <c r="K181" s="1590">
        <v>0.66510000000000002</v>
      </c>
      <c r="L181" s="1590">
        <v>0.66510000000000002</v>
      </c>
      <c r="M181" s="1590">
        <v>0.66510000000000002</v>
      </c>
    </row>
    <row r="182" spans="1:13">
      <c r="A182" s="1581">
        <v>7.8</v>
      </c>
      <c r="B182" s="1590">
        <v>0.85850000000000004</v>
      </c>
      <c r="C182" s="1590">
        <v>0.85850000000000004</v>
      </c>
      <c r="D182" s="1590">
        <v>0.75880000000000003</v>
      </c>
      <c r="E182" s="1590">
        <v>0.75880000000000003</v>
      </c>
      <c r="F182" s="1590">
        <v>0.75880000000000003</v>
      </c>
      <c r="G182" s="1590">
        <v>0.75880000000000003</v>
      </c>
      <c r="H182" s="1590">
        <v>0.75880000000000003</v>
      </c>
      <c r="I182" s="1590">
        <v>0.6633</v>
      </c>
      <c r="J182" s="1590">
        <v>0.6633</v>
      </c>
      <c r="K182" s="1590">
        <v>0.6633</v>
      </c>
      <c r="L182" s="1590">
        <v>0.6633</v>
      </c>
      <c r="M182" s="1590">
        <v>0.6633</v>
      </c>
    </row>
    <row r="183" spans="1:13">
      <c r="A183" s="1581">
        <v>7.9</v>
      </c>
      <c r="B183" s="1590">
        <v>0.85699999999999998</v>
      </c>
      <c r="C183" s="1590">
        <v>0.85699999999999998</v>
      </c>
      <c r="D183" s="1590">
        <v>0.75719999999999998</v>
      </c>
      <c r="E183" s="1590">
        <v>0.75719999999999998</v>
      </c>
      <c r="F183" s="1590">
        <v>0.75719999999999998</v>
      </c>
      <c r="G183" s="1590">
        <v>0.75719999999999998</v>
      </c>
      <c r="H183" s="1590">
        <v>0.75719999999999998</v>
      </c>
      <c r="I183" s="1590">
        <v>0.66149999999999998</v>
      </c>
      <c r="J183" s="1590">
        <v>0.66149999999999998</v>
      </c>
      <c r="K183" s="1590">
        <v>0.66149999999999998</v>
      </c>
      <c r="L183" s="1590">
        <v>0.66149999999999998</v>
      </c>
      <c r="M183" s="1590">
        <v>0.66149999999999998</v>
      </c>
    </row>
    <row r="184" spans="1:13">
      <c r="A184" s="1581">
        <v>8</v>
      </c>
      <c r="B184" s="1590">
        <v>0.85550000000000004</v>
      </c>
      <c r="C184" s="1590">
        <v>0.85550000000000004</v>
      </c>
      <c r="D184" s="1590">
        <v>0.75570000000000004</v>
      </c>
      <c r="E184" s="1590">
        <v>0.75570000000000004</v>
      </c>
      <c r="F184" s="1590">
        <v>0.75570000000000004</v>
      </c>
      <c r="G184" s="1590">
        <v>0.75570000000000004</v>
      </c>
      <c r="H184" s="1590">
        <v>0.75570000000000004</v>
      </c>
      <c r="I184" s="1590">
        <v>0.65969999999999995</v>
      </c>
      <c r="J184" s="1590">
        <v>0.65969999999999995</v>
      </c>
      <c r="K184" s="1590">
        <v>0.65969999999999995</v>
      </c>
      <c r="L184" s="1590">
        <v>0.65969999999999995</v>
      </c>
      <c r="M184" s="1590">
        <v>0.65969999999999995</v>
      </c>
    </row>
    <row r="185" spans="1:13">
      <c r="A185" s="1581">
        <v>8.1</v>
      </c>
      <c r="B185" s="1590">
        <v>0.85399999999999998</v>
      </c>
      <c r="C185" s="1590">
        <v>0.85399999999999998</v>
      </c>
      <c r="D185" s="1590">
        <v>0.75419999999999998</v>
      </c>
      <c r="E185" s="1590">
        <v>0.75419999999999998</v>
      </c>
      <c r="F185" s="1590">
        <v>0.75419999999999998</v>
      </c>
      <c r="G185" s="1590">
        <v>0.75419999999999998</v>
      </c>
      <c r="H185" s="1590">
        <v>0.75419999999999998</v>
      </c>
      <c r="I185" s="1590">
        <v>0.65800000000000003</v>
      </c>
      <c r="J185" s="1590">
        <v>0.65800000000000003</v>
      </c>
      <c r="K185" s="1590">
        <v>0.65800000000000003</v>
      </c>
      <c r="L185" s="1590">
        <v>0.65800000000000003</v>
      </c>
      <c r="M185" s="1590">
        <v>0.65800000000000003</v>
      </c>
    </row>
    <row r="186" spans="1:13">
      <c r="A186" s="1581">
        <v>8.1999999999999993</v>
      </c>
      <c r="B186" s="1590">
        <v>0.85250000000000004</v>
      </c>
      <c r="C186" s="1590">
        <v>0.85250000000000004</v>
      </c>
      <c r="D186" s="1590">
        <v>0.75270000000000004</v>
      </c>
      <c r="E186" s="1590">
        <v>0.75270000000000004</v>
      </c>
      <c r="F186" s="1590">
        <v>0.75270000000000004</v>
      </c>
      <c r="G186" s="1590">
        <v>0.75270000000000004</v>
      </c>
      <c r="H186" s="1590">
        <v>0.75270000000000004</v>
      </c>
      <c r="I186" s="1590">
        <v>0.65629999999999999</v>
      </c>
      <c r="J186" s="1590">
        <v>0.65629999999999999</v>
      </c>
      <c r="K186" s="1590">
        <v>0.65629999999999999</v>
      </c>
      <c r="L186" s="1590">
        <v>0.65629999999999999</v>
      </c>
      <c r="M186" s="1590">
        <v>0.65629999999999999</v>
      </c>
    </row>
    <row r="187" spans="1:13">
      <c r="A187" s="1581">
        <v>8.3000000000000007</v>
      </c>
      <c r="B187" s="1590">
        <v>0.85109999999999997</v>
      </c>
      <c r="C187" s="1590">
        <v>0.85109999999999997</v>
      </c>
      <c r="D187" s="1590">
        <v>0.75119999999999998</v>
      </c>
      <c r="E187" s="1590">
        <v>0.75119999999999998</v>
      </c>
      <c r="F187" s="1590">
        <v>0.75119999999999998</v>
      </c>
      <c r="G187" s="1590">
        <v>0.75119999999999998</v>
      </c>
      <c r="H187" s="1590">
        <v>0.75119999999999998</v>
      </c>
      <c r="I187" s="1590">
        <v>0.65459999999999996</v>
      </c>
      <c r="J187" s="1590">
        <v>0.65459999999999996</v>
      </c>
      <c r="K187" s="1590">
        <v>0.65459999999999996</v>
      </c>
      <c r="L187" s="1590">
        <v>0.65459999999999996</v>
      </c>
      <c r="M187" s="1590">
        <v>0.65459999999999996</v>
      </c>
    </row>
    <row r="188" spans="1:13">
      <c r="A188" s="1581">
        <v>8.4</v>
      </c>
      <c r="B188" s="1590">
        <v>0.84970000000000001</v>
      </c>
      <c r="C188" s="1590">
        <v>0.84970000000000001</v>
      </c>
      <c r="D188" s="1590">
        <v>0.74970000000000003</v>
      </c>
      <c r="E188" s="1590">
        <v>0.74970000000000003</v>
      </c>
      <c r="F188" s="1590">
        <v>0.74970000000000003</v>
      </c>
      <c r="G188" s="1590">
        <v>0.74970000000000003</v>
      </c>
      <c r="H188" s="1590">
        <v>0.74970000000000003</v>
      </c>
      <c r="I188" s="1590">
        <v>0.65300000000000002</v>
      </c>
      <c r="J188" s="1590">
        <v>0.65300000000000002</v>
      </c>
      <c r="K188" s="1590">
        <v>0.65300000000000002</v>
      </c>
      <c r="L188" s="1590">
        <v>0.65300000000000002</v>
      </c>
      <c r="M188" s="1590">
        <v>0.65300000000000002</v>
      </c>
    </row>
    <row r="189" spans="1:13">
      <c r="A189" s="1581">
        <v>8.5</v>
      </c>
      <c r="B189" s="1590">
        <v>0.84830000000000005</v>
      </c>
      <c r="C189" s="1590">
        <v>0.84830000000000005</v>
      </c>
      <c r="D189" s="1590">
        <v>0.74819999999999998</v>
      </c>
      <c r="E189" s="1590">
        <v>0.74819999999999998</v>
      </c>
      <c r="F189" s="1590">
        <v>0.74819999999999998</v>
      </c>
      <c r="G189" s="1590">
        <v>0.74819999999999998</v>
      </c>
      <c r="H189" s="1590">
        <v>0.74819999999999998</v>
      </c>
      <c r="I189" s="1590">
        <v>0.65139999999999998</v>
      </c>
      <c r="J189" s="1590">
        <v>0.65139999999999998</v>
      </c>
      <c r="K189" s="1590">
        <v>0.65139999999999998</v>
      </c>
      <c r="L189" s="1590">
        <v>0.65139999999999998</v>
      </c>
      <c r="M189" s="1590">
        <v>0.65139999999999998</v>
      </c>
    </row>
    <row r="190" spans="1:13">
      <c r="A190" s="1581">
        <v>8.6</v>
      </c>
      <c r="B190" s="1590">
        <v>0.84689999999999999</v>
      </c>
      <c r="C190" s="1590">
        <v>0.84689999999999999</v>
      </c>
      <c r="D190" s="1590">
        <v>0.74670000000000003</v>
      </c>
      <c r="E190" s="1590">
        <v>0.74670000000000003</v>
      </c>
      <c r="F190" s="1590">
        <v>0.74670000000000003</v>
      </c>
      <c r="G190" s="1590">
        <v>0.74670000000000003</v>
      </c>
      <c r="H190" s="1590">
        <v>0.74670000000000003</v>
      </c>
      <c r="I190" s="1590">
        <v>0.64980000000000004</v>
      </c>
      <c r="J190" s="1590">
        <v>0.64980000000000004</v>
      </c>
      <c r="K190" s="1590">
        <v>0.64980000000000004</v>
      </c>
      <c r="L190" s="1590">
        <v>0.64980000000000004</v>
      </c>
      <c r="M190" s="1590">
        <v>0.64980000000000004</v>
      </c>
    </row>
    <row r="191" spans="1:13">
      <c r="A191" s="1581">
        <v>8.6999999999999993</v>
      </c>
      <c r="B191" s="1590">
        <v>0.84550000000000003</v>
      </c>
      <c r="C191" s="1590">
        <v>0.84550000000000003</v>
      </c>
      <c r="D191" s="1590">
        <v>0.74519999999999997</v>
      </c>
      <c r="E191" s="1590">
        <v>0.74519999999999997</v>
      </c>
      <c r="F191" s="1590">
        <v>0.74519999999999997</v>
      </c>
      <c r="G191" s="1590">
        <v>0.74519999999999997</v>
      </c>
      <c r="H191" s="1590">
        <v>0.74519999999999997</v>
      </c>
      <c r="I191" s="1590">
        <v>0.6482</v>
      </c>
      <c r="J191" s="1590">
        <v>0.6482</v>
      </c>
      <c r="K191" s="1590">
        <v>0.6482</v>
      </c>
      <c r="L191" s="1590">
        <v>0.6482</v>
      </c>
      <c r="M191" s="1590">
        <v>0.6482</v>
      </c>
    </row>
    <row r="192" spans="1:13">
      <c r="A192" s="1581">
        <v>8.8000000000000007</v>
      </c>
      <c r="B192" s="1590">
        <v>0.84409999999999996</v>
      </c>
      <c r="C192" s="1590">
        <v>0.84409999999999996</v>
      </c>
      <c r="D192" s="1590">
        <v>0.74370000000000003</v>
      </c>
      <c r="E192" s="1590">
        <v>0.74370000000000003</v>
      </c>
      <c r="F192" s="1590">
        <v>0.74370000000000003</v>
      </c>
      <c r="G192" s="1590">
        <v>0.74370000000000003</v>
      </c>
      <c r="H192" s="1590">
        <v>0.74370000000000003</v>
      </c>
      <c r="I192" s="1590">
        <v>0.64659999999999995</v>
      </c>
      <c r="J192" s="1590">
        <v>0.64659999999999995</v>
      </c>
      <c r="K192" s="1590">
        <v>0.64659999999999995</v>
      </c>
      <c r="L192" s="1590">
        <v>0.64659999999999995</v>
      </c>
      <c r="M192" s="1590">
        <v>0.64659999999999995</v>
      </c>
    </row>
    <row r="193" spans="1:13">
      <c r="A193" s="1581">
        <v>8.9</v>
      </c>
      <c r="B193" s="1590">
        <v>0.84279999999999999</v>
      </c>
      <c r="C193" s="1590">
        <v>0.84279999999999999</v>
      </c>
      <c r="D193" s="1590">
        <v>0.74219999999999997</v>
      </c>
      <c r="E193" s="1590">
        <v>0.74219999999999997</v>
      </c>
      <c r="F193" s="1590">
        <v>0.74219999999999997</v>
      </c>
      <c r="G193" s="1590">
        <v>0.74219999999999997</v>
      </c>
      <c r="H193" s="1590">
        <v>0.74219999999999997</v>
      </c>
      <c r="I193" s="1590">
        <v>0.64500000000000002</v>
      </c>
      <c r="J193" s="1590">
        <v>0.64500000000000002</v>
      </c>
      <c r="K193" s="1590">
        <v>0.64500000000000002</v>
      </c>
      <c r="L193" s="1590">
        <v>0.64500000000000002</v>
      </c>
      <c r="M193" s="1590">
        <v>0.64500000000000002</v>
      </c>
    </row>
    <row r="194" spans="1:13">
      <c r="A194" s="1604">
        <v>9</v>
      </c>
      <c r="B194" s="1590">
        <v>0.84150000000000003</v>
      </c>
      <c r="C194" s="1590">
        <v>0.84150000000000003</v>
      </c>
      <c r="D194" s="1590">
        <v>0.74070000000000003</v>
      </c>
      <c r="E194" s="1590">
        <v>0.74070000000000003</v>
      </c>
      <c r="F194" s="1590">
        <v>0.74070000000000003</v>
      </c>
      <c r="G194" s="1590">
        <v>0.74070000000000003</v>
      </c>
      <c r="H194" s="1590">
        <v>0.74070000000000003</v>
      </c>
      <c r="I194" s="1590">
        <v>0.64349999999999996</v>
      </c>
      <c r="J194" s="1590">
        <v>0.64349999999999996</v>
      </c>
      <c r="K194" s="1590">
        <v>0.64349999999999996</v>
      </c>
      <c r="L194" s="1590">
        <v>0.64349999999999996</v>
      </c>
      <c r="M194" s="1590">
        <v>0.64349999999999996</v>
      </c>
    </row>
    <row r="195" spans="1:13">
      <c r="A195" s="1604">
        <v>9.1</v>
      </c>
      <c r="B195" s="1590">
        <v>0.84019999999999995</v>
      </c>
      <c r="C195" s="1590">
        <v>0.84019999999999995</v>
      </c>
      <c r="D195" s="1590">
        <v>0.73919999999999997</v>
      </c>
      <c r="E195" s="1590">
        <v>0.73919999999999997</v>
      </c>
      <c r="F195" s="1590">
        <v>0.73919999999999997</v>
      </c>
      <c r="G195" s="1590">
        <v>0.73919999999999997</v>
      </c>
      <c r="H195" s="1590">
        <v>0.73919999999999997</v>
      </c>
      <c r="I195" s="1590">
        <v>0.64200000000000002</v>
      </c>
      <c r="J195" s="1590">
        <v>0.64200000000000002</v>
      </c>
      <c r="K195" s="1590">
        <v>0.64200000000000002</v>
      </c>
      <c r="L195" s="1590">
        <v>0.64200000000000002</v>
      </c>
      <c r="M195" s="1590">
        <v>0.64200000000000002</v>
      </c>
    </row>
    <row r="196" spans="1:13">
      <c r="A196" s="1604">
        <v>9.1999999999999993</v>
      </c>
      <c r="B196" s="1590">
        <v>0.83889999999999998</v>
      </c>
      <c r="C196" s="1590">
        <v>0.83889999999999998</v>
      </c>
      <c r="D196" s="1590">
        <v>0.73770000000000002</v>
      </c>
      <c r="E196" s="1590">
        <v>0.73770000000000002</v>
      </c>
      <c r="F196" s="1590">
        <v>0.73770000000000002</v>
      </c>
      <c r="G196" s="1590">
        <v>0.73770000000000002</v>
      </c>
      <c r="H196" s="1590">
        <v>0.73770000000000002</v>
      </c>
      <c r="I196" s="1590">
        <v>0.64059999999999995</v>
      </c>
      <c r="J196" s="1590">
        <v>0.64059999999999995</v>
      </c>
      <c r="K196" s="1590">
        <v>0.64059999999999995</v>
      </c>
      <c r="L196" s="1590">
        <v>0.64059999999999995</v>
      </c>
      <c r="M196" s="1590">
        <v>0.64059999999999995</v>
      </c>
    </row>
    <row r="197" spans="1:13">
      <c r="A197" s="1604">
        <v>9.3000000000000007</v>
      </c>
      <c r="B197" s="1590">
        <v>0.83760000000000001</v>
      </c>
      <c r="C197" s="1590">
        <v>0.83760000000000001</v>
      </c>
      <c r="D197" s="1590">
        <v>0.73629999999999995</v>
      </c>
      <c r="E197" s="1590">
        <v>0.73629999999999995</v>
      </c>
      <c r="F197" s="1590">
        <v>0.73629999999999995</v>
      </c>
      <c r="G197" s="1590">
        <v>0.73629999999999995</v>
      </c>
      <c r="H197" s="1590">
        <v>0.73629999999999995</v>
      </c>
      <c r="I197" s="1590">
        <v>0.63919999999999999</v>
      </c>
      <c r="J197" s="1590">
        <v>0.63919999999999999</v>
      </c>
      <c r="K197" s="1590">
        <v>0.63919999999999999</v>
      </c>
      <c r="L197" s="1590">
        <v>0.63919999999999999</v>
      </c>
      <c r="M197" s="1590">
        <v>0.63919999999999999</v>
      </c>
    </row>
    <row r="198" spans="1:13">
      <c r="A198" s="1604">
        <v>9.4</v>
      </c>
      <c r="B198" s="1590">
        <v>0.83630000000000004</v>
      </c>
      <c r="C198" s="1590">
        <v>0.83630000000000004</v>
      </c>
      <c r="D198" s="1590">
        <v>0.7349</v>
      </c>
      <c r="E198" s="1590">
        <v>0.7349</v>
      </c>
      <c r="F198" s="1590">
        <v>0.7349</v>
      </c>
      <c r="G198" s="1590">
        <v>0.7349</v>
      </c>
      <c r="H198" s="1590">
        <v>0.7349</v>
      </c>
      <c r="I198" s="1590">
        <v>0.63780000000000003</v>
      </c>
      <c r="J198" s="1590">
        <v>0.63780000000000003</v>
      </c>
      <c r="K198" s="1590">
        <v>0.63780000000000003</v>
      </c>
      <c r="L198" s="1590">
        <v>0.63780000000000003</v>
      </c>
      <c r="M198" s="1590">
        <v>0.63780000000000003</v>
      </c>
    </row>
    <row r="199" spans="1:13">
      <c r="A199" s="1604">
        <v>9.5</v>
      </c>
      <c r="B199" s="1590">
        <v>0.83499999999999996</v>
      </c>
      <c r="C199" s="1590">
        <v>0.83499999999999996</v>
      </c>
      <c r="D199" s="1590">
        <v>0.73350000000000004</v>
      </c>
      <c r="E199" s="1590">
        <v>0.73350000000000004</v>
      </c>
      <c r="F199" s="1590">
        <v>0.73350000000000004</v>
      </c>
      <c r="G199" s="1590">
        <v>0.73350000000000004</v>
      </c>
      <c r="H199" s="1590">
        <v>0.73350000000000004</v>
      </c>
      <c r="I199" s="1590">
        <v>0.63639999999999997</v>
      </c>
      <c r="J199" s="1590">
        <v>0.63639999999999997</v>
      </c>
      <c r="K199" s="1590">
        <v>0.63639999999999997</v>
      </c>
      <c r="L199" s="1590">
        <v>0.63639999999999997</v>
      </c>
      <c r="M199" s="1590">
        <v>0.63639999999999997</v>
      </c>
    </row>
    <row r="200" spans="1:13">
      <c r="A200" s="1604">
        <v>9.6</v>
      </c>
      <c r="B200" s="1590">
        <v>0.83379999999999999</v>
      </c>
      <c r="C200" s="1590">
        <v>0.83379999999999999</v>
      </c>
      <c r="D200" s="1590">
        <v>0.73209999999999997</v>
      </c>
      <c r="E200" s="1590">
        <v>0.73209999999999997</v>
      </c>
      <c r="F200" s="1590">
        <v>0.73209999999999997</v>
      </c>
      <c r="G200" s="1590">
        <v>0.73209999999999997</v>
      </c>
      <c r="H200" s="1590">
        <v>0.73209999999999997</v>
      </c>
      <c r="I200" s="1590">
        <v>0.63500000000000001</v>
      </c>
      <c r="J200" s="1590">
        <v>0.63500000000000001</v>
      </c>
      <c r="K200" s="1590">
        <v>0.63500000000000001</v>
      </c>
      <c r="L200" s="1590">
        <v>0.63500000000000001</v>
      </c>
      <c r="M200" s="1590">
        <v>0.63500000000000001</v>
      </c>
    </row>
    <row r="201" spans="1:13">
      <c r="A201" s="1604">
        <v>9.6999999999999993</v>
      </c>
      <c r="B201" s="1590">
        <v>0.83260000000000001</v>
      </c>
      <c r="C201" s="1590">
        <v>0.83260000000000001</v>
      </c>
      <c r="D201" s="1590">
        <v>0.73070000000000002</v>
      </c>
      <c r="E201" s="1590">
        <v>0.73070000000000002</v>
      </c>
      <c r="F201" s="1590">
        <v>0.73070000000000002</v>
      </c>
      <c r="G201" s="1590">
        <v>0.73070000000000002</v>
      </c>
      <c r="H201" s="1590">
        <v>0.73070000000000002</v>
      </c>
      <c r="I201" s="1590">
        <v>0.63360000000000005</v>
      </c>
      <c r="J201" s="1590">
        <v>0.63360000000000005</v>
      </c>
      <c r="K201" s="1590">
        <v>0.63360000000000005</v>
      </c>
      <c r="L201" s="1590">
        <v>0.63360000000000005</v>
      </c>
      <c r="M201" s="1590">
        <v>0.63360000000000005</v>
      </c>
    </row>
    <row r="202" spans="1:13">
      <c r="A202" s="1604">
        <v>9.8000000000000007</v>
      </c>
      <c r="B202" s="1590">
        <v>0.83140000000000003</v>
      </c>
      <c r="C202" s="1590">
        <v>0.83140000000000003</v>
      </c>
      <c r="D202" s="1590">
        <v>0.72929999999999995</v>
      </c>
      <c r="E202" s="1590">
        <v>0.72929999999999995</v>
      </c>
      <c r="F202" s="1590">
        <v>0.72929999999999995</v>
      </c>
      <c r="G202" s="1590">
        <v>0.72929999999999995</v>
      </c>
      <c r="H202" s="1590">
        <v>0.72929999999999995</v>
      </c>
      <c r="I202" s="1590">
        <v>0.63219999999999998</v>
      </c>
      <c r="J202" s="1590">
        <v>0.63219999999999998</v>
      </c>
      <c r="K202" s="1590">
        <v>0.63219999999999998</v>
      </c>
      <c r="L202" s="1590">
        <v>0.63219999999999998</v>
      </c>
      <c r="M202" s="1590">
        <v>0.63219999999999998</v>
      </c>
    </row>
    <row r="203" spans="1:13">
      <c r="A203" s="1604">
        <v>9.9</v>
      </c>
      <c r="B203" s="1590">
        <v>0.83020000000000005</v>
      </c>
      <c r="C203" s="1590">
        <v>0.83020000000000005</v>
      </c>
      <c r="D203" s="1590">
        <v>0.72799999999999998</v>
      </c>
      <c r="E203" s="1590">
        <v>0.72799999999999998</v>
      </c>
      <c r="F203" s="1590">
        <v>0.72799999999999998</v>
      </c>
      <c r="G203" s="1590">
        <v>0.72799999999999998</v>
      </c>
      <c r="H203" s="1590">
        <v>0.72799999999999998</v>
      </c>
      <c r="I203" s="1590">
        <v>0.63080000000000003</v>
      </c>
      <c r="J203" s="1590">
        <v>0.63080000000000003</v>
      </c>
      <c r="K203" s="1590">
        <v>0.63080000000000003</v>
      </c>
      <c r="L203" s="1590">
        <v>0.63080000000000003</v>
      </c>
      <c r="M203" s="1590">
        <v>0.63080000000000003</v>
      </c>
    </row>
    <row r="204" spans="1:13">
      <c r="A204" s="1604">
        <v>10</v>
      </c>
      <c r="B204" s="1590">
        <v>0.82899999999999996</v>
      </c>
      <c r="C204" s="1590">
        <v>0.82899999999999996</v>
      </c>
      <c r="D204" s="1590">
        <v>0.72670000000000001</v>
      </c>
      <c r="E204" s="1590">
        <v>0.72670000000000001</v>
      </c>
      <c r="F204" s="1590">
        <v>0.72670000000000001</v>
      </c>
      <c r="G204" s="1590">
        <v>0.72670000000000001</v>
      </c>
      <c r="H204" s="1590">
        <v>0.72670000000000001</v>
      </c>
      <c r="I204" s="1590">
        <v>0.62939999999999996</v>
      </c>
      <c r="J204" s="1590">
        <v>0.62939999999999996</v>
      </c>
      <c r="K204" s="1590">
        <v>0.62939999999999996</v>
      </c>
      <c r="L204" s="1590">
        <v>0.62939999999999996</v>
      </c>
      <c r="M204" s="1590">
        <v>0.62939999999999996</v>
      </c>
    </row>
    <row r="205" spans="1:13" ht="14.25">
      <c r="A205" s="1578" t="s">
        <v>1769</v>
      </c>
      <c r="B205" s="1579"/>
      <c r="C205" s="1579"/>
      <c r="D205" s="1579"/>
      <c r="E205" s="1579"/>
      <c r="F205" s="1579"/>
      <c r="G205" s="1579"/>
      <c r="H205" s="1579"/>
      <c r="I205" s="1579"/>
      <c r="J205" s="1579"/>
      <c r="K205" s="1579"/>
      <c r="L205" s="1579"/>
      <c r="M205" s="1579"/>
    </row>
    <row r="206" spans="1:13">
      <c r="A206" s="1581" t="s">
        <v>1759</v>
      </c>
      <c r="B206" s="1582" t="s">
        <v>1164</v>
      </c>
      <c r="C206" s="1582" t="s">
        <v>1165</v>
      </c>
      <c r="D206" s="1582" t="s">
        <v>1166</v>
      </c>
      <c r="E206" s="1582" t="s">
        <v>1167</v>
      </c>
      <c r="F206" s="1582" t="s">
        <v>1168</v>
      </c>
      <c r="G206" s="1582" t="s">
        <v>1169</v>
      </c>
      <c r="H206" s="1583" t="s">
        <v>1170</v>
      </c>
      <c r="I206" s="1583" t="s">
        <v>1171</v>
      </c>
      <c r="J206" s="1584" t="s">
        <v>1172</v>
      </c>
      <c r="K206" s="1584" t="s">
        <v>1173</v>
      </c>
      <c r="L206" s="1584" t="s">
        <v>1174</v>
      </c>
      <c r="M206" s="1584" t="s">
        <v>1175</v>
      </c>
    </row>
    <row r="207" spans="1:13">
      <c r="A207" s="1581">
        <v>0.1</v>
      </c>
      <c r="B207" s="1590">
        <v>12.172000000000001</v>
      </c>
      <c r="C207" s="1590">
        <v>12.172000000000001</v>
      </c>
      <c r="D207" s="1590">
        <v>12.375999999999999</v>
      </c>
      <c r="E207" s="1590">
        <v>12.375999999999999</v>
      </c>
      <c r="F207" s="1590">
        <v>12.375999999999999</v>
      </c>
      <c r="G207" s="1590">
        <v>12.375999999999999</v>
      </c>
      <c r="H207" s="1590">
        <v>12.375999999999999</v>
      </c>
      <c r="I207" s="1590">
        <v>11.071999999999999</v>
      </c>
      <c r="J207" s="1590">
        <v>11.071999999999999</v>
      </c>
      <c r="K207" s="1590">
        <v>11.071999999999999</v>
      </c>
      <c r="L207" s="1590">
        <v>11.071999999999999</v>
      </c>
      <c r="M207" s="1590">
        <v>11.071999999999999</v>
      </c>
    </row>
    <row r="208" spans="1:13">
      <c r="A208" s="1581">
        <v>0.2</v>
      </c>
      <c r="B208" s="1590">
        <v>6.0860000000000003</v>
      </c>
      <c r="C208" s="1590">
        <v>6.0860000000000003</v>
      </c>
      <c r="D208" s="1590">
        <v>6.1879999999999997</v>
      </c>
      <c r="E208" s="1590">
        <v>6.1879999999999997</v>
      </c>
      <c r="F208" s="1590">
        <v>6.1879999999999997</v>
      </c>
      <c r="G208" s="1590">
        <v>6.1879999999999997</v>
      </c>
      <c r="H208" s="1590">
        <v>6.1879999999999997</v>
      </c>
      <c r="I208" s="1590">
        <v>5.5359999999999996</v>
      </c>
      <c r="J208" s="1590">
        <v>5.5359999999999996</v>
      </c>
      <c r="K208" s="1590">
        <v>5.5359999999999996</v>
      </c>
      <c r="L208" s="1590">
        <v>5.5359999999999996</v>
      </c>
      <c r="M208" s="1590">
        <v>5.5359999999999996</v>
      </c>
    </row>
    <row r="209" spans="1:13">
      <c r="A209" s="1581">
        <v>0.3</v>
      </c>
      <c r="B209" s="1590">
        <v>4.0572999999999997</v>
      </c>
      <c r="C209" s="1590">
        <v>4.0572999999999997</v>
      </c>
      <c r="D209" s="1590">
        <v>4.1253000000000002</v>
      </c>
      <c r="E209" s="1590">
        <v>4.1253000000000002</v>
      </c>
      <c r="F209" s="1590">
        <v>4.1253000000000002</v>
      </c>
      <c r="G209" s="1590">
        <v>4.1253000000000002</v>
      </c>
      <c r="H209" s="1590">
        <v>4.1253000000000002</v>
      </c>
      <c r="I209" s="1590">
        <v>3.6907000000000001</v>
      </c>
      <c r="J209" s="1590">
        <v>3.6907000000000001</v>
      </c>
      <c r="K209" s="1590">
        <v>3.6907000000000001</v>
      </c>
      <c r="L209" s="1590">
        <v>3.6907000000000001</v>
      </c>
      <c r="M209" s="1590">
        <v>3.6907000000000001</v>
      </c>
    </row>
    <row r="210" spans="1:13">
      <c r="A210" s="1581">
        <v>0.4</v>
      </c>
      <c r="B210" s="1590">
        <v>3.0430000000000001</v>
      </c>
      <c r="C210" s="1590">
        <v>3.0430000000000001</v>
      </c>
      <c r="D210" s="1590">
        <v>3.0939999999999999</v>
      </c>
      <c r="E210" s="1590">
        <v>3.0939999999999999</v>
      </c>
      <c r="F210" s="1590">
        <v>3.0939999999999999</v>
      </c>
      <c r="G210" s="1590">
        <v>3.0939999999999999</v>
      </c>
      <c r="H210" s="1590">
        <v>3.0939999999999999</v>
      </c>
      <c r="I210" s="1590">
        <v>2.7679999999999998</v>
      </c>
      <c r="J210" s="1590">
        <v>2.7679999999999998</v>
      </c>
      <c r="K210" s="1590">
        <v>2.7679999999999998</v>
      </c>
      <c r="L210" s="1590">
        <v>2.7679999999999998</v>
      </c>
      <c r="M210" s="1590">
        <v>2.7679999999999998</v>
      </c>
    </row>
    <row r="211" spans="1:13">
      <c r="A211" s="1581">
        <v>0.5</v>
      </c>
      <c r="B211" s="1590">
        <v>2.4344000000000001</v>
      </c>
      <c r="C211" s="1590">
        <v>2.4344000000000001</v>
      </c>
      <c r="D211" s="1590">
        <v>2.4752000000000001</v>
      </c>
      <c r="E211" s="1590">
        <v>2.4752000000000001</v>
      </c>
      <c r="F211" s="1590">
        <v>2.4752000000000001</v>
      </c>
      <c r="G211" s="1590">
        <v>2.4752000000000001</v>
      </c>
      <c r="H211" s="1590">
        <v>2.4752000000000001</v>
      </c>
      <c r="I211" s="1590">
        <v>2.2143999999999999</v>
      </c>
      <c r="J211" s="1590">
        <v>2.2143999999999999</v>
      </c>
      <c r="K211" s="1590">
        <v>2.2143999999999999</v>
      </c>
      <c r="L211" s="1590">
        <v>2.2143999999999999</v>
      </c>
      <c r="M211" s="1590">
        <v>2.2143999999999999</v>
      </c>
    </row>
    <row r="212" spans="1:13">
      <c r="A212" s="1581">
        <v>0.6</v>
      </c>
      <c r="B212" s="1590">
        <v>2.0287000000000002</v>
      </c>
      <c r="C212" s="1590">
        <v>2.0287000000000002</v>
      </c>
      <c r="D212" s="1590">
        <v>2.0627</v>
      </c>
      <c r="E212" s="1590">
        <v>2.0627</v>
      </c>
      <c r="F212" s="1590">
        <v>2.0627</v>
      </c>
      <c r="G212" s="1590">
        <v>2.0627</v>
      </c>
      <c r="H212" s="1590">
        <v>2.0627</v>
      </c>
      <c r="I212" s="1590">
        <v>1.8452999999999999</v>
      </c>
      <c r="J212" s="1590">
        <v>1.8452999999999999</v>
      </c>
      <c r="K212" s="1590">
        <v>1.8452999999999999</v>
      </c>
      <c r="L212" s="1590">
        <v>1.8452999999999999</v>
      </c>
      <c r="M212" s="1590">
        <v>1.8452999999999999</v>
      </c>
    </row>
    <row r="213" spans="1:13">
      <c r="A213" s="1581">
        <v>0.7</v>
      </c>
      <c r="B213" s="1590">
        <v>1.7388999999999999</v>
      </c>
      <c r="C213" s="1590">
        <v>1.7388999999999999</v>
      </c>
      <c r="D213" s="1590">
        <v>1.768</v>
      </c>
      <c r="E213" s="1590">
        <v>1.768</v>
      </c>
      <c r="F213" s="1590">
        <v>1.768</v>
      </c>
      <c r="G213" s="1590">
        <v>1.768</v>
      </c>
      <c r="H213" s="1590">
        <v>1.768</v>
      </c>
      <c r="I213" s="1590">
        <v>1.5817000000000001</v>
      </c>
      <c r="J213" s="1590">
        <v>1.5817000000000001</v>
      </c>
      <c r="K213" s="1590">
        <v>1.5817000000000001</v>
      </c>
      <c r="L213" s="1590">
        <v>1.5817000000000001</v>
      </c>
      <c r="M213" s="1590">
        <v>1.5817000000000001</v>
      </c>
    </row>
    <row r="214" spans="1:13">
      <c r="A214" s="1581">
        <v>0.8</v>
      </c>
      <c r="B214" s="1590">
        <v>1.5215000000000001</v>
      </c>
      <c r="C214" s="1590">
        <v>1.5215000000000001</v>
      </c>
      <c r="D214" s="1590">
        <v>1.5469999999999999</v>
      </c>
      <c r="E214" s="1590">
        <v>1.5469999999999999</v>
      </c>
      <c r="F214" s="1590">
        <v>1.5469999999999999</v>
      </c>
      <c r="G214" s="1590">
        <v>1.5469999999999999</v>
      </c>
      <c r="H214" s="1590">
        <v>1.5469999999999999</v>
      </c>
      <c r="I214" s="1590">
        <v>1.3839999999999999</v>
      </c>
      <c r="J214" s="1590">
        <v>1.3839999999999999</v>
      </c>
      <c r="K214" s="1590">
        <v>1.3839999999999999</v>
      </c>
      <c r="L214" s="1590">
        <v>1.3839999999999999</v>
      </c>
      <c r="M214" s="1590">
        <v>1.3839999999999999</v>
      </c>
    </row>
    <row r="215" spans="1:13">
      <c r="A215" s="1581">
        <v>0.9</v>
      </c>
      <c r="B215" s="1590">
        <v>1.3524</v>
      </c>
      <c r="C215" s="1590">
        <v>1.3524</v>
      </c>
      <c r="D215" s="1590">
        <v>1.3751</v>
      </c>
      <c r="E215" s="1590">
        <v>1.3751</v>
      </c>
      <c r="F215" s="1590">
        <v>1.3751</v>
      </c>
      <c r="G215" s="1590">
        <v>1.3751</v>
      </c>
      <c r="H215" s="1590">
        <v>1.3751</v>
      </c>
      <c r="I215" s="1590">
        <v>1.2302</v>
      </c>
      <c r="J215" s="1590">
        <v>1.2302</v>
      </c>
      <c r="K215" s="1590">
        <v>1.2302</v>
      </c>
      <c r="L215" s="1590">
        <v>1.2302</v>
      </c>
      <c r="M215" s="1590">
        <v>1.2302</v>
      </c>
    </row>
    <row r="216" spans="1:13">
      <c r="A216" s="1581">
        <v>1</v>
      </c>
      <c r="B216" s="1590">
        <v>1.2172000000000001</v>
      </c>
      <c r="C216" s="1590">
        <v>1.2172000000000001</v>
      </c>
      <c r="D216" s="1590">
        <v>1.2376</v>
      </c>
      <c r="E216" s="1590">
        <v>1.2376</v>
      </c>
      <c r="F216" s="1590">
        <v>1.2376</v>
      </c>
      <c r="G216" s="1590">
        <v>1.2376</v>
      </c>
      <c r="H216" s="1590">
        <v>1.2376</v>
      </c>
      <c r="I216" s="1590">
        <v>1.1072</v>
      </c>
      <c r="J216" s="1590">
        <v>1.1072</v>
      </c>
      <c r="K216" s="1590">
        <v>1.1072</v>
      </c>
      <c r="L216" s="1590">
        <v>1.1072</v>
      </c>
      <c r="M216" s="1590">
        <v>1.1072</v>
      </c>
    </row>
    <row r="217" spans="1:13">
      <c r="A217" s="1581">
        <v>1.1000000000000001</v>
      </c>
      <c r="B217" s="1590">
        <v>1.198</v>
      </c>
      <c r="C217" s="1590">
        <v>1.198</v>
      </c>
      <c r="D217" s="1590">
        <v>1.2156</v>
      </c>
      <c r="E217" s="1590">
        <v>1.2156</v>
      </c>
      <c r="F217" s="1590">
        <v>1.2156</v>
      </c>
      <c r="G217" s="1590">
        <v>1.2156</v>
      </c>
      <c r="H217" s="1590">
        <v>1.2156</v>
      </c>
      <c r="I217" s="1590">
        <v>1.0829</v>
      </c>
      <c r="J217" s="1590">
        <v>1.0829</v>
      </c>
      <c r="K217" s="1590">
        <v>1.0829</v>
      </c>
      <c r="L217" s="1590">
        <v>1.0829</v>
      </c>
      <c r="M217" s="1590">
        <v>1.0829</v>
      </c>
    </row>
    <row r="218" spans="1:13">
      <c r="A218" s="1581">
        <v>1.2</v>
      </c>
      <c r="B218" s="1590">
        <v>1.1795</v>
      </c>
      <c r="C218" s="1590">
        <v>1.1795</v>
      </c>
      <c r="D218" s="1590">
        <v>1.1947000000000001</v>
      </c>
      <c r="E218" s="1590">
        <v>1.1947000000000001</v>
      </c>
      <c r="F218" s="1590">
        <v>1.1947000000000001</v>
      </c>
      <c r="G218" s="1590">
        <v>1.1947000000000001</v>
      </c>
      <c r="H218" s="1590">
        <v>1.1947000000000001</v>
      </c>
      <c r="I218" s="1590">
        <v>1.0601</v>
      </c>
      <c r="J218" s="1590">
        <v>1.0601</v>
      </c>
      <c r="K218" s="1590">
        <v>1.0601</v>
      </c>
      <c r="L218" s="1590">
        <v>1.0601</v>
      </c>
      <c r="M218" s="1590">
        <v>1.0601</v>
      </c>
    </row>
    <row r="219" spans="1:13">
      <c r="A219" s="1581">
        <v>1.3</v>
      </c>
      <c r="B219" s="1590">
        <v>1.1617999999999999</v>
      </c>
      <c r="C219" s="1590">
        <v>1.1617999999999999</v>
      </c>
      <c r="D219" s="1590">
        <v>1.1748000000000001</v>
      </c>
      <c r="E219" s="1590">
        <v>1.1748000000000001</v>
      </c>
      <c r="F219" s="1590">
        <v>1.1748000000000001</v>
      </c>
      <c r="G219" s="1590">
        <v>1.1748000000000001</v>
      </c>
      <c r="H219" s="1590">
        <v>1.1748000000000001</v>
      </c>
      <c r="I219" s="1590">
        <v>1.0387999999999999</v>
      </c>
      <c r="J219" s="1590">
        <v>1.0387999999999999</v>
      </c>
      <c r="K219" s="1590">
        <v>1.0387999999999999</v>
      </c>
      <c r="L219" s="1590">
        <v>1.0387999999999999</v>
      </c>
      <c r="M219" s="1590">
        <v>1.0387999999999999</v>
      </c>
    </row>
    <row r="220" spans="1:13">
      <c r="A220" s="1581">
        <v>1.4</v>
      </c>
      <c r="B220" s="1590">
        <v>1.1448</v>
      </c>
      <c r="C220" s="1590">
        <v>1.1448</v>
      </c>
      <c r="D220" s="1590">
        <v>1.1557999999999999</v>
      </c>
      <c r="E220" s="1590">
        <v>1.1557999999999999</v>
      </c>
      <c r="F220" s="1590">
        <v>1.1557999999999999</v>
      </c>
      <c r="G220" s="1590">
        <v>1.1557999999999999</v>
      </c>
      <c r="H220" s="1590">
        <v>1.1557999999999999</v>
      </c>
      <c r="I220" s="1590">
        <v>1.0187999999999999</v>
      </c>
      <c r="J220" s="1590">
        <v>1.0187999999999999</v>
      </c>
      <c r="K220" s="1590">
        <v>1.0187999999999999</v>
      </c>
      <c r="L220" s="1590">
        <v>1.0187999999999999</v>
      </c>
      <c r="M220" s="1590">
        <v>1.0187999999999999</v>
      </c>
    </row>
    <row r="221" spans="1:13">
      <c r="A221" s="1581">
        <v>1.5</v>
      </c>
      <c r="B221" s="1590">
        <v>1.1285000000000001</v>
      </c>
      <c r="C221" s="1590">
        <v>1.1285000000000001</v>
      </c>
      <c r="D221" s="1590">
        <v>1.1377999999999999</v>
      </c>
      <c r="E221" s="1590">
        <v>1.1377999999999999</v>
      </c>
      <c r="F221" s="1590">
        <v>1.1377999999999999</v>
      </c>
      <c r="G221" s="1590">
        <v>1.1377999999999999</v>
      </c>
      <c r="H221" s="1590">
        <v>1.1377999999999999</v>
      </c>
      <c r="I221" s="1590">
        <v>1</v>
      </c>
      <c r="J221" s="1590">
        <v>1</v>
      </c>
      <c r="K221" s="1590">
        <v>1</v>
      </c>
      <c r="L221" s="1590">
        <v>1</v>
      </c>
      <c r="M221" s="1590">
        <v>1</v>
      </c>
    </row>
    <row r="222" spans="1:13">
      <c r="A222" s="1581">
        <v>1.6</v>
      </c>
      <c r="B222" s="1590">
        <v>1.1129</v>
      </c>
      <c r="C222" s="1590">
        <v>1.1129</v>
      </c>
      <c r="D222" s="1590">
        <v>1.1206</v>
      </c>
      <c r="E222" s="1590">
        <v>1.1206</v>
      </c>
      <c r="F222" s="1590">
        <v>1.1206</v>
      </c>
      <c r="G222" s="1590">
        <v>1.1206</v>
      </c>
      <c r="H222" s="1590">
        <v>1.1206</v>
      </c>
      <c r="I222" s="1590">
        <v>0.98240000000000005</v>
      </c>
      <c r="J222" s="1590">
        <v>0.98240000000000005</v>
      </c>
      <c r="K222" s="1590">
        <v>0.98240000000000005</v>
      </c>
      <c r="L222" s="1590">
        <v>0.98240000000000005</v>
      </c>
      <c r="M222" s="1590">
        <v>0.98240000000000005</v>
      </c>
    </row>
    <row r="223" spans="1:13">
      <c r="A223" s="1581">
        <v>1.7</v>
      </c>
      <c r="B223" s="1590">
        <v>1.0980000000000001</v>
      </c>
      <c r="C223" s="1590">
        <v>1.0980000000000001</v>
      </c>
      <c r="D223" s="1590">
        <v>1.1043000000000001</v>
      </c>
      <c r="E223" s="1590">
        <v>1.1043000000000001</v>
      </c>
      <c r="F223" s="1590">
        <v>1.1043000000000001</v>
      </c>
      <c r="G223" s="1590">
        <v>1.1043000000000001</v>
      </c>
      <c r="H223" s="1590">
        <v>1.1043000000000001</v>
      </c>
      <c r="I223" s="1590">
        <v>0.96579999999999999</v>
      </c>
      <c r="J223" s="1590">
        <v>0.96579999999999999</v>
      </c>
      <c r="K223" s="1590">
        <v>0.96579999999999999</v>
      </c>
      <c r="L223" s="1590">
        <v>0.96579999999999999</v>
      </c>
      <c r="M223" s="1590">
        <v>0.96579999999999999</v>
      </c>
    </row>
    <row r="224" spans="1:13">
      <c r="A224" s="1581">
        <v>1.8</v>
      </c>
      <c r="B224" s="1590">
        <v>1.0835999999999999</v>
      </c>
      <c r="C224" s="1590">
        <v>1.0835999999999999</v>
      </c>
      <c r="D224" s="1590">
        <v>1.0888</v>
      </c>
      <c r="E224" s="1590">
        <v>1.0888</v>
      </c>
      <c r="F224" s="1590">
        <v>1.0888</v>
      </c>
      <c r="G224" s="1590">
        <v>1.0888</v>
      </c>
      <c r="H224" s="1590">
        <v>1.0888</v>
      </c>
      <c r="I224" s="1590">
        <v>0.95030000000000003</v>
      </c>
      <c r="J224" s="1590">
        <v>0.95030000000000003</v>
      </c>
      <c r="K224" s="1590">
        <v>0.95030000000000003</v>
      </c>
      <c r="L224" s="1590">
        <v>0.95030000000000003</v>
      </c>
      <c r="M224" s="1590">
        <v>0.95030000000000003</v>
      </c>
    </row>
    <row r="225" spans="1:13">
      <c r="A225" s="1581">
        <v>1.9</v>
      </c>
      <c r="B225" s="1590">
        <v>1.0698000000000001</v>
      </c>
      <c r="C225" s="1590">
        <v>1.0698000000000001</v>
      </c>
      <c r="D225" s="1590">
        <v>1.0741000000000001</v>
      </c>
      <c r="E225" s="1590">
        <v>1.0741000000000001</v>
      </c>
      <c r="F225" s="1590">
        <v>1.0741000000000001</v>
      </c>
      <c r="G225" s="1590">
        <v>1.0741000000000001</v>
      </c>
      <c r="H225" s="1590">
        <v>1.0741000000000001</v>
      </c>
      <c r="I225" s="1590">
        <v>0.93610000000000004</v>
      </c>
      <c r="J225" s="1590">
        <v>0.93610000000000004</v>
      </c>
      <c r="K225" s="1590">
        <v>0.93610000000000004</v>
      </c>
      <c r="L225" s="1590">
        <v>0.93610000000000004</v>
      </c>
      <c r="M225" s="1590">
        <v>0.93610000000000004</v>
      </c>
    </row>
    <row r="226" spans="1:13">
      <c r="A226" s="1581">
        <v>2</v>
      </c>
      <c r="B226" s="1590">
        <v>1.0568</v>
      </c>
      <c r="C226" s="1590">
        <v>1.0568</v>
      </c>
      <c r="D226" s="1590">
        <v>1.0601</v>
      </c>
      <c r="E226" s="1590">
        <v>1.0601</v>
      </c>
      <c r="F226" s="1590">
        <v>1.0601</v>
      </c>
      <c r="G226" s="1590">
        <v>1.0601</v>
      </c>
      <c r="H226" s="1590">
        <v>1.0601</v>
      </c>
      <c r="I226" s="1590">
        <v>0.9224</v>
      </c>
      <c r="J226" s="1590">
        <v>0.9224</v>
      </c>
      <c r="K226" s="1590">
        <v>0.9224</v>
      </c>
      <c r="L226" s="1590">
        <v>0.9224</v>
      </c>
      <c r="M226" s="1590">
        <v>0.9224</v>
      </c>
    </row>
    <row r="227" spans="1:13">
      <c r="A227" s="1604">
        <v>2.1</v>
      </c>
      <c r="B227" s="1590">
        <v>1.0443</v>
      </c>
      <c r="C227" s="1590">
        <v>1.0443</v>
      </c>
      <c r="D227" s="1590">
        <v>1.0468</v>
      </c>
      <c r="E227" s="1590">
        <v>1.0468</v>
      </c>
      <c r="F227" s="1590">
        <v>1.0468</v>
      </c>
      <c r="G227" s="1590">
        <v>1.0468</v>
      </c>
      <c r="H227" s="1590">
        <v>1.0468</v>
      </c>
      <c r="I227" s="1590">
        <v>0.90959999999999996</v>
      </c>
      <c r="J227" s="1590">
        <v>0.90959999999999996</v>
      </c>
      <c r="K227" s="1590">
        <v>0.90959999999999996</v>
      </c>
      <c r="L227" s="1590">
        <v>0.90959999999999996</v>
      </c>
      <c r="M227" s="1590">
        <v>0.90959999999999996</v>
      </c>
    </row>
    <row r="228" spans="1:13">
      <c r="A228" s="1604">
        <v>2.2000000000000002</v>
      </c>
      <c r="B228" s="1590">
        <v>1.0325</v>
      </c>
      <c r="C228" s="1590">
        <v>1.0325</v>
      </c>
      <c r="D228" s="1590">
        <v>1.0342</v>
      </c>
      <c r="E228" s="1590">
        <v>1.0342</v>
      </c>
      <c r="F228" s="1590">
        <v>1.0342</v>
      </c>
      <c r="G228" s="1590">
        <v>1.0342</v>
      </c>
      <c r="H228" s="1590">
        <v>1.0342</v>
      </c>
      <c r="I228" s="1590">
        <v>0.89749999999999996</v>
      </c>
      <c r="J228" s="1590">
        <v>0.89749999999999996</v>
      </c>
      <c r="K228" s="1590">
        <v>0.89749999999999996</v>
      </c>
      <c r="L228" s="1590">
        <v>0.89749999999999996</v>
      </c>
      <c r="M228" s="1590">
        <v>0.89749999999999996</v>
      </c>
    </row>
    <row r="229" spans="1:13">
      <c r="A229" s="1604">
        <v>2.2999999999999998</v>
      </c>
      <c r="B229" s="1590">
        <v>1.0209999999999999</v>
      </c>
      <c r="C229" s="1590">
        <v>1.0209999999999999</v>
      </c>
      <c r="D229" s="1590">
        <v>1.0222</v>
      </c>
      <c r="E229" s="1590">
        <v>1.0222</v>
      </c>
      <c r="F229" s="1590">
        <v>1.0222</v>
      </c>
      <c r="G229" s="1590">
        <v>1.0222</v>
      </c>
      <c r="H229" s="1590">
        <v>1.0222</v>
      </c>
      <c r="I229" s="1590">
        <v>0.88619999999999999</v>
      </c>
      <c r="J229" s="1590">
        <v>0.88619999999999999</v>
      </c>
      <c r="K229" s="1590">
        <v>0.88619999999999999</v>
      </c>
      <c r="L229" s="1590">
        <v>0.88619999999999999</v>
      </c>
      <c r="M229" s="1590">
        <v>0.88619999999999999</v>
      </c>
    </row>
    <row r="230" spans="1:13">
      <c r="A230" s="1604">
        <v>2.4</v>
      </c>
      <c r="B230" s="1590">
        <v>1.0102</v>
      </c>
      <c r="C230" s="1590">
        <v>1.0102</v>
      </c>
      <c r="D230" s="1590">
        <v>1.0107999999999999</v>
      </c>
      <c r="E230" s="1590">
        <v>1.0107999999999999</v>
      </c>
      <c r="F230" s="1590">
        <v>1.0107999999999999</v>
      </c>
      <c r="G230" s="1590">
        <v>1.0107999999999999</v>
      </c>
      <c r="H230" s="1590">
        <v>1.0107999999999999</v>
      </c>
      <c r="I230" s="1590">
        <v>0.87529999999999997</v>
      </c>
      <c r="J230" s="1590">
        <v>0.87529999999999997</v>
      </c>
      <c r="K230" s="1590">
        <v>0.87529999999999997</v>
      </c>
      <c r="L230" s="1590">
        <v>0.87529999999999997</v>
      </c>
      <c r="M230" s="1590">
        <v>0.87529999999999997</v>
      </c>
    </row>
    <row r="231" spans="1:13">
      <c r="A231" s="1604">
        <v>2.5</v>
      </c>
      <c r="B231" s="1590">
        <v>1</v>
      </c>
      <c r="C231" s="1590">
        <v>1</v>
      </c>
      <c r="D231" s="1590">
        <v>1</v>
      </c>
      <c r="E231" s="1590">
        <v>1</v>
      </c>
      <c r="F231" s="1590">
        <v>1</v>
      </c>
      <c r="G231" s="1590">
        <v>1</v>
      </c>
      <c r="H231" s="1590">
        <v>1</v>
      </c>
      <c r="I231" s="1590">
        <v>0.86509999999999998</v>
      </c>
      <c r="J231" s="1590">
        <v>0.86509999999999998</v>
      </c>
      <c r="K231" s="1590">
        <v>0.86509999999999998</v>
      </c>
      <c r="L231" s="1590">
        <v>0.86509999999999998</v>
      </c>
      <c r="M231" s="1590">
        <v>0.86509999999999998</v>
      </c>
    </row>
    <row r="232" spans="1:13">
      <c r="A232" s="1604">
        <v>2.6</v>
      </c>
      <c r="B232" s="1590">
        <v>0.99029999999999996</v>
      </c>
      <c r="C232" s="1590">
        <v>0.99029999999999996</v>
      </c>
      <c r="D232" s="1590">
        <v>0.98970000000000002</v>
      </c>
      <c r="E232" s="1590">
        <v>0.98970000000000002</v>
      </c>
      <c r="F232" s="1590">
        <v>0.98970000000000002</v>
      </c>
      <c r="G232" s="1590">
        <v>0.98970000000000002</v>
      </c>
      <c r="H232" s="1590">
        <v>0.98970000000000002</v>
      </c>
      <c r="I232" s="1590">
        <v>0.85529999999999995</v>
      </c>
      <c r="J232" s="1590">
        <v>0.85529999999999995</v>
      </c>
      <c r="K232" s="1590">
        <v>0.85529999999999995</v>
      </c>
      <c r="L232" s="1590">
        <v>0.85529999999999995</v>
      </c>
      <c r="M232" s="1590">
        <v>0.85529999999999995</v>
      </c>
    </row>
    <row r="233" spans="1:13">
      <c r="A233" s="1604">
        <v>2.7</v>
      </c>
      <c r="B233" s="1590">
        <v>0.98109999999999997</v>
      </c>
      <c r="C233" s="1590">
        <v>0.98109999999999997</v>
      </c>
      <c r="D233" s="1590">
        <v>0.97989999999999999</v>
      </c>
      <c r="E233" s="1590">
        <v>0.97989999999999999</v>
      </c>
      <c r="F233" s="1590">
        <v>0.97989999999999999</v>
      </c>
      <c r="G233" s="1590">
        <v>0.97989999999999999</v>
      </c>
      <c r="H233" s="1590">
        <v>0.97989999999999999</v>
      </c>
      <c r="I233" s="1590">
        <v>0.84599999999999997</v>
      </c>
      <c r="J233" s="1590">
        <v>0.84599999999999997</v>
      </c>
      <c r="K233" s="1590">
        <v>0.84599999999999997</v>
      </c>
      <c r="L233" s="1590">
        <v>0.84599999999999997</v>
      </c>
      <c r="M233" s="1590">
        <v>0.84599999999999997</v>
      </c>
    </row>
    <row r="234" spans="1:13">
      <c r="A234" s="1604">
        <v>2.8</v>
      </c>
      <c r="B234" s="1590">
        <v>0.97240000000000004</v>
      </c>
      <c r="C234" s="1590">
        <v>0.97240000000000004</v>
      </c>
      <c r="D234" s="1590">
        <v>0.97060000000000002</v>
      </c>
      <c r="E234" s="1590">
        <v>0.97060000000000002</v>
      </c>
      <c r="F234" s="1590">
        <v>0.97060000000000002</v>
      </c>
      <c r="G234" s="1590">
        <v>0.97060000000000002</v>
      </c>
      <c r="H234" s="1590">
        <v>0.97060000000000002</v>
      </c>
      <c r="I234" s="1590">
        <v>0.83709999999999996</v>
      </c>
      <c r="J234" s="1590">
        <v>0.83709999999999996</v>
      </c>
      <c r="K234" s="1590">
        <v>0.83709999999999996</v>
      </c>
      <c r="L234" s="1590">
        <v>0.83709999999999996</v>
      </c>
      <c r="M234" s="1590">
        <v>0.83709999999999996</v>
      </c>
    </row>
    <row r="235" spans="1:13">
      <c r="A235" s="1604">
        <v>2.9</v>
      </c>
      <c r="B235" s="1590">
        <v>0.96419999999999995</v>
      </c>
      <c r="C235" s="1590">
        <v>0.96419999999999995</v>
      </c>
      <c r="D235" s="1590">
        <v>0.96179999999999999</v>
      </c>
      <c r="E235" s="1590">
        <v>0.96179999999999999</v>
      </c>
      <c r="F235" s="1590">
        <v>0.96179999999999999</v>
      </c>
      <c r="G235" s="1590">
        <v>0.96179999999999999</v>
      </c>
      <c r="H235" s="1590">
        <v>0.96179999999999999</v>
      </c>
      <c r="I235" s="1590">
        <v>0.82850000000000001</v>
      </c>
      <c r="J235" s="1590">
        <v>0.82850000000000001</v>
      </c>
      <c r="K235" s="1590">
        <v>0.82850000000000001</v>
      </c>
      <c r="L235" s="1590">
        <v>0.82850000000000001</v>
      </c>
      <c r="M235" s="1590">
        <v>0.82850000000000001</v>
      </c>
    </row>
    <row r="236" spans="1:13">
      <c r="A236" s="1604">
        <v>3</v>
      </c>
      <c r="B236" s="1590">
        <v>0.95640000000000003</v>
      </c>
      <c r="C236" s="1590">
        <v>0.95640000000000003</v>
      </c>
      <c r="D236" s="1590">
        <v>0.95340000000000003</v>
      </c>
      <c r="E236" s="1590">
        <v>0.95340000000000003</v>
      </c>
      <c r="F236" s="1590">
        <v>0.95340000000000003</v>
      </c>
      <c r="G236" s="1590">
        <v>0.95340000000000003</v>
      </c>
      <c r="H236" s="1590">
        <v>0.95340000000000003</v>
      </c>
      <c r="I236" s="1590">
        <v>0.82040000000000002</v>
      </c>
      <c r="J236" s="1590">
        <v>0.82040000000000002</v>
      </c>
      <c r="K236" s="1590">
        <v>0.82040000000000002</v>
      </c>
      <c r="L236" s="1590">
        <v>0.82040000000000002</v>
      </c>
      <c r="M236" s="1590">
        <v>0.82040000000000002</v>
      </c>
    </row>
    <row r="237" spans="1:13">
      <c r="A237" s="1604">
        <v>3.1</v>
      </c>
      <c r="B237" s="1590">
        <v>0.94899999999999995</v>
      </c>
      <c r="C237" s="1590">
        <v>0.94899999999999995</v>
      </c>
      <c r="D237" s="1590">
        <v>0.94550000000000001</v>
      </c>
      <c r="E237" s="1590">
        <v>0.94550000000000001</v>
      </c>
      <c r="F237" s="1590">
        <v>0.94550000000000001</v>
      </c>
      <c r="G237" s="1590">
        <v>0.94550000000000001</v>
      </c>
      <c r="H237" s="1590">
        <v>0.94550000000000001</v>
      </c>
      <c r="I237" s="1590">
        <v>0.81259999999999999</v>
      </c>
      <c r="J237" s="1590">
        <v>0.81259999999999999</v>
      </c>
      <c r="K237" s="1590">
        <v>0.81259999999999999</v>
      </c>
      <c r="L237" s="1590">
        <v>0.81259999999999999</v>
      </c>
      <c r="M237" s="1590">
        <v>0.81259999999999999</v>
      </c>
    </row>
    <row r="238" spans="1:13">
      <c r="A238" s="1604">
        <v>3.2</v>
      </c>
      <c r="B238" s="1590">
        <v>0.94199999999999995</v>
      </c>
      <c r="C238" s="1590">
        <v>0.94199999999999995</v>
      </c>
      <c r="D238" s="1590">
        <v>0.93789999999999996</v>
      </c>
      <c r="E238" s="1590">
        <v>0.93789999999999996</v>
      </c>
      <c r="F238" s="1590">
        <v>0.93789999999999996</v>
      </c>
      <c r="G238" s="1590">
        <v>0.93789999999999996</v>
      </c>
      <c r="H238" s="1590">
        <v>0.93789999999999996</v>
      </c>
      <c r="I238" s="1590">
        <v>0.80530000000000002</v>
      </c>
      <c r="J238" s="1590">
        <v>0.80530000000000002</v>
      </c>
      <c r="K238" s="1590">
        <v>0.80530000000000002</v>
      </c>
      <c r="L238" s="1590">
        <v>0.80530000000000002</v>
      </c>
      <c r="M238" s="1590">
        <v>0.80530000000000002</v>
      </c>
    </row>
    <row r="239" spans="1:13">
      <c r="A239" s="1604">
        <v>3.3</v>
      </c>
      <c r="B239" s="1590">
        <v>0.93540000000000001</v>
      </c>
      <c r="C239" s="1590">
        <v>0.93540000000000001</v>
      </c>
      <c r="D239" s="1590">
        <v>0.93069999999999997</v>
      </c>
      <c r="E239" s="1590">
        <v>0.93069999999999997</v>
      </c>
      <c r="F239" s="1590">
        <v>0.93069999999999997</v>
      </c>
      <c r="G239" s="1590">
        <v>0.93069999999999997</v>
      </c>
      <c r="H239" s="1590">
        <v>0.93069999999999997</v>
      </c>
      <c r="I239" s="1590">
        <v>0.79820000000000002</v>
      </c>
      <c r="J239" s="1590">
        <v>0.79820000000000002</v>
      </c>
      <c r="K239" s="1590">
        <v>0.79820000000000002</v>
      </c>
      <c r="L239" s="1590">
        <v>0.79820000000000002</v>
      </c>
      <c r="M239" s="1590">
        <v>0.79820000000000002</v>
      </c>
    </row>
    <row r="240" spans="1:13">
      <c r="A240" s="1604">
        <v>3.4</v>
      </c>
      <c r="B240" s="1590">
        <v>0.92920000000000003</v>
      </c>
      <c r="C240" s="1590">
        <v>0.92920000000000003</v>
      </c>
      <c r="D240" s="1590">
        <v>0.92390000000000005</v>
      </c>
      <c r="E240" s="1590">
        <v>0.92390000000000005</v>
      </c>
      <c r="F240" s="1590">
        <v>0.92390000000000005</v>
      </c>
      <c r="G240" s="1590">
        <v>0.92390000000000005</v>
      </c>
      <c r="H240" s="1590">
        <v>0.92390000000000005</v>
      </c>
      <c r="I240" s="1590">
        <v>0.79139999999999999</v>
      </c>
      <c r="J240" s="1590">
        <v>0.79139999999999999</v>
      </c>
      <c r="K240" s="1590">
        <v>0.79139999999999999</v>
      </c>
      <c r="L240" s="1590">
        <v>0.79139999999999999</v>
      </c>
      <c r="M240" s="1590">
        <v>0.79139999999999999</v>
      </c>
    </row>
    <row r="241" spans="1:13">
      <c r="A241" s="1604">
        <v>3.5</v>
      </c>
      <c r="B241" s="1590">
        <v>0.9234</v>
      </c>
      <c r="C241" s="1590">
        <v>0.9234</v>
      </c>
      <c r="D241" s="1590">
        <v>0.91749999999999998</v>
      </c>
      <c r="E241" s="1590">
        <v>0.91749999999999998</v>
      </c>
      <c r="F241" s="1590">
        <v>0.91749999999999998</v>
      </c>
      <c r="G241" s="1590">
        <v>0.91749999999999998</v>
      </c>
      <c r="H241" s="1590">
        <v>0.91749999999999998</v>
      </c>
      <c r="I241" s="1590">
        <v>0.78490000000000004</v>
      </c>
      <c r="J241" s="1590">
        <v>0.78490000000000004</v>
      </c>
      <c r="K241" s="1590">
        <v>0.78490000000000004</v>
      </c>
      <c r="L241" s="1590">
        <v>0.78490000000000004</v>
      </c>
      <c r="M241" s="1590">
        <v>0.78490000000000004</v>
      </c>
    </row>
    <row r="242" spans="1:13">
      <c r="A242" s="1604">
        <v>3.6</v>
      </c>
      <c r="B242" s="1590">
        <v>0.91790000000000005</v>
      </c>
      <c r="C242" s="1590">
        <v>0.91790000000000005</v>
      </c>
      <c r="D242" s="1590">
        <v>0.91139999999999999</v>
      </c>
      <c r="E242" s="1590">
        <v>0.91139999999999999</v>
      </c>
      <c r="F242" s="1590">
        <v>0.91139999999999999</v>
      </c>
      <c r="G242" s="1590">
        <v>0.91139999999999999</v>
      </c>
      <c r="H242" s="1590">
        <v>0.91139999999999999</v>
      </c>
      <c r="I242" s="1590">
        <v>0.77880000000000005</v>
      </c>
      <c r="J242" s="1590">
        <v>0.77880000000000005</v>
      </c>
      <c r="K242" s="1590">
        <v>0.77880000000000005</v>
      </c>
      <c r="L242" s="1590">
        <v>0.77880000000000005</v>
      </c>
      <c r="M242" s="1590">
        <v>0.77880000000000005</v>
      </c>
    </row>
    <row r="243" spans="1:13">
      <c r="A243" s="1604">
        <v>3.7</v>
      </c>
      <c r="B243" s="1590">
        <v>0.91269999999999996</v>
      </c>
      <c r="C243" s="1590">
        <v>0.91269999999999996</v>
      </c>
      <c r="D243" s="1590">
        <v>0.90559999999999996</v>
      </c>
      <c r="E243" s="1590">
        <v>0.90559999999999996</v>
      </c>
      <c r="F243" s="1590">
        <v>0.90559999999999996</v>
      </c>
      <c r="G243" s="1590">
        <v>0.90559999999999996</v>
      </c>
      <c r="H243" s="1590">
        <v>0.90559999999999996</v>
      </c>
      <c r="I243" s="1590">
        <v>0.77300000000000002</v>
      </c>
      <c r="J243" s="1590">
        <v>0.77300000000000002</v>
      </c>
      <c r="K243" s="1590">
        <v>0.77300000000000002</v>
      </c>
      <c r="L243" s="1590">
        <v>0.77300000000000002</v>
      </c>
      <c r="M243" s="1590">
        <v>0.77300000000000002</v>
      </c>
    </row>
    <row r="244" spans="1:13">
      <c r="A244" s="1604">
        <v>3.8</v>
      </c>
      <c r="B244" s="1590">
        <v>0.90780000000000005</v>
      </c>
      <c r="C244" s="1590">
        <v>0.90780000000000005</v>
      </c>
      <c r="D244" s="1590">
        <v>0.90010000000000001</v>
      </c>
      <c r="E244" s="1590">
        <v>0.90010000000000001</v>
      </c>
      <c r="F244" s="1590">
        <v>0.90010000000000001</v>
      </c>
      <c r="G244" s="1590">
        <v>0.90010000000000001</v>
      </c>
      <c r="H244" s="1590">
        <v>0.90010000000000001</v>
      </c>
      <c r="I244" s="1590">
        <v>0.76739999999999997</v>
      </c>
      <c r="J244" s="1590">
        <v>0.76739999999999997</v>
      </c>
      <c r="K244" s="1590">
        <v>0.76739999999999997</v>
      </c>
      <c r="L244" s="1590">
        <v>0.76739999999999997</v>
      </c>
      <c r="M244" s="1590">
        <v>0.76739999999999997</v>
      </c>
    </row>
    <row r="245" spans="1:13">
      <c r="A245" s="1604">
        <v>3.9</v>
      </c>
      <c r="B245" s="1590">
        <v>0.9032</v>
      </c>
      <c r="C245" s="1590">
        <v>0.9032</v>
      </c>
      <c r="D245" s="1590">
        <v>0.89490000000000003</v>
      </c>
      <c r="E245" s="1590">
        <v>0.89490000000000003</v>
      </c>
      <c r="F245" s="1590">
        <v>0.89490000000000003</v>
      </c>
      <c r="G245" s="1590">
        <v>0.89490000000000003</v>
      </c>
      <c r="H245" s="1590">
        <v>0.89490000000000003</v>
      </c>
      <c r="I245" s="1590">
        <v>0.7621</v>
      </c>
      <c r="J245" s="1590">
        <v>0.7621</v>
      </c>
      <c r="K245" s="1590">
        <v>0.7621</v>
      </c>
      <c r="L245" s="1590">
        <v>0.7621</v>
      </c>
      <c r="M245" s="1590">
        <v>0.7621</v>
      </c>
    </row>
    <row r="246" spans="1:13">
      <c r="A246" s="1604">
        <v>4</v>
      </c>
      <c r="B246" s="1590">
        <v>0.89890000000000003</v>
      </c>
      <c r="C246" s="1590">
        <v>0.89890000000000003</v>
      </c>
      <c r="D246" s="1590">
        <v>0.89</v>
      </c>
      <c r="E246" s="1590">
        <v>0.89</v>
      </c>
      <c r="F246" s="1590">
        <v>0.89</v>
      </c>
      <c r="G246" s="1590">
        <v>0.89</v>
      </c>
      <c r="H246" s="1590">
        <v>0.89</v>
      </c>
      <c r="I246" s="1590">
        <v>0.7571</v>
      </c>
      <c r="J246" s="1590">
        <v>0.7571</v>
      </c>
      <c r="K246" s="1590">
        <v>0.7571</v>
      </c>
      <c r="L246" s="1590">
        <v>0.7571</v>
      </c>
      <c r="M246" s="1590">
        <v>0.7571</v>
      </c>
    </row>
    <row r="247" spans="1:13">
      <c r="A247" s="1604">
        <v>4.0999999999999996</v>
      </c>
      <c r="B247" s="1590">
        <v>0.89480000000000004</v>
      </c>
      <c r="C247" s="1590">
        <v>0.89480000000000004</v>
      </c>
      <c r="D247" s="1590">
        <v>0.88539999999999996</v>
      </c>
      <c r="E247" s="1590">
        <v>0.88539999999999996</v>
      </c>
      <c r="F247" s="1590">
        <v>0.88539999999999996</v>
      </c>
      <c r="G247" s="1590">
        <v>0.88539999999999996</v>
      </c>
      <c r="H247" s="1590">
        <v>0.88539999999999996</v>
      </c>
      <c r="I247" s="1590">
        <v>0.75229999999999997</v>
      </c>
      <c r="J247" s="1590">
        <v>0.75229999999999997</v>
      </c>
      <c r="K247" s="1590">
        <v>0.75229999999999997</v>
      </c>
      <c r="L247" s="1590">
        <v>0.75229999999999997</v>
      </c>
      <c r="M247" s="1590">
        <v>0.75229999999999997</v>
      </c>
    </row>
    <row r="248" spans="1:13">
      <c r="A248" s="1604">
        <v>4.2</v>
      </c>
      <c r="B248" s="1590">
        <v>0.89100000000000001</v>
      </c>
      <c r="C248" s="1590">
        <v>0.89100000000000001</v>
      </c>
      <c r="D248" s="1590">
        <v>0.88109999999999999</v>
      </c>
      <c r="E248" s="1590">
        <v>0.88109999999999999</v>
      </c>
      <c r="F248" s="1590">
        <v>0.88109999999999999</v>
      </c>
      <c r="G248" s="1590">
        <v>0.88109999999999999</v>
      </c>
      <c r="H248" s="1590">
        <v>0.88109999999999999</v>
      </c>
      <c r="I248" s="1590">
        <v>0.74780000000000002</v>
      </c>
      <c r="J248" s="1590">
        <v>0.74780000000000002</v>
      </c>
      <c r="K248" s="1590">
        <v>0.74780000000000002</v>
      </c>
      <c r="L248" s="1590">
        <v>0.74780000000000002</v>
      </c>
      <c r="M248" s="1590">
        <v>0.74780000000000002</v>
      </c>
    </row>
    <row r="249" spans="1:13">
      <c r="A249" s="1604">
        <v>4.3</v>
      </c>
      <c r="B249" s="1590">
        <v>0.88739999999999997</v>
      </c>
      <c r="C249" s="1590">
        <v>0.88739999999999997</v>
      </c>
      <c r="D249" s="1590">
        <v>0.877</v>
      </c>
      <c r="E249" s="1590">
        <v>0.877</v>
      </c>
      <c r="F249" s="1590">
        <v>0.877</v>
      </c>
      <c r="G249" s="1590">
        <v>0.877</v>
      </c>
      <c r="H249" s="1590">
        <v>0.877</v>
      </c>
      <c r="I249" s="1590">
        <v>0.74329999999999996</v>
      </c>
      <c r="J249" s="1590">
        <v>0.74329999999999996</v>
      </c>
      <c r="K249" s="1590">
        <v>0.74329999999999996</v>
      </c>
      <c r="L249" s="1590">
        <v>0.74329999999999996</v>
      </c>
      <c r="M249" s="1590">
        <v>0.74329999999999996</v>
      </c>
    </row>
    <row r="250" spans="1:13">
      <c r="A250" s="1604">
        <v>4.4000000000000004</v>
      </c>
      <c r="B250" s="1590">
        <v>0.88400000000000001</v>
      </c>
      <c r="C250" s="1590">
        <v>0.88400000000000001</v>
      </c>
      <c r="D250" s="1590">
        <v>0.87309999999999999</v>
      </c>
      <c r="E250" s="1590">
        <v>0.87309999999999999</v>
      </c>
      <c r="F250" s="1590">
        <v>0.87309999999999999</v>
      </c>
      <c r="G250" s="1590">
        <v>0.87309999999999999</v>
      </c>
      <c r="H250" s="1590">
        <v>0.87309999999999999</v>
      </c>
      <c r="I250" s="1590">
        <v>0.73909999999999998</v>
      </c>
      <c r="J250" s="1590">
        <v>0.73909999999999998</v>
      </c>
      <c r="K250" s="1590">
        <v>0.73909999999999998</v>
      </c>
      <c r="L250" s="1590">
        <v>0.73909999999999998</v>
      </c>
      <c r="M250" s="1590">
        <v>0.73909999999999998</v>
      </c>
    </row>
    <row r="251" spans="1:13">
      <c r="A251" s="1604">
        <v>4.5</v>
      </c>
      <c r="B251" s="1590">
        <v>0.88080000000000003</v>
      </c>
      <c r="C251" s="1590">
        <v>0.88080000000000003</v>
      </c>
      <c r="D251" s="1590">
        <v>0.86939999999999995</v>
      </c>
      <c r="E251" s="1590">
        <v>0.86939999999999995</v>
      </c>
      <c r="F251" s="1590">
        <v>0.86939999999999995</v>
      </c>
      <c r="G251" s="1590">
        <v>0.86939999999999995</v>
      </c>
      <c r="H251" s="1590">
        <v>0.86939999999999995</v>
      </c>
      <c r="I251" s="1590">
        <v>0.73499999999999999</v>
      </c>
      <c r="J251" s="1590">
        <v>0.73499999999999999</v>
      </c>
      <c r="K251" s="1590">
        <v>0.73499999999999999</v>
      </c>
      <c r="L251" s="1590">
        <v>0.73499999999999999</v>
      </c>
      <c r="M251" s="1590">
        <v>0.73499999999999999</v>
      </c>
    </row>
    <row r="252" spans="1:13">
      <c r="A252" s="1604">
        <v>4.5999999999999996</v>
      </c>
      <c r="B252" s="1590">
        <v>0.87780000000000002</v>
      </c>
      <c r="C252" s="1590">
        <v>0.87780000000000002</v>
      </c>
      <c r="D252" s="1590">
        <v>0.8659</v>
      </c>
      <c r="E252" s="1590">
        <v>0.8659</v>
      </c>
      <c r="F252" s="1590">
        <v>0.8659</v>
      </c>
      <c r="G252" s="1590">
        <v>0.8659</v>
      </c>
      <c r="H252" s="1590">
        <v>0.8659</v>
      </c>
      <c r="I252" s="1590">
        <v>0.73109999999999997</v>
      </c>
      <c r="J252" s="1590">
        <v>0.73109999999999997</v>
      </c>
      <c r="K252" s="1590">
        <v>0.73109999999999997</v>
      </c>
      <c r="L252" s="1590">
        <v>0.73109999999999997</v>
      </c>
      <c r="M252" s="1590">
        <v>0.73109999999999997</v>
      </c>
    </row>
    <row r="253" spans="1:13">
      <c r="A253" s="1604">
        <v>4.7</v>
      </c>
      <c r="B253" s="1590">
        <v>0.875</v>
      </c>
      <c r="C253" s="1590">
        <v>0.875</v>
      </c>
      <c r="D253" s="1590">
        <v>0.86260000000000003</v>
      </c>
      <c r="E253" s="1590">
        <v>0.86260000000000003</v>
      </c>
      <c r="F253" s="1590">
        <v>0.86260000000000003</v>
      </c>
      <c r="G253" s="1590">
        <v>0.86260000000000003</v>
      </c>
      <c r="H253" s="1590">
        <v>0.86260000000000003</v>
      </c>
      <c r="I253" s="1590">
        <v>0.72750000000000004</v>
      </c>
      <c r="J253" s="1590">
        <v>0.72750000000000004</v>
      </c>
      <c r="K253" s="1590">
        <v>0.72750000000000004</v>
      </c>
      <c r="L253" s="1590">
        <v>0.72750000000000004</v>
      </c>
      <c r="M253" s="1590">
        <v>0.72750000000000004</v>
      </c>
    </row>
    <row r="254" spans="1:13">
      <c r="A254" s="1604">
        <v>4.8</v>
      </c>
      <c r="B254" s="1590">
        <v>0.87229999999999996</v>
      </c>
      <c r="C254" s="1590">
        <v>0.87229999999999996</v>
      </c>
      <c r="D254" s="1590">
        <v>0.85950000000000004</v>
      </c>
      <c r="E254" s="1590">
        <v>0.85950000000000004</v>
      </c>
      <c r="F254" s="1590">
        <v>0.85950000000000004</v>
      </c>
      <c r="G254" s="1590">
        <v>0.85950000000000004</v>
      </c>
      <c r="H254" s="1590">
        <v>0.85950000000000004</v>
      </c>
      <c r="I254" s="1590">
        <v>0.72399999999999998</v>
      </c>
      <c r="J254" s="1590">
        <v>0.72399999999999998</v>
      </c>
      <c r="K254" s="1590">
        <v>0.72399999999999998</v>
      </c>
      <c r="L254" s="1590">
        <v>0.72399999999999998</v>
      </c>
      <c r="M254" s="1590">
        <v>0.72399999999999998</v>
      </c>
    </row>
    <row r="255" spans="1:13">
      <c r="A255" s="1604">
        <v>4.9000000000000004</v>
      </c>
      <c r="B255" s="1590">
        <v>0.86980000000000002</v>
      </c>
      <c r="C255" s="1590">
        <v>0.86980000000000002</v>
      </c>
      <c r="D255" s="1590">
        <v>0.85660000000000003</v>
      </c>
      <c r="E255" s="1590">
        <v>0.85660000000000003</v>
      </c>
      <c r="F255" s="1590">
        <v>0.85660000000000003</v>
      </c>
      <c r="G255" s="1590">
        <v>0.85660000000000003</v>
      </c>
      <c r="H255" s="1590">
        <v>0.85660000000000003</v>
      </c>
      <c r="I255" s="1590">
        <v>0.7208</v>
      </c>
      <c r="J255" s="1590">
        <v>0.7208</v>
      </c>
      <c r="K255" s="1590">
        <v>0.7208</v>
      </c>
      <c r="L255" s="1590">
        <v>0.7208</v>
      </c>
      <c r="M255" s="1590">
        <v>0.7208</v>
      </c>
    </row>
    <row r="256" spans="1:13">
      <c r="A256" s="1604">
        <v>5</v>
      </c>
      <c r="B256" s="1590">
        <v>0.86739999999999995</v>
      </c>
      <c r="C256" s="1590">
        <v>0.86739999999999995</v>
      </c>
      <c r="D256" s="1590">
        <v>0.8538</v>
      </c>
      <c r="E256" s="1590">
        <v>0.8538</v>
      </c>
      <c r="F256" s="1590">
        <v>0.8538</v>
      </c>
      <c r="G256" s="1590">
        <v>0.8538</v>
      </c>
      <c r="H256" s="1590">
        <v>0.8538</v>
      </c>
      <c r="I256" s="1590">
        <v>0.71760000000000002</v>
      </c>
      <c r="J256" s="1590">
        <v>0.71760000000000002</v>
      </c>
      <c r="K256" s="1590">
        <v>0.71760000000000002</v>
      </c>
      <c r="L256" s="1590">
        <v>0.71760000000000002</v>
      </c>
      <c r="M256" s="1590">
        <v>0.71760000000000002</v>
      </c>
    </row>
    <row r="257" spans="1:13">
      <c r="A257" s="1581">
        <v>5.0999999999999996</v>
      </c>
      <c r="B257" s="1590">
        <v>0.86519999999999997</v>
      </c>
      <c r="C257" s="1590">
        <v>0.86519999999999997</v>
      </c>
      <c r="D257" s="1590">
        <v>0.85109999999999997</v>
      </c>
      <c r="E257" s="1590">
        <v>0.85109999999999997</v>
      </c>
      <c r="F257" s="1590">
        <v>0.85109999999999997</v>
      </c>
      <c r="G257" s="1590">
        <v>0.85109999999999997</v>
      </c>
      <c r="H257" s="1590">
        <v>0.85109999999999997</v>
      </c>
      <c r="I257" s="1590">
        <v>0.7147</v>
      </c>
      <c r="J257" s="1590">
        <v>0.7147</v>
      </c>
      <c r="K257" s="1590">
        <v>0.7147</v>
      </c>
      <c r="L257" s="1590">
        <v>0.7147</v>
      </c>
      <c r="M257" s="1590">
        <v>0.7147</v>
      </c>
    </row>
    <row r="258" spans="1:13">
      <c r="A258" s="1581">
        <v>5.2</v>
      </c>
      <c r="B258" s="1590">
        <v>0.86309999999999998</v>
      </c>
      <c r="C258" s="1590">
        <v>0.86309999999999998</v>
      </c>
      <c r="D258" s="1590">
        <v>0.84860000000000002</v>
      </c>
      <c r="E258" s="1590">
        <v>0.84860000000000002</v>
      </c>
      <c r="F258" s="1590">
        <v>0.84860000000000002</v>
      </c>
      <c r="G258" s="1590">
        <v>0.84860000000000002</v>
      </c>
      <c r="H258" s="1590">
        <v>0.84860000000000002</v>
      </c>
      <c r="I258" s="1590">
        <v>0.71189999999999998</v>
      </c>
      <c r="J258" s="1590">
        <v>0.71189999999999998</v>
      </c>
      <c r="K258" s="1590">
        <v>0.71189999999999998</v>
      </c>
      <c r="L258" s="1590">
        <v>0.71189999999999998</v>
      </c>
      <c r="M258" s="1590">
        <v>0.71189999999999998</v>
      </c>
    </row>
    <row r="259" spans="1:13">
      <c r="A259" s="1581">
        <v>5.3</v>
      </c>
      <c r="B259" s="1590">
        <v>0.86119999999999997</v>
      </c>
      <c r="C259" s="1590">
        <v>0.86119999999999997</v>
      </c>
      <c r="D259" s="1590">
        <v>0.84619999999999995</v>
      </c>
      <c r="E259" s="1590">
        <v>0.84619999999999995</v>
      </c>
      <c r="F259" s="1590">
        <v>0.84619999999999995</v>
      </c>
      <c r="G259" s="1590">
        <v>0.84619999999999995</v>
      </c>
      <c r="H259" s="1590">
        <v>0.84619999999999995</v>
      </c>
      <c r="I259" s="1590">
        <v>0.70909999999999995</v>
      </c>
      <c r="J259" s="1590">
        <v>0.70909999999999995</v>
      </c>
      <c r="K259" s="1590">
        <v>0.70909999999999995</v>
      </c>
      <c r="L259" s="1590">
        <v>0.70909999999999995</v>
      </c>
      <c r="M259" s="1590">
        <v>0.70909999999999995</v>
      </c>
    </row>
    <row r="260" spans="1:13">
      <c r="A260" s="1581">
        <v>5.4</v>
      </c>
      <c r="B260" s="1590">
        <v>0.85940000000000005</v>
      </c>
      <c r="C260" s="1590">
        <v>0.85940000000000005</v>
      </c>
      <c r="D260" s="1590">
        <v>0.84389999999999998</v>
      </c>
      <c r="E260" s="1590">
        <v>0.84389999999999998</v>
      </c>
      <c r="F260" s="1590">
        <v>0.84389999999999998</v>
      </c>
      <c r="G260" s="1590">
        <v>0.84389999999999998</v>
      </c>
      <c r="H260" s="1590">
        <v>0.84389999999999998</v>
      </c>
      <c r="I260" s="1590">
        <v>0.70650000000000002</v>
      </c>
      <c r="J260" s="1590">
        <v>0.70650000000000002</v>
      </c>
      <c r="K260" s="1590">
        <v>0.70650000000000002</v>
      </c>
      <c r="L260" s="1590">
        <v>0.70650000000000002</v>
      </c>
      <c r="M260" s="1590">
        <v>0.70650000000000002</v>
      </c>
    </row>
    <row r="261" spans="1:13">
      <c r="A261" s="1581">
        <v>5.5</v>
      </c>
      <c r="B261" s="1590">
        <v>0.85770000000000002</v>
      </c>
      <c r="C261" s="1590">
        <v>0.85770000000000002</v>
      </c>
      <c r="D261" s="1590">
        <v>0.84179999999999999</v>
      </c>
      <c r="E261" s="1590">
        <v>0.84179999999999999</v>
      </c>
      <c r="F261" s="1590">
        <v>0.84179999999999999</v>
      </c>
      <c r="G261" s="1590">
        <v>0.84179999999999999</v>
      </c>
      <c r="H261" s="1590">
        <v>0.84179999999999999</v>
      </c>
      <c r="I261" s="1590">
        <v>0.70399999999999996</v>
      </c>
      <c r="J261" s="1590">
        <v>0.70399999999999996</v>
      </c>
      <c r="K261" s="1590">
        <v>0.70399999999999996</v>
      </c>
      <c r="L261" s="1590">
        <v>0.70399999999999996</v>
      </c>
      <c r="M261" s="1590">
        <v>0.70399999999999996</v>
      </c>
    </row>
    <row r="262" spans="1:13">
      <c r="A262" s="1581">
        <v>5.6</v>
      </c>
      <c r="B262" s="1590">
        <v>0.85599999999999998</v>
      </c>
      <c r="C262" s="1590">
        <v>0.85599999999999998</v>
      </c>
      <c r="D262" s="1590">
        <v>0.83979999999999999</v>
      </c>
      <c r="E262" s="1590">
        <v>0.83979999999999999</v>
      </c>
      <c r="F262" s="1590">
        <v>0.83979999999999999</v>
      </c>
      <c r="G262" s="1590">
        <v>0.83979999999999999</v>
      </c>
      <c r="H262" s="1590">
        <v>0.83979999999999999</v>
      </c>
      <c r="I262" s="1590">
        <v>0.7016</v>
      </c>
      <c r="J262" s="1590">
        <v>0.7016</v>
      </c>
      <c r="K262" s="1590">
        <v>0.7016</v>
      </c>
      <c r="L262" s="1590">
        <v>0.7016</v>
      </c>
      <c r="M262" s="1590">
        <v>0.7016</v>
      </c>
    </row>
    <row r="263" spans="1:13">
      <c r="A263" s="1604">
        <v>5.7</v>
      </c>
      <c r="B263" s="1590">
        <v>0.85440000000000005</v>
      </c>
      <c r="C263" s="1590">
        <v>0.85440000000000005</v>
      </c>
      <c r="D263" s="1590">
        <v>0.83789999999999998</v>
      </c>
      <c r="E263" s="1590">
        <v>0.83789999999999998</v>
      </c>
      <c r="F263" s="1590">
        <v>0.83789999999999998</v>
      </c>
      <c r="G263" s="1590">
        <v>0.83789999999999998</v>
      </c>
      <c r="H263" s="1590">
        <v>0.83789999999999998</v>
      </c>
      <c r="I263" s="1590">
        <v>0.69940000000000002</v>
      </c>
      <c r="J263" s="1590">
        <v>0.69940000000000002</v>
      </c>
      <c r="K263" s="1590">
        <v>0.69940000000000002</v>
      </c>
      <c r="L263" s="1590">
        <v>0.69940000000000002</v>
      </c>
      <c r="M263" s="1590">
        <v>0.69940000000000002</v>
      </c>
    </row>
    <row r="264" spans="1:13">
      <c r="A264" s="1581">
        <v>5.8</v>
      </c>
      <c r="B264" s="1590">
        <v>0.85289999999999999</v>
      </c>
      <c r="C264" s="1590">
        <v>0.85289999999999999</v>
      </c>
      <c r="D264" s="1590">
        <v>0.83599999999999997</v>
      </c>
      <c r="E264" s="1590">
        <v>0.83599999999999997</v>
      </c>
      <c r="F264" s="1590">
        <v>0.83599999999999997</v>
      </c>
      <c r="G264" s="1590">
        <v>0.83599999999999997</v>
      </c>
      <c r="H264" s="1590">
        <v>0.83599999999999997</v>
      </c>
      <c r="I264" s="1590">
        <v>0.69720000000000004</v>
      </c>
      <c r="J264" s="1590">
        <v>0.69720000000000004</v>
      </c>
      <c r="K264" s="1590">
        <v>0.69720000000000004</v>
      </c>
      <c r="L264" s="1590">
        <v>0.69720000000000004</v>
      </c>
      <c r="M264" s="1590">
        <v>0.69720000000000004</v>
      </c>
    </row>
    <row r="265" spans="1:13">
      <c r="A265" s="1581">
        <v>5.9</v>
      </c>
      <c r="B265" s="1590">
        <v>0.85150000000000003</v>
      </c>
      <c r="C265" s="1590">
        <v>0.85150000000000003</v>
      </c>
      <c r="D265" s="1590">
        <v>0.83430000000000004</v>
      </c>
      <c r="E265" s="1590">
        <v>0.83430000000000004</v>
      </c>
      <c r="F265" s="1590">
        <v>0.83430000000000004</v>
      </c>
      <c r="G265" s="1590">
        <v>0.83430000000000004</v>
      </c>
      <c r="H265" s="1590">
        <v>0.83430000000000004</v>
      </c>
      <c r="I265" s="1590">
        <v>0.69520000000000004</v>
      </c>
      <c r="J265" s="1590">
        <v>0.69520000000000004</v>
      </c>
      <c r="K265" s="1590">
        <v>0.69520000000000004</v>
      </c>
      <c r="L265" s="1590">
        <v>0.69520000000000004</v>
      </c>
      <c r="M265" s="1590">
        <v>0.69520000000000004</v>
      </c>
    </row>
    <row r="266" spans="1:13">
      <c r="A266" s="1581">
        <v>6</v>
      </c>
      <c r="B266" s="1590">
        <v>0.85019999999999996</v>
      </c>
      <c r="C266" s="1590">
        <v>0.85019999999999996</v>
      </c>
      <c r="D266" s="1590">
        <v>0.8327</v>
      </c>
      <c r="E266" s="1590">
        <v>0.8327</v>
      </c>
      <c r="F266" s="1590">
        <v>0.8327</v>
      </c>
      <c r="G266" s="1590">
        <v>0.8327</v>
      </c>
      <c r="H266" s="1590">
        <v>0.8327</v>
      </c>
      <c r="I266" s="1590">
        <v>0.69320000000000004</v>
      </c>
      <c r="J266" s="1590">
        <v>0.69320000000000004</v>
      </c>
      <c r="K266" s="1590">
        <v>0.69320000000000004</v>
      </c>
      <c r="L266" s="1590">
        <v>0.69320000000000004</v>
      </c>
      <c r="M266" s="1590">
        <v>0.69320000000000004</v>
      </c>
    </row>
    <row r="267" spans="1:13">
      <c r="A267" s="1581">
        <v>6.1</v>
      </c>
      <c r="B267" s="1590">
        <v>0.84899999999999998</v>
      </c>
      <c r="C267" s="1590">
        <v>0.84899999999999998</v>
      </c>
      <c r="D267" s="1590">
        <v>0.83109999999999995</v>
      </c>
      <c r="E267" s="1590">
        <v>0.83109999999999995</v>
      </c>
      <c r="F267" s="1590">
        <v>0.83109999999999995</v>
      </c>
      <c r="G267" s="1590">
        <v>0.83109999999999995</v>
      </c>
      <c r="H267" s="1590">
        <v>0.83109999999999995</v>
      </c>
      <c r="I267" s="1590">
        <v>0.69130000000000003</v>
      </c>
      <c r="J267" s="1590">
        <v>0.69130000000000003</v>
      </c>
      <c r="K267" s="1590">
        <v>0.69130000000000003</v>
      </c>
      <c r="L267" s="1590">
        <v>0.69130000000000003</v>
      </c>
      <c r="M267" s="1590">
        <v>0.69130000000000003</v>
      </c>
    </row>
    <row r="268" spans="1:13">
      <c r="A268" s="1581">
        <v>6.2</v>
      </c>
      <c r="B268" s="1590">
        <v>0.8478</v>
      </c>
      <c r="C268" s="1590">
        <v>0.8478</v>
      </c>
      <c r="D268" s="1590">
        <v>0.8296</v>
      </c>
      <c r="E268" s="1590">
        <v>0.8296</v>
      </c>
      <c r="F268" s="1590">
        <v>0.8296</v>
      </c>
      <c r="G268" s="1590">
        <v>0.8296</v>
      </c>
      <c r="H268" s="1590">
        <v>0.8296</v>
      </c>
      <c r="I268" s="1590">
        <v>0.68940000000000001</v>
      </c>
      <c r="J268" s="1590">
        <v>0.68940000000000001</v>
      </c>
      <c r="K268" s="1590">
        <v>0.68940000000000001</v>
      </c>
      <c r="L268" s="1590">
        <v>0.68940000000000001</v>
      </c>
      <c r="M268" s="1590">
        <v>0.68940000000000001</v>
      </c>
    </row>
    <row r="269" spans="1:13">
      <c r="A269" s="1581">
        <v>6.3</v>
      </c>
      <c r="B269" s="1590">
        <v>0.84670000000000001</v>
      </c>
      <c r="C269" s="1590">
        <v>0.84670000000000001</v>
      </c>
      <c r="D269" s="1590">
        <v>0.82820000000000005</v>
      </c>
      <c r="E269" s="1590">
        <v>0.82820000000000005</v>
      </c>
      <c r="F269" s="1590">
        <v>0.82820000000000005</v>
      </c>
      <c r="G269" s="1590">
        <v>0.82820000000000005</v>
      </c>
      <c r="H269" s="1590">
        <v>0.82820000000000005</v>
      </c>
      <c r="I269" s="1590">
        <v>0.68769999999999998</v>
      </c>
      <c r="J269" s="1590">
        <v>0.68769999999999998</v>
      </c>
      <c r="K269" s="1590">
        <v>0.68769999999999998</v>
      </c>
      <c r="L269" s="1590">
        <v>0.68769999999999998</v>
      </c>
      <c r="M269" s="1590">
        <v>0.68769999999999998</v>
      </c>
    </row>
    <row r="270" spans="1:13">
      <c r="A270" s="1581">
        <v>6.4</v>
      </c>
      <c r="B270" s="1590">
        <v>0.84570000000000001</v>
      </c>
      <c r="C270" s="1590">
        <v>0.84570000000000001</v>
      </c>
      <c r="D270" s="1590">
        <v>0.82689999999999997</v>
      </c>
      <c r="E270" s="1590">
        <v>0.82689999999999997</v>
      </c>
      <c r="F270" s="1590">
        <v>0.82689999999999997</v>
      </c>
      <c r="G270" s="1590">
        <v>0.82689999999999997</v>
      </c>
      <c r="H270" s="1590">
        <v>0.82689999999999997</v>
      </c>
      <c r="I270" s="1590">
        <v>0.68610000000000004</v>
      </c>
      <c r="J270" s="1590">
        <v>0.68610000000000004</v>
      </c>
      <c r="K270" s="1590">
        <v>0.68610000000000004</v>
      </c>
      <c r="L270" s="1590">
        <v>0.68610000000000004</v>
      </c>
      <c r="M270" s="1590">
        <v>0.68610000000000004</v>
      </c>
    </row>
    <row r="271" spans="1:13">
      <c r="A271" s="1581">
        <v>6.5</v>
      </c>
      <c r="B271" s="1590">
        <v>0.84470000000000001</v>
      </c>
      <c r="C271" s="1590">
        <v>0.84470000000000001</v>
      </c>
      <c r="D271" s="1590">
        <v>0.82569999999999999</v>
      </c>
      <c r="E271" s="1590">
        <v>0.82569999999999999</v>
      </c>
      <c r="F271" s="1590">
        <v>0.82569999999999999</v>
      </c>
      <c r="G271" s="1590">
        <v>0.82569999999999999</v>
      </c>
      <c r="H271" s="1590">
        <v>0.82569999999999999</v>
      </c>
      <c r="I271" s="1590">
        <v>0.68440000000000001</v>
      </c>
      <c r="J271" s="1590">
        <v>0.68440000000000001</v>
      </c>
      <c r="K271" s="1590">
        <v>0.68440000000000001</v>
      </c>
      <c r="L271" s="1590">
        <v>0.68440000000000001</v>
      </c>
      <c r="M271" s="1590">
        <v>0.68440000000000001</v>
      </c>
    </row>
    <row r="272" spans="1:13">
      <c r="A272" s="1581">
        <v>6.6</v>
      </c>
      <c r="B272" s="1590">
        <v>0.84370000000000001</v>
      </c>
      <c r="C272" s="1590">
        <v>0.84370000000000001</v>
      </c>
      <c r="D272" s="1590">
        <v>0.82450000000000001</v>
      </c>
      <c r="E272" s="1590">
        <v>0.82450000000000001</v>
      </c>
      <c r="F272" s="1590">
        <v>0.82450000000000001</v>
      </c>
      <c r="G272" s="1590">
        <v>0.82450000000000001</v>
      </c>
      <c r="H272" s="1590">
        <v>0.82450000000000001</v>
      </c>
      <c r="I272" s="1590">
        <v>0.68289999999999995</v>
      </c>
      <c r="J272" s="1590">
        <v>0.68289999999999995</v>
      </c>
      <c r="K272" s="1590">
        <v>0.68289999999999995</v>
      </c>
      <c r="L272" s="1590">
        <v>0.68289999999999995</v>
      </c>
      <c r="M272" s="1590">
        <v>0.68289999999999995</v>
      </c>
    </row>
    <row r="273" spans="1:13">
      <c r="A273" s="1581">
        <v>6.7</v>
      </c>
      <c r="B273" s="1590">
        <v>0.8427</v>
      </c>
      <c r="C273" s="1590">
        <v>0.8427</v>
      </c>
      <c r="D273" s="1590">
        <v>0.82330000000000003</v>
      </c>
      <c r="E273" s="1590">
        <v>0.82330000000000003</v>
      </c>
      <c r="F273" s="1590">
        <v>0.82330000000000003</v>
      </c>
      <c r="G273" s="1590">
        <v>0.82330000000000003</v>
      </c>
      <c r="H273" s="1590">
        <v>0.82330000000000003</v>
      </c>
      <c r="I273" s="1590">
        <v>0.68130000000000002</v>
      </c>
      <c r="J273" s="1590">
        <v>0.68130000000000002</v>
      </c>
      <c r="K273" s="1590">
        <v>0.68130000000000002</v>
      </c>
      <c r="L273" s="1590">
        <v>0.68130000000000002</v>
      </c>
      <c r="M273" s="1590">
        <v>0.68130000000000002</v>
      </c>
    </row>
    <row r="274" spans="1:13">
      <c r="A274" s="1581">
        <v>6.8</v>
      </c>
      <c r="B274" s="1590">
        <v>0.84179999999999999</v>
      </c>
      <c r="C274" s="1590">
        <v>0.84179999999999999</v>
      </c>
      <c r="D274" s="1590">
        <v>0.82210000000000005</v>
      </c>
      <c r="E274" s="1590">
        <v>0.82210000000000005</v>
      </c>
      <c r="F274" s="1590">
        <v>0.82210000000000005</v>
      </c>
      <c r="G274" s="1590">
        <v>0.82210000000000005</v>
      </c>
      <c r="H274" s="1590">
        <v>0.82210000000000005</v>
      </c>
      <c r="I274" s="1590">
        <v>0.67979999999999996</v>
      </c>
      <c r="J274" s="1590">
        <v>0.67979999999999996</v>
      </c>
      <c r="K274" s="1590">
        <v>0.67979999999999996</v>
      </c>
      <c r="L274" s="1590">
        <v>0.67979999999999996</v>
      </c>
      <c r="M274" s="1590">
        <v>0.67979999999999996</v>
      </c>
    </row>
    <row r="275" spans="1:13">
      <c r="A275" s="1581">
        <v>6.9</v>
      </c>
      <c r="B275" s="1590">
        <v>0.84089999999999998</v>
      </c>
      <c r="C275" s="1590">
        <v>0.84089999999999998</v>
      </c>
      <c r="D275" s="1590">
        <v>0.82099999999999995</v>
      </c>
      <c r="E275" s="1590">
        <v>0.82099999999999995</v>
      </c>
      <c r="F275" s="1590">
        <v>0.82099999999999995</v>
      </c>
      <c r="G275" s="1590">
        <v>0.82099999999999995</v>
      </c>
      <c r="H275" s="1590">
        <v>0.82099999999999995</v>
      </c>
      <c r="I275" s="1590">
        <v>0.67849999999999999</v>
      </c>
      <c r="J275" s="1590">
        <v>0.67849999999999999</v>
      </c>
      <c r="K275" s="1590">
        <v>0.67849999999999999</v>
      </c>
      <c r="L275" s="1590">
        <v>0.67849999999999999</v>
      </c>
      <c r="M275" s="1590">
        <v>0.67849999999999999</v>
      </c>
    </row>
    <row r="276" spans="1:13">
      <c r="A276" s="1581">
        <v>7</v>
      </c>
      <c r="B276" s="1590">
        <v>0.84009999999999996</v>
      </c>
      <c r="C276" s="1590">
        <v>0.84009999999999996</v>
      </c>
      <c r="D276" s="1590">
        <v>0.81989999999999996</v>
      </c>
      <c r="E276" s="1590">
        <v>0.81989999999999996</v>
      </c>
      <c r="F276" s="1590">
        <v>0.81989999999999996</v>
      </c>
      <c r="G276" s="1590">
        <v>0.81989999999999996</v>
      </c>
      <c r="H276" s="1590">
        <v>0.81989999999999996</v>
      </c>
      <c r="I276" s="1590">
        <v>0.67720000000000002</v>
      </c>
      <c r="J276" s="1590">
        <v>0.67720000000000002</v>
      </c>
      <c r="K276" s="1590">
        <v>0.67720000000000002</v>
      </c>
      <c r="L276" s="1590">
        <v>0.67720000000000002</v>
      </c>
      <c r="M276" s="1590">
        <v>0.67720000000000002</v>
      </c>
    </row>
    <row r="277" spans="1:13">
      <c r="A277" s="1581">
        <v>7.1</v>
      </c>
      <c r="B277" s="1590">
        <v>0.83930000000000005</v>
      </c>
      <c r="C277" s="1590">
        <v>0.83930000000000005</v>
      </c>
      <c r="D277" s="1590">
        <v>0.81889999999999996</v>
      </c>
      <c r="E277" s="1590">
        <v>0.81889999999999996</v>
      </c>
      <c r="F277" s="1590">
        <v>0.81889999999999996</v>
      </c>
      <c r="G277" s="1590">
        <v>0.81889999999999996</v>
      </c>
      <c r="H277" s="1590">
        <v>0.81889999999999996</v>
      </c>
      <c r="I277" s="1590">
        <v>0.67589999999999995</v>
      </c>
      <c r="J277" s="1590">
        <v>0.67589999999999995</v>
      </c>
      <c r="K277" s="1590">
        <v>0.67589999999999995</v>
      </c>
      <c r="L277" s="1590">
        <v>0.67589999999999995</v>
      </c>
      <c r="M277" s="1590">
        <v>0.67589999999999995</v>
      </c>
    </row>
    <row r="278" spans="1:13">
      <c r="A278" s="1581">
        <v>7.2</v>
      </c>
      <c r="B278" s="1590">
        <v>0.83850000000000002</v>
      </c>
      <c r="C278" s="1590">
        <v>0.83850000000000002</v>
      </c>
      <c r="D278" s="1590">
        <v>0.81789999999999996</v>
      </c>
      <c r="E278" s="1590">
        <v>0.81789999999999996</v>
      </c>
      <c r="F278" s="1590">
        <v>0.81789999999999996</v>
      </c>
      <c r="G278" s="1590">
        <v>0.81789999999999996</v>
      </c>
      <c r="H278" s="1590">
        <v>0.81789999999999996</v>
      </c>
      <c r="I278" s="1590">
        <v>0.67459999999999998</v>
      </c>
      <c r="J278" s="1590">
        <v>0.67459999999999998</v>
      </c>
      <c r="K278" s="1590">
        <v>0.67459999999999998</v>
      </c>
      <c r="L278" s="1590">
        <v>0.67459999999999998</v>
      </c>
      <c r="M278" s="1590">
        <v>0.67459999999999998</v>
      </c>
    </row>
    <row r="279" spans="1:13">
      <c r="A279" s="1581">
        <v>7.3</v>
      </c>
      <c r="B279" s="1590">
        <v>0.8377</v>
      </c>
      <c r="C279" s="1590">
        <v>0.8377</v>
      </c>
      <c r="D279" s="1590">
        <v>0.81689999999999996</v>
      </c>
      <c r="E279" s="1590">
        <v>0.81689999999999996</v>
      </c>
      <c r="F279" s="1590">
        <v>0.81689999999999996</v>
      </c>
      <c r="G279" s="1590">
        <v>0.81689999999999996</v>
      </c>
      <c r="H279" s="1590">
        <v>0.81689999999999996</v>
      </c>
      <c r="I279" s="1590">
        <v>0.6734</v>
      </c>
      <c r="J279" s="1590">
        <v>0.6734</v>
      </c>
      <c r="K279" s="1590">
        <v>0.6734</v>
      </c>
      <c r="L279" s="1590">
        <v>0.6734</v>
      </c>
      <c r="M279" s="1590">
        <v>0.6734</v>
      </c>
    </row>
    <row r="280" spans="1:13">
      <c r="A280" s="1581">
        <v>7.4</v>
      </c>
      <c r="B280" s="1590">
        <v>0.83699999999999997</v>
      </c>
      <c r="C280" s="1590">
        <v>0.83699999999999997</v>
      </c>
      <c r="D280" s="1590">
        <v>0.81599999999999995</v>
      </c>
      <c r="E280" s="1590">
        <v>0.81599999999999995</v>
      </c>
      <c r="F280" s="1590">
        <v>0.81599999999999995</v>
      </c>
      <c r="G280" s="1590">
        <v>0.81599999999999995</v>
      </c>
      <c r="H280" s="1590">
        <v>0.81599999999999995</v>
      </c>
      <c r="I280" s="1590">
        <v>0.67210000000000003</v>
      </c>
      <c r="J280" s="1590">
        <v>0.67210000000000003</v>
      </c>
      <c r="K280" s="1590">
        <v>0.67210000000000003</v>
      </c>
      <c r="L280" s="1590">
        <v>0.67210000000000003</v>
      </c>
      <c r="M280" s="1590">
        <v>0.67210000000000003</v>
      </c>
    </row>
    <row r="281" spans="1:13">
      <c r="A281" s="1581">
        <v>7.5</v>
      </c>
      <c r="B281" s="1590">
        <v>0.83630000000000004</v>
      </c>
      <c r="C281" s="1590">
        <v>0.83630000000000004</v>
      </c>
      <c r="D281" s="1590">
        <v>0.81510000000000005</v>
      </c>
      <c r="E281" s="1590">
        <v>0.81510000000000005</v>
      </c>
      <c r="F281" s="1590">
        <v>0.81510000000000005</v>
      </c>
      <c r="G281" s="1590">
        <v>0.81510000000000005</v>
      </c>
      <c r="H281" s="1590">
        <v>0.81510000000000005</v>
      </c>
      <c r="I281" s="1590">
        <v>0.67090000000000005</v>
      </c>
      <c r="J281" s="1590">
        <v>0.67090000000000005</v>
      </c>
      <c r="K281" s="1590">
        <v>0.67090000000000005</v>
      </c>
      <c r="L281" s="1590">
        <v>0.67090000000000005</v>
      </c>
      <c r="M281" s="1590">
        <v>0.67090000000000005</v>
      </c>
    </row>
    <row r="282" spans="1:13">
      <c r="A282" s="1581">
        <v>7.6</v>
      </c>
      <c r="B282" s="1590">
        <v>0.83560000000000001</v>
      </c>
      <c r="C282" s="1590">
        <v>0.83560000000000001</v>
      </c>
      <c r="D282" s="1590">
        <v>0.81420000000000003</v>
      </c>
      <c r="E282" s="1590">
        <v>0.81420000000000003</v>
      </c>
      <c r="F282" s="1590">
        <v>0.81420000000000003</v>
      </c>
      <c r="G282" s="1590">
        <v>0.81420000000000003</v>
      </c>
      <c r="H282" s="1590">
        <v>0.81420000000000003</v>
      </c>
      <c r="I282" s="1590">
        <v>0.66979999999999995</v>
      </c>
      <c r="J282" s="1590">
        <v>0.66979999999999995</v>
      </c>
      <c r="K282" s="1590">
        <v>0.66979999999999995</v>
      </c>
      <c r="L282" s="1590">
        <v>0.66979999999999995</v>
      </c>
      <c r="M282" s="1590">
        <v>0.66979999999999995</v>
      </c>
    </row>
    <row r="283" spans="1:13">
      <c r="A283" s="1581">
        <v>7.7</v>
      </c>
      <c r="B283" s="1590">
        <v>0.83489999999999998</v>
      </c>
      <c r="C283" s="1590">
        <v>0.83489999999999998</v>
      </c>
      <c r="D283" s="1590">
        <v>0.81330000000000002</v>
      </c>
      <c r="E283" s="1590">
        <v>0.81330000000000002</v>
      </c>
      <c r="F283" s="1590">
        <v>0.81330000000000002</v>
      </c>
      <c r="G283" s="1590">
        <v>0.81330000000000002</v>
      </c>
      <c r="H283" s="1590">
        <v>0.81330000000000002</v>
      </c>
      <c r="I283" s="1590">
        <v>0.66869999999999996</v>
      </c>
      <c r="J283" s="1590">
        <v>0.66869999999999996</v>
      </c>
      <c r="K283" s="1590">
        <v>0.66869999999999996</v>
      </c>
      <c r="L283" s="1590">
        <v>0.66869999999999996</v>
      </c>
      <c r="M283" s="1590">
        <v>0.66869999999999996</v>
      </c>
    </row>
    <row r="284" spans="1:13">
      <c r="A284" s="1581">
        <v>7.8</v>
      </c>
      <c r="B284" s="1590">
        <v>0.83420000000000005</v>
      </c>
      <c r="C284" s="1590">
        <v>0.83420000000000005</v>
      </c>
      <c r="D284" s="1590">
        <v>0.81240000000000001</v>
      </c>
      <c r="E284" s="1590">
        <v>0.81240000000000001</v>
      </c>
      <c r="F284" s="1590">
        <v>0.81240000000000001</v>
      </c>
      <c r="G284" s="1590">
        <v>0.81240000000000001</v>
      </c>
      <c r="H284" s="1590">
        <v>0.81240000000000001</v>
      </c>
      <c r="I284" s="1590">
        <v>0.66759999999999997</v>
      </c>
      <c r="J284" s="1590">
        <v>0.66759999999999997</v>
      </c>
      <c r="K284" s="1590">
        <v>0.66759999999999997</v>
      </c>
      <c r="L284" s="1590">
        <v>0.66759999999999997</v>
      </c>
      <c r="M284" s="1590">
        <v>0.66759999999999997</v>
      </c>
    </row>
    <row r="285" spans="1:13">
      <c r="A285" s="1581">
        <v>7.9</v>
      </c>
      <c r="B285" s="1590">
        <v>0.83350000000000002</v>
      </c>
      <c r="C285" s="1590">
        <v>0.83350000000000002</v>
      </c>
      <c r="D285" s="1590">
        <v>0.81159999999999999</v>
      </c>
      <c r="E285" s="1590">
        <v>0.81159999999999999</v>
      </c>
      <c r="F285" s="1590">
        <v>0.81159999999999999</v>
      </c>
      <c r="G285" s="1590">
        <v>0.81159999999999999</v>
      </c>
      <c r="H285" s="1590">
        <v>0.81159999999999999</v>
      </c>
      <c r="I285" s="1590">
        <v>0.66649999999999998</v>
      </c>
      <c r="J285" s="1590">
        <v>0.66649999999999998</v>
      </c>
      <c r="K285" s="1590">
        <v>0.66649999999999998</v>
      </c>
      <c r="L285" s="1590">
        <v>0.66649999999999998</v>
      </c>
      <c r="M285" s="1590">
        <v>0.66649999999999998</v>
      </c>
    </row>
    <row r="286" spans="1:13">
      <c r="A286" s="1581">
        <v>8</v>
      </c>
      <c r="B286" s="1590">
        <v>0.83279999999999998</v>
      </c>
      <c r="C286" s="1590">
        <v>0.83279999999999998</v>
      </c>
      <c r="D286" s="1590">
        <v>0.81079999999999997</v>
      </c>
      <c r="E286" s="1590">
        <v>0.81079999999999997</v>
      </c>
      <c r="F286" s="1590">
        <v>0.81079999999999997</v>
      </c>
      <c r="G286" s="1590">
        <v>0.81079999999999997</v>
      </c>
      <c r="H286" s="1590">
        <v>0.81079999999999997</v>
      </c>
      <c r="I286" s="1590">
        <v>0.66549999999999998</v>
      </c>
      <c r="J286" s="1590">
        <v>0.66549999999999998</v>
      </c>
      <c r="K286" s="1590">
        <v>0.66549999999999998</v>
      </c>
      <c r="L286" s="1590">
        <v>0.66549999999999998</v>
      </c>
      <c r="M286" s="1590">
        <v>0.66549999999999998</v>
      </c>
    </row>
    <row r="287" spans="1:13">
      <c r="A287" s="1581">
        <v>8.1</v>
      </c>
      <c r="B287" s="1590">
        <v>0.83220000000000005</v>
      </c>
      <c r="C287" s="1590">
        <v>0.83220000000000005</v>
      </c>
      <c r="D287" s="1590">
        <v>0.81</v>
      </c>
      <c r="E287" s="1590">
        <v>0.81</v>
      </c>
      <c r="F287" s="1590">
        <v>0.81</v>
      </c>
      <c r="G287" s="1590">
        <v>0.81</v>
      </c>
      <c r="H287" s="1590">
        <v>0.81</v>
      </c>
      <c r="I287" s="1590">
        <v>0.66439999999999999</v>
      </c>
      <c r="J287" s="1590">
        <v>0.66439999999999999</v>
      </c>
      <c r="K287" s="1590">
        <v>0.66439999999999999</v>
      </c>
      <c r="L287" s="1590">
        <v>0.66439999999999999</v>
      </c>
      <c r="M287" s="1590">
        <v>0.66439999999999999</v>
      </c>
    </row>
    <row r="288" spans="1:13">
      <c r="A288" s="1581">
        <v>8.1999999999999993</v>
      </c>
      <c r="B288" s="1590">
        <v>0.83160000000000001</v>
      </c>
      <c r="C288" s="1590">
        <v>0.83160000000000001</v>
      </c>
      <c r="D288" s="1590">
        <v>0.80920000000000003</v>
      </c>
      <c r="E288" s="1590">
        <v>0.80920000000000003</v>
      </c>
      <c r="F288" s="1590">
        <v>0.80920000000000003</v>
      </c>
      <c r="G288" s="1590">
        <v>0.80920000000000003</v>
      </c>
      <c r="H288" s="1590">
        <v>0.80920000000000003</v>
      </c>
      <c r="I288" s="1590">
        <v>0.66339999999999999</v>
      </c>
      <c r="J288" s="1590">
        <v>0.66339999999999999</v>
      </c>
      <c r="K288" s="1590">
        <v>0.66339999999999999</v>
      </c>
      <c r="L288" s="1590">
        <v>0.66339999999999999</v>
      </c>
      <c r="M288" s="1590">
        <v>0.66339999999999999</v>
      </c>
    </row>
    <row r="289" spans="1:13">
      <c r="A289" s="1581">
        <v>8.3000000000000007</v>
      </c>
      <c r="B289" s="1590">
        <v>0.83099999999999996</v>
      </c>
      <c r="C289" s="1590">
        <v>0.83099999999999996</v>
      </c>
      <c r="D289" s="1590">
        <v>0.80840000000000001</v>
      </c>
      <c r="E289" s="1590">
        <v>0.80840000000000001</v>
      </c>
      <c r="F289" s="1590">
        <v>0.80840000000000001</v>
      </c>
      <c r="G289" s="1590">
        <v>0.80840000000000001</v>
      </c>
      <c r="H289" s="1590">
        <v>0.80840000000000001</v>
      </c>
      <c r="I289" s="1590">
        <v>0.66239999999999999</v>
      </c>
      <c r="J289" s="1590">
        <v>0.66239999999999999</v>
      </c>
      <c r="K289" s="1590">
        <v>0.66239999999999999</v>
      </c>
      <c r="L289" s="1590">
        <v>0.66239999999999999</v>
      </c>
      <c r="M289" s="1590">
        <v>0.66239999999999999</v>
      </c>
    </row>
    <row r="290" spans="1:13">
      <c r="A290" s="1581">
        <v>8.4</v>
      </c>
      <c r="B290" s="1590">
        <v>0.83040000000000003</v>
      </c>
      <c r="C290" s="1590">
        <v>0.83040000000000003</v>
      </c>
      <c r="D290" s="1590">
        <v>0.80759999999999998</v>
      </c>
      <c r="E290" s="1590">
        <v>0.80759999999999998</v>
      </c>
      <c r="F290" s="1590">
        <v>0.80759999999999998</v>
      </c>
      <c r="G290" s="1590">
        <v>0.80759999999999998</v>
      </c>
      <c r="H290" s="1590">
        <v>0.80759999999999998</v>
      </c>
      <c r="I290" s="1590">
        <v>0.66139999999999999</v>
      </c>
      <c r="J290" s="1590">
        <v>0.66139999999999999</v>
      </c>
      <c r="K290" s="1590">
        <v>0.66139999999999999</v>
      </c>
      <c r="L290" s="1590">
        <v>0.66139999999999999</v>
      </c>
      <c r="M290" s="1590">
        <v>0.66139999999999999</v>
      </c>
    </row>
    <row r="291" spans="1:13">
      <c r="A291" s="1581">
        <v>8.5</v>
      </c>
      <c r="B291" s="1590">
        <v>0.82979999999999998</v>
      </c>
      <c r="C291" s="1590">
        <v>0.82979999999999998</v>
      </c>
      <c r="D291" s="1590">
        <v>0.80679999999999996</v>
      </c>
      <c r="E291" s="1590">
        <v>0.80679999999999996</v>
      </c>
      <c r="F291" s="1590">
        <v>0.80679999999999996</v>
      </c>
      <c r="G291" s="1590">
        <v>0.80679999999999996</v>
      </c>
      <c r="H291" s="1590">
        <v>0.80679999999999996</v>
      </c>
      <c r="I291" s="1590">
        <v>0.66049999999999998</v>
      </c>
      <c r="J291" s="1590">
        <v>0.66049999999999998</v>
      </c>
      <c r="K291" s="1590">
        <v>0.66049999999999998</v>
      </c>
      <c r="L291" s="1590">
        <v>0.66049999999999998</v>
      </c>
      <c r="M291" s="1590">
        <v>0.66049999999999998</v>
      </c>
    </row>
    <row r="292" spans="1:13">
      <c r="A292" s="1581">
        <v>8.6</v>
      </c>
      <c r="B292" s="1590">
        <v>0.82920000000000005</v>
      </c>
      <c r="C292" s="1590">
        <v>0.82920000000000005</v>
      </c>
      <c r="D292" s="1590">
        <v>0.80600000000000005</v>
      </c>
      <c r="E292" s="1590">
        <v>0.80600000000000005</v>
      </c>
      <c r="F292" s="1590">
        <v>0.80600000000000005</v>
      </c>
      <c r="G292" s="1590">
        <v>0.80600000000000005</v>
      </c>
      <c r="H292" s="1590">
        <v>0.80600000000000005</v>
      </c>
      <c r="I292" s="1590">
        <v>0.65949999999999998</v>
      </c>
      <c r="J292" s="1590">
        <v>0.65949999999999998</v>
      </c>
      <c r="K292" s="1590">
        <v>0.65949999999999998</v>
      </c>
      <c r="L292" s="1590">
        <v>0.65949999999999998</v>
      </c>
      <c r="M292" s="1590">
        <v>0.65949999999999998</v>
      </c>
    </row>
    <row r="293" spans="1:13">
      <c r="A293" s="1581">
        <v>8.6999999999999993</v>
      </c>
      <c r="B293" s="1590">
        <v>0.8286</v>
      </c>
      <c r="C293" s="1590">
        <v>0.8286</v>
      </c>
      <c r="D293" s="1590">
        <v>0.80520000000000003</v>
      </c>
      <c r="E293" s="1590">
        <v>0.80520000000000003</v>
      </c>
      <c r="F293" s="1590">
        <v>0.80520000000000003</v>
      </c>
      <c r="G293" s="1590">
        <v>0.80520000000000003</v>
      </c>
      <c r="H293" s="1590">
        <v>0.80520000000000003</v>
      </c>
      <c r="I293" s="1590">
        <v>0.65859999999999996</v>
      </c>
      <c r="J293" s="1590">
        <v>0.65859999999999996</v>
      </c>
      <c r="K293" s="1590">
        <v>0.65859999999999996</v>
      </c>
      <c r="L293" s="1590">
        <v>0.65859999999999996</v>
      </c>
      <c r="M293" s="1590">
        <v>0.65859999999999996</v>
      </c>
    </row>
    <row r="294" spans="1:13">
      <c r="A294" s="1581">
        <v>8.8000000000000007</v>
      </c>
      <c r="B294" s="1590">
        <v>0.82799999999999996</v>
      </c>
      <c r="C294" s="1590">
        <v>0.82799999999999996</v>
      </c>
      <c r="D294" s="1590">
        <v>0.8044</v>
      </c>
      <c r="E294" s="1590">
        <v>0.8044</v>
      </c>
      <c r="F294" s="1590">
        <v>0.8044</v>
      </c>
      <c r="G294" s="1590">
        <v>0.8044</v>
      </c>
      <c r="H294" s="1590">
        <v>0.8044</v>
      </c>
      <c r="I294" s="1590">
        <v>0.65759999999999996</v>
      </c>
      <c r="J294" s="1590">
        <v>0.65759999999999996</v>
      </c>
      <c r="K294" s="1590">
        <v>0.65759999999999996</v>
      </c>
      <c r="L294" s="1590">
        <v>0.65759999999999996</v>
      </c>
      <c r="M294" s="1590">
        <v>0.65759999999999996</v>
      </c>
    </row>
    <row r="295" spans="1:13">
      <c r="A295" s="1581">
        <v>8.9</v>
      </c>
      <c r="B295" s="1590">
        <v>0.82740000000000002</v>
      </c>
      <c r="C295" s="1590">
        <v>0.82740000000000002</v>
      </c>
      <c r="D295" s="1590">
        <v>0.80359999999999998</v>
      </c>
      <c r="E295" s="1590">
        <v>0.80359999999999998</v>
      </c>
      <c r="F295" s="1590">
        <v>0.80359999999999998</v>
      </c>
      <c r="G295" s="1590">
        <v>0.80359999999999998</v>
      </c>
      <c r="H295" s="1590">
        <v>0.80359999999999998</v>
      </c>
      <c r="I295" s="1590">
        <v>0.65669999999999995</v>
      </c>
      <c r="J295" s="1590">
        <v>0.65669999999999995</v>
      </c>
      <c r="K295" s="1590">
        <v>0.65669999999999995</v>
      </c>
      <c r="L295" s="1590">
        <v>0.65669999999999995</v>
      </c>
      <c r="M295" s="1590">
        <v>0.65669999999999995</v>
      </c>
    </row>
    <row r="296" spans="1:13">
      <c r="A296" s="1604">
        <v>9</v>
      </c>
      <c r="B296" s="1590">
        <v>0.82679999999999998</v>
      </c>
      <c r="C296" s="1590">
        <v>0.82679999999999998</v>
      </c>
      <c r="D296" s="1590">
        <v>0.80279999999999996</v>
      </c>
      <c r="E296" s="1590">
        <v>0.80279999999999996</v>
      </c>
      <c r="F296" s="1590">
        <v>0.80279999999999996</v>
      </c>
      <c r="G296" s="1590">
        <v>0.80279999999999996</v>
      </c>
      <c r="H296" s="1590">
        <v>0.80279999999999996</v>
      </c>
      <c r="I296" s="1590">
        <v>0.65569999999999995</v>
      </c>
      <c r="J296" s="1590">
        <v>0.65569999999999995</v>
      </c>
      <c r="K296" s="1590">
        <v>0.65569999999999995</v>
      </c>
      <c r="L296" s="1590">
        <v>0.65569999999999995</v>
      </c>
      <c r="M296" s="1590">
        <v>0.65569999999999995</v>
      </c>
    </row>
    <row r="297" spans="1:13">
      <c r="A297" s="1604">
        <v>9.1</v>
      </c>
      <c r="B297" s="1590">
        <v>0.82620000000000005</v>
      </c>
      <c r="C297" s="1590">
        <v>0.82620000000000005</v>
      </c>
      <c r="D297" s="1590">
        <v>0.80200000000000005</v>
      </c>
      <c r="E297" s="1590">
        <v>0.80200000000000005</v>
      </c>
      <c r="F297" s="1590">
        <v>0.80200000000000005</v>
      </c>
      <c r="G297" s="1590">
        <v>0.80200000000000005</v>
      </c>
      <c r="H297" s="1590">
        <v>0.80200000000000005</v>
      </c>
      <c r="I297" s="1590">
        <v>0.65480000000000005</v>
      </c>
      <c r="J297" s="1590">
        <v>0.65480000000000005</v>
      </c>
      <c r="K297" s="1590">
        <v>0.65480000000000005</v>
      </c>
      <c r="L297" s="1590">
        <v>0.65480000000000005</v>
      </c>
      <c r="M297" s="1590">
        <v>0.65480000000000005</v>
      </c>
    </row>
    <row r="298" spans="1:13">
      <c r="A298" s="1604">
        <v>9.1999999999999993</v>
      </c>
      <c r="B298" s="1590">
        <v>0.8256</v>
      </c>
      <c r="C298" s="1590">
        <v>0.8256</v>
      </c>
      <c r="D298" s="1590">
        <v>0.80120000000000002</v>
      </c>
      <c r="E298" s="1590">
        <v>0.80120000000000002</v>
      </c>
      <c r="F298" s="1590">
        <v>0.80120000000000002</v>
      </c>
      <c r="G298" s="1590">
        <v>0.80120000000000002</v>
      </c>
      <c r="H298" s="1590">
        <v>0.80120000000000002</v>
      </c>
      <c r="I298" s="1590">
        <v>0.65380000000000005</v>
      </c>
      <c r="J298" s="1590">
        <v>0.65380000000000005</v>
      </c>
      <c r="K298" s="1590">
        <v>0.65380000000000005</v>
      </c>
      <c r="L298" s="1590">
        <v>0.65380000000000005</v>
      </c>
      <c r="M298" s="1590">
        <v>0.65380000000000005</v>
      </c>
    </row>
    <row r="299" spans="1:13">
      <c r="A299" s="1604">
        <v>9.3000000000000007</v>
      </c>
      <c r="B299" s="1590">
        <v>0.82499999999999996</v>
      </c>
      <c r="C299" s="1590">
        <v>0.82499999999999996</v>
      </c>
      <c r="D299" s="1590">
        <v>0.8004</v>
      </c>
      <c r="E299" s="1590">
        <v>0.8004</v>
      </c>
      <c r="F299" s="1590">
        <v>0.8004</v>
      </c>
      <c r="G299" s="1590">
        <v>0.8004</v>
      </c>
      <c r="H299" s="1590">
        <v>0.8004</v>
      </c>
      <c r="I299" s="1590">
        <v>0.65290000000000004</v>
      </c>
      <c r="J299" s="1590">
        <v>0.65290000000000004</v>
      </c>
      <c r="K299" s="1590">
        <v>0.65290000000000004</v>
      </c>
      <c r="L299" s="1590">
        <v>0.65290000000000004</v>
      </c>
      <c r="M299" s="1590">
        <v>0.65290000000000004</v>
      </c>
    </row>
    <row r="300" spans="1:13">
      <c r="A300" s="1604">
        <v>9.4</v>
      </c>
      <c r="B300" s="1590">
        <v>0.82440000000000002</v>
      </c>
      <c r="C300" s="1590">
        <v>0.82440000000000002</v>
      </c>
      <c r="D300" s="1590">
        <v>0.79959999999999998</v>
      </c>
      <c r="E300" s="1590">
        <v>0.79959999999999998</v>
      </c>
      <c r="F300" s="1590">
        <v>0.79959999999999998</v>
      </c>
      <c r="G300" s="1590">
        <v>0.79959999999999998</v>
      </c>
      <c r="H300" s="1590">
        <v>0.79959999999999998</v>
      </c>
      <c r="I300" s="1590">
        <v>0.65190000000000003</v>
      </c>
      <c r="J300" s="1590">
        <v>0.65190000000000003</v>
      </c>
      <c r="K300" s="1590">
        <v>0.65190000000000003</v>
      </c>
      <c r="L300" s="1590">
        <v>0.65190000000000003</v>
      </c>
      <c r="M300" s="1590">
        <v>0.65190000000000003</v>
      </c>
    </row>
    <row r="301" spans="1:13">
      <c r="A301" s="1604">
        <v>9.5</v>
      </c>
      <c r="B301" s="1590">
        <v>0.82379999999999998</v>
      </c>
      <c r="C301" s="1590">
        <v>0.82379999999999998</v>
      </c>
      <c r="D301" s="1590">
        <v>0.79879999999999995</v>
      </c>
      <c r="E301" s="1590">
        <v>0.79879999999999995</v>
      </c>
      <c r="F301" s="1590">
        <v>0.79879999999999995</v>
      </c>
      <c r="G301" s="1590">
        <v>0.79879999999999995</v>
      </c>
      <c r="H301" s="1590">
        <v>0.79879999999999995</v>
      </c>
      <c r="I301" s="1590">
        <v>0.65100000000000002</v>
      </c>
      <c r="J301" s="1590">
        <v>0.65100000000000002</v>
      </c>
      <c r="K301" s="1590">
        <v>0.65100000000000002</v>
      </c>
      <c r="L301" s="1590">
        <v>0.65100000000000002</v>
      </c>
      <c r="M301" s="1590">
        <v>0.65100000000000002</v>
      </c>
    </row>
    <row r="302" spans="1:13">
      <c r="A302" s="1604">
        <v>9.6</v>
      </c>
      <c r="B302" s="1590">
        <v>0.82320000000000004</v>
      </c>
      <c r="C302" s="1590">
        <v>0.82320000000000004</v>
      </c>
      <c r="D302" s="1590">
        <v>0.79800000000000004</v>
      </c>
      <c r="E302" s="1590">
        <v>0.79800000000000004</v>
      </c>
      <c r="F302" s="1590">
        <v>0.79800000000000004</v>
      </c>
      <c r="G302" s="1590">
        <v>0.79800000000000004</v>
      </c>
      <c r="H302" s="1590">
        <v>0.79800000000000004</v>
      </c>
      <c r="I302" s="1590">
        <v>0.65</v>
      </c>
      <c r="J302" s="1590">
        <v>0.65</v>
      </c>
      <c r="K302" s="1590">
        <v>0.65</v>
      </c>
      <c r="L302" s="1590">
        <v>0.65</v>
      </c>
      <c r="M302" s="1590">
        <v>0.65</v>
      </c>
    </row>
    <row r="303" spans="1:13">
      <c r="A303" s="1604">
        <v>9.6999999999999993</v>
      </c>
      <c r="B303" s="1590">
        <v>0.8226</v>
      </c>
      <c r="C303" s="1590">
        <v>0.8226</v>
      </c>
      <c r="D303" s="1590">
        <v>0.79720000000000002</v>
      </c>
      <c r="E303" s="1590">
        <v>0.79720000000000002</v>
      </c>
      <c r="F303" s="1590">
        <v>0.79720000000000002</v>
      </c>
      <c r="G303" s="1590">
        <v>0.79720000000000002</v>
      </c>
      <c r="H303" s="1590">
        <v>0.79720000000000002</v>
      </c>
      <c r="I303" s="1590">
        <v>0.64900000000000002</v>
      </c>
      <c r="J303" s="1590">
        <v>0.64900000000000002</v>
      </c>
      <c r="K303" s="1590">
        <v>0.64900000000000002</v>
      </c>
      <c r="L303" s="1590">
        <v>0.64900000000000002</v>
      </c>
      <c r="M303" s="1590">
        <v>0.64900000000000002</v>
      </c>
    </row>
    <row r="304" spans="1:13">
      <c r="A304" s="1604">
        <v>9.8000000000000007</v>
      </c>
      <c r="B304" s="1590">
        <v>0.82199999999999995</v>
      </c>
      <c r="C304" s="1590">
        <v>0.82199999999999995</v>
      </c>
      <c r="D304" s="1590">
        <v>0.7964</v>
      </c>
      <c r="E304" s="1590">
        <v>0.7964</v>
      </c>
      <c r="F304" s="1590">
        <v>0.7964</v>
      </c>
      <c r="G304" s="1590">
        <v>0.7964</v>
      </c>
      <c r="H304" s="1590">
        <v>0.7964</v>
      </c>
      <c r="I304" s="1590">
        <v>0.64810000000000001</v>
      </c>
      <c r="J304" s="1590">
        <v>0.64810000000000001</v>
      </c>
      <c r="K304" s="1590">
        <v>0.64810000000000001</v>
      </c>
      <c r="L304" s="1590">
        <v>0.64810000000000001</v>
      </c>
      <c r="M304" s="1590">
        <v>0.64810000000000001</v>
      </c>
    </row>
    <row r="305" spans="1:13">
      <c r="A305" s="1604">
        <v>9.9</v>
      </c>
      <c r="B305" s="1590">
        <v>0.82140000000000002</v>
      </c>
      <c r="C305" s="1590">
        <v>0.82140000000000002</v>
      </c>
      <c r="D305" s="1590">
        <v>0.79559999999999997</v>
      </c>
      <c r="E305" s="1590">
        <v>0.79559999999999997</v>
      </c>
      <c r="F305" s="1590">
        <v>0.79559999999999997</v>
      </c>
      <c r="G305" s="1590">
        <v>0.79559999999999997</v>
      </c>
      <c r="H305" s="1590">
        <v>0.79559999999999997</v>
      </c>
      <c r="I305" s="1590">
        <v>0.64710000000000001</v>
      </c>
      <c r="J305" s="1590">
        <v>0.64710000000000001</v>
      </c>
      <c r="K305" s="1590">
        <v>0.64710000000000001</v>
      </c>
      <c r="L305" s="1590">
        <v>0.64710000000000001</v>
      </c>
      <c r="M305" s="1590">
        <v>0.64710000000000001</v>
      </c>
    </row>
    <row r="306" spans="1:13">
      <c r="A306" s="1604">
        <v>10</v>
      </c>
      <c r="B306" s="1590">
        <v>0.82079999999999997</v>
      </c>
      <c r="C306" s="1590">
        <v>0.82079999999999997</v>
      </c>
      <c r="D306" s="1590">
        <v>0.79479999999999995</v>
      </c>
      <c r="E306" s="1590">
        <v>0.79479999999999995</v>
      </c>
      <c r="F306" s="1590">
        <v>0.79479999999999995</v>
      </c>
      <c r="G306" s="1590">
        <v>0.79479999999999995</v>
      </c>
      <c r="H306" s="1590">
        <v>0.79479999999999995</v>
      </c>
      <c r="I306" s="1590">
        <v>0.6462</v>
      </c>
      <c r="J306" s="1590">
        <v>0.6462</v>
      </c>
      <c r="K306" s="1590">
        <v>0.6462</v>
      </c>
      <c r="L306" s="1590">
        <v>0.6462</v>
      </c>
      <c r="M306" s="1590">
        <v>0.6462</v>
      </c>
    </row>
    <row r="307" spans="1:13" ht="14.25">
      <c r="A307" s="1578" t="s">
        <v>1770</v>
      </c>
      <c r="B307" s="1579"/>
      <c r="C307" s="1579"/>
      <c r="D307" s="1579"/>
      <c r="E307" s="1579"/>
      <c r="F307" s="1579"/>
      <c r="G307" s="1579"/>
      <c r="H307" s="1579"/>
      <c r="I307" s="1579"/>
      <c r="J307" s="1579"/>
      <c r="K307" s="1579"/>
      <c r="L307" s="1579"/>
      <c r="M307" s="1579"/>
    </row>
    <row r="308" spans="1:13">
      <c r="A308" s="1581" t="s">
        <v>1759</v>
      </c>
      <c r="B308" s="1582" t="s">
        <v>1164</v>
      </c>
      <c r="C308" s="1582" t="s">
        <v>1165</v>
      </c>
      <c r="D308" s="1582" t="s">
        <v>1166</v>
      </c>
      <c r="E308" s="1582" t="s">
        <v>1167</v>
      </c>
      <c r="F308" s="1582" t="s">
        <v>1168</v>
      </c>
      <c r="G308" s="1582" t="s">
        <v>1169</v>
      </c>
      <c r="H308" s="1583" t="s">
        <v>1170</v>
      </c>
      <c r="I308" s="1583" t="s">
        <v>1171</v>
      </c>
      <c r="J308" s="1584" t="s">
        <v>1172</v>
      </c>
      <c r="K308" s="1584" t="s">
        <v>1173</v>
      </c>
      <c r="L308" s="1584" t="s">
        <v>1174</v>
      </c>
      <c r="M308" s="1584" t="s">
        <v>1175</v>
      </c>
    </row>
    <row r="309" spans="1:13">
      <c r="A309" s="1581">
        <v>0.1</v>
      </c>
      <c r="B309" s="1590">
        <v>11.506</v>
      </c>
      <c r="C309" s="1590">
        <v>11.506</v>
      </c>
      <c r="D309" s="1590">
        <v>12.015000000000001</v>
      </c>
      <c r="E309" s="1590">
        <v>12.015000000000001</v>
      </c>
      <c r="F309" s="1590">
        <v>12.015000000000001</v>
      </c>
      <c r="G309" s="1590">
        <v>11.118</v>
      </c>
      <c r="H309" s="1590">
        <v>11.118</v>
      </c>
      <c r="I309" s="1590">
        <v>10</v>
      </c>
      <c r="J309" s="1590">
        <v>10</v>
      </c>
      <c r="K309" s="1590">
        <v>10</v>
      </c>
      <c r="L309" s="1590">
        <v>10</v>
      </c>
      <c r="M309" s="1590">
        <v>10</v>
      </c>
    </row>
    <row r="310" spans="1:13">
      <c r="A310" s="1581">
        <v>0.2</v>
      </c>
      <c r="B310" s="1590">
        <v>5.7530000000000001</v>
      </c>
      <c r="C310" s="1590">
        <v>5.7530000000000001</v>
      </c>
      <c r="D310" s="1590">
        <v>6.0075000000000003</v>
      </c>
      <c r="E310" s="1590">
        <v>6.0075000000000003</v>
      </c>
      <c r="F310" s="1590">
        <v>6.0075000000000003</v>
      </c>
      <c r="G310" s="1590">
        <v>5.5590000000000002</v>
      </c>
      <c r="H310" s="1590">
        <v>5.5590000000000002</v>
      </c>
      <c r="I310" s="1590">
        <v>5</v>
      </c>
      <c r="J310" s="1590">
        <v>5</v>
      </c>
      <c r="K310" s="1590">
        <v>5</v>
      </c>
      <c r="L310" s="1590">
        <v>5</v>
      </c>
      <c r="M310" s="1590">
        <v>5</v>
      </c>
    </row>
    <row r="311" spans="1:13">
      <c r="A311" s="1581">
        <v>0.3</v>
      </c>
      <c r="B311" s="1590">
        <v>3.8353000000000002</v>
      </c>
      <c r="C311" s="1590">
        <v>3.8353000000000002</v>
      </c>
      <c r="D311" s="1590">
        <v>4.0049999999999999</v>
      </c>
      <c r="E311" s="1590">
        <v>4.0049999999999999</v>
      </c>
      <c r="F311" s="1590">
        <v>4.0049999999999999</v>
      </c>
      <c r="G311" s="1590">
        <v>3.706</v>
      </c>
      <c r="H311" s="1590">
        <v>3.706</v>
      </c>
      <c r="I311" s="1590">
        <v>3.3332999999999999</v>
      </c>
      <c r="J311" s="1590">
        <v>3.3332999999999999</v>
      </c>
      <c r="K311" s="1590">
        <v>3.3332999999999999</v>
      </c>
      <c r="L311" s="1590">
        <v>3.3332999999999999</v>
      </c>
      <c r="M311" s="1590">
        <v>3.3332999999999999</v>
      </c>
    </row>
    <row r="312" spans="1:13">
      <c r="A312" s="1581">
        <v>0.4</v>
      </c>
      <c r="B312" s="1590">
        <v>2.8765000000000001</v>
      </c>
      <c r="C312" s="1590">
        <v>2.8765000000000001</v>
      </c>
      <c r="D312" s="1590">
        <v>3.0038</v>
      </c>
      <c r="E312" s="1590">
        <v>3.0038</v>
      </c>
      <c r="F312" s="1590">
        <v>3.0038</v>
      </c>
      <c r="G312" s="1590">
        <v>2.7795000000000001</v>
      </c>
      <c r="H312" s="1590">
        <v>2.7795000000000001</v>
      </c>
      <c r="I312" s="1590">
        <v>2.5</v>
      </c>
      <c r="J312" s="1590">
        <v>2.5</v>
      </c>
      <c r="K312" s="1590">
        <v>2.5</v>
      </c>
      <c r="L312" s="1590">
        <v>2.5</v>
      </c>
      <c r="M312" s="1590">
        <v>2.5</v>
      </c>
    </row>
    <row r="313" spans="1:13">
      <c r="A313" s="1581">
        <v>0.5</v>
      </c>
      <c r="B313" s="1590">
        <v>2.3012000000000001</v>
      </c>
      <c r="C313" s="1590">
        <v>2.3012000000000001</v>
      </c>
      <c r="D313" s="1590">
        <v>2.403</v>
      </c>
      <c r="E313" s="1590">
        <v>2.403</v>
      </c>
      <c r="F313" s="1590">
        <v>2.403</v>
      </c>
      <c r="G313" s="1590">
        <v>2.2235999999999998</v>
      </c>
      <c r="H313" s="1590">
        <v>2.2235999999999998</v>
      </c>
      <c r="I313" s="1590">
        <v>2</v>
      </c>
      <c r="J313" s="1590">
        <v>2</v>
      </c>
      <c r="K313" s="1590">
        <v>2</v>
      </c>
      <c r="L313" s="1590">
        <v>2</v>
      </c>
      <c r="M313" s="1590">
        <v>2</v>
      </c>
    </row>
    <row r="314" spans="1:13">
      <c r="A314" s="1581">
        <v>0.6</v>
      </c>
      <c r="B314" s="1590">
        <v>1.9177</v>
      </c>
      <c r="C314" s="1590">
        <v>1.9177</v>
      </c>
      <c r="D314" s="1590">
        <v>2.0024999999999999</v>
      </c>
      <c r="E314" s="1590">
        <v>2.0024999999999999</v>
      </c>
      <c r="F314" s="1590">
        <v>2.0024999999999999</v>
      </c>
      <c r="G314" s="1590">
        <v>1.853</v>
      </c>
      <c r="H314" s="1590">
        <v>1.853</v>
      </c>
      <c r="I314" s="1590">
        <v>1.6667000000000001</v>
      </c>
      <c r="J314" s="1590">
        <v>1.6667000000000001</v>
      </c>
      <c r="K314" s="1590">
        <v>1.6667000000000001</v>
      </c>
      <c r="L314" s="1590">
        <v>1.6667000000000001</v>
      </c>
      <c r="M314" s="1590">
        <v>1.6667000000000001</v>
      </c>
    </row>
    <row r="315" spans="1:13">
      <c r="A315" s="1581">
        <v>0.7</v>
      </c>
      <c r="B315" s="1590">
        <v>1.6436999999999999</v>
      </c>
      <c r="C315" s="1590">
        <v>1.6436999999999999</v>
      </c>
      <c r="D315" s="1590">
        <v>1.7163999999999999</v>
      </c>
      <c r="E315" s="1590">
        <v>1.7163999999999999</v>
      </c>
      <c r="F315" s="1590">
        <v>1.7163999999999999</v>
      </c>
      <c r="G315" s="1590">
        <v>1.5883</v>
      </c>
      <c r="H315" s="1590">
        <v>1.5883</v>
      </c>
      <c r="I315" s="1590">
        <v>1.4286000000000001</v>
      </c>
      <c r="J315" s="1590">
        <v>1.4286000000000001</v>
      </c>
      <c r="K315" s="1590">
        <v>1.4286000000000001</v>
      </c>
      <c r="L315" s="1590">
        <v>1.4286000000000001</v>
      </c>
      <c r="M315" s="1590">
        <v>1.4286000000000001</v>
      </c>
    </row>
    <row r="316" spans="1:13">
      <c r="A316" s="1581">
        <v>0.8</v>
      </c>
      <c r="B316" s="1590">
        <v>1.4382999999999999</v>
      </c>
      <c r="C316" s="1590">
        <v>1.4382999999999999</v>
      </c>
      <c r="D316" s="1590">
        <v>1.5019</v>
      </c>
      <c r="E316" s="1590">
        <v>1.5019</v>
      </c>
      <c r="F316" s="1590">
        <v>1.5019</v>
      </c>
      <c r="G316" s="1590">
        <v>1.3897999999999999</v>
      </c>
      <c r="H316" s="1590">
        <v>1.3897999999999999</v>
      </c>
      <c r="I316" s="1590">
        <v>1.25</v>
      </c>
      <c r="J316" s="1590">
        <v>1.25</v>
      </c>
      <c r="K316" s="1590">
        <v>1.25</v>
      </c>
      <c r="L316" s="1590">
        <v>1.25</v>
      </c>
      <c r="M316" s="1590">
        <v>1.25</v>
      </c>
    </row>
    <row r="317" spans="1:13">
      <c r="A317" s="1581">
        <v>0.9</v>
      </c>
      <c r="B317" s="1590">
        <v>1.2784</v>
      </c>
      <c r="C317" s="1590">
        <v>1.2784</v>
      </c>
      <c r="D317" s="1590">
        <v>1.335</v>
      </c>
      <c r="E317" s="1590">
        <v>1.335</v>
      </c>
      <c r="F317" s="1590">
        <v>1.335</v>
      </c>
      <c r="G317" s="1590">
        <v>1.2353000000000001</v>
      </c>
      <c r="H317" s="1590">
        <v>1.2353000000000001</v>
      </c>
      <c r="I317" s="1590">
        <v>1.1111</v>
      </c>
      <c r="J317" s="1590">
        <v>1.1111</v>
      </c>
      <c r="K317" s="1590">
        <v>1.1111</v>
      </c>
      <c r="L317" s="1590">
        <v>1.1111</v>
      </c>
      <c r="M317" s="1590">
        <v>1.1111</v>
      </c>
    </row>
    <row r="318" spans="1:13">
      <c r="A318" s="1581">
        <v>1</v>
      </c>
      <c r="B318" s="1590">
        <v>1.1506000000000001</v>
      </c>
      <c r="C318" s="1590">
        <v>1.1506000000000001</v>
      </c>
      <c r="D318" s="1590">
        <v>1.2015</v>
      </c>
      <c r="E318" s="1590">
        <v>1.2015</v>
      </c>
      <c r="F318" s="1590">
        <v>1.2015</v>
      </c>
      <c r="G318" s="1590">
        <v>1.1117999999999999</v>
      </c>
      <c r="H318" s="1590">
        <v>1.1117999999999999</v>
      </c>
      <c r="I318" s="1590">
        <v>1</v>
      </c>
      <c r="J318" s="1590">
        <v>1</v>
      </c>
      <c r="K318" s="1590">
        <v>1</v>
      </c>
      <c r="L318" s="1590">
        <v>1</v>
      </c>
      <c r="M318" s="1590">
        <v>1</v>
      </c>
    </row>
    <row r="319" spans="1:13">
      <c r="A319" s="1581">
        <v>1.1000000000000001</v>
      </c>
      <c r="B319" s="1590">
        <v>1.1158999999999999</v>
      </c>
      <c r="C319" s="1590">
        <v>1.1158999999999999</v>
      </c>
      <c r="D319" s="1590">
        <v>1.1440999999999999</v>
      </c>
      <c r="E319" s="1590">
        <v>1.1440999999999999</v>
      </c>
      <c r="F319" s="1590">
        <v>1.1440999999999999</v>
      </c>
      <c r="G319" s="1590">
        <v>1.0492999999999999</v>
      </c>
      <c r="H319" s="1590">
        <v>1.0492999999999999</v>
      </c>
      <c r="I319" s="1590">
        <v>0.93730000000000002</v>
      </c>
      <c r="J319" s="1590">
        <v>0.93730000000000002</v>
      </c>
      <c r="K319" s="1590">
        <v>0.93730000000000002</v>
      </c>
      <c r="L319" s="1590">
        <v>0.93730000000000002</v>
      </c>
      <c r="M319" s="1590">
        <v>0.93730000000000002</v>
      </c>
    </row>
    <row r="320" spans="1:13">
      <c r="A320" s="1581">
        <v>1.2</v>
      </c>
      <c r="B320" s="1590">
        <v>1.0837000000000001</v>
      </c>
      <c r="C320" s="1590">
        <v>1.0837000000000001</v>
      </c>
      <c r="D320" s="1590">
        <v>1.0972999999999999</v>
      </c>
      <c r="E320" s="1590">
        <v>1.0972999999999999</v>
      </c>
      <c r="F320" s="1590">
        <v>1.0972999999999999</v>
      </c>
      <c r="G320" s="1590">
        <v>1</v>
      </c>
      <c r="H320" s="1590">
        <v>1</v>
      </c>
      <c r="I320" s="1590">
        <v>0.88890000000000002</v>
      </c>
      <c r="J320" s="1590">
        <v>0.88890000000000002</v>
      </c>
      <c r="K320" s="1590">
        <v>0.88890000000000002</v>
      </c>
      <c r="L320" s="1590">
        <v>0.88890000000000002</v>
      </c>
      <c r="M320" s="1590">
        <v>0.88890000000000002</v>
      </c>
    </row>
    <row r="321" spans="1:13">
      <c r="A321" s="1581">
        <v>1.3</v>
      </c>
      <c r="B321" s="1590">
        <v>1.0538000000000001</v>
      </c>
      <c r="C321" s="1590">
        <v>1.0538000000000001</v>
      </c>
      <c r="D321" s="1590">
        <v>1.0589999999999999</v>
      </c>
      <c r="E321" s="1590">
        <v>1.0589999999999999</v>
      </c>
      <c r="F321" s="1590">
        <v>1.0589999999999999</v>
      </c>
      <c r="G321" s="1590">
        <v>0.96140000000000003</v>
      </c>
      <c r="H321" s="1590">
        <v>0.96140000000000003</v>
      </c>
      <c r="I321" s="1590">
        <v>0.85209999999999997</v>
      </c>
      <c r="J321" s="1590">
        <v>0.85209999999999997</v>
      </c>
      <c r="K321" s="1590">
        <v>0.85209999999999997</v>
      </c>
      <c r="L321" s="1590">
        <v>0.85209999999999997</v>
      </c>
      <c r="M321" s="1590">
        <v>0.85209999999999997</v>
      </c>
    </row>
    <row r="322" spans="1:13">
      <c r="A322" s="1581">
        <v>1.4</v>
      </c>
      <c r="B322" s="1590">
        <v>1.026</v>
      </c>
      <c r="C322" s="1590">
        <v>1.026</v>
      </c>
      <c r="D322" s="1590">
        <v>1.0271999999999999</v>
      </c>
      <c r="E322" s="1590">
        <v>1.0271999999999999</v>
      </c>
      <c r="F322" s="1590">
        <v>1.0271999999999999</v>
      </c>
      <c r="G322" s="1590">
        <v>0.93079999999999996</v>
      </c>
      <c r="H322" s="1590">
        <v>0.93079999999999996</v>
      </c>
      <c r="I322" s="1590">
        <v>0.82379999999999998</v>
      </c>
      <c r="J322" s="1590">
        <v>0.82379999999999998</v>
      </c>
      <c r="K322" s="1590">
        <v>0.82379999999999998</v>
      </c>
      <c r="L322" s="1590">
        <v>0.82379999999999998</v>
      </c>
      <c r="M322" s="1590">
        <v>0.82379999999999998</v>
      </c>
    </row>
    <row r="323" spans="1:13">
      <c r="A323" s="1581">
        <v>1.5</v>
      </c>
      <c r="B323" s="1590">
        <v>1</v>
      </c>
      <c r="C323" s="1590">
        <v>1</v>
      </c>
      <c r="D323" s="1590">
        <v>1</v>
      </c>
      <c r="E323" s="1590">
        <v>1</v>
      </c>
      <c r="F323" s="1590">
        <v>1</v>
      </c>
      <c r="G323" s="1590">
        <v>0.90559999999999996</v>
      </c>
      <c r="H323" s="1590">
        <v>0.90559999999999996</v>
      </c>
      <c r="I323" s="1590">
        <v>0.80110000000000003</v>
      </c>
      <c r="J323" s="1590">
        <v>0.80110000000000003</v>
      </c>
      <c r="K323" s="1590">
        <v>0.80110000000000003</v>
      </c>
      <c r="L323" s="1590">
        <v>0.80110000000000003</v>
      </c>
      <c r="M323" s="1590">
        <v>0.80110000000000003</v>
      </c>
    </row>
    <row r="324" spans="1:13">
      <c r="A324" s="1581">
        <v>1.6</v>
      </c>
      <c r="B324" s="1590">
        <v>0.97570000000000001</v>
      </c>
      <c r="C324" s="1590">
        <v>0.97570000000000001</v>
      </c>
      <c r="D324" s="1590">
        <v>0.97519999999999996</v>
      </c>
      <c r="E324" s="1590">
        <v>0.97519999999999996</v>
      </c>
      <c r="F324" s="1590">
        <v>0.97519999999999996</v>
      </c>
      <c r="G324" s="1590">
        <v>0.8831</v>
      </c>
      <c r="H324" s="1590">
        <v>0.8831</v>
      </c>
      <c r="I324" s="1590">
        <v>0.78100000000000003</v>
      </c>
      <c r="J324" s="1590">
        <v>0.78100000000000003</v>
      </c>
      <c r="K324" s="1590">
        <v>0.78100000000000003</v>
      </c>
      <c r="L324" s="1590">
        <v>0.78100000000000003</v>
      </c>
      <c r="M324" s="1590">
        <v>0.78100000000000003</v>
      </c>
    </row>
    <row r="325" spans="1:13">
      <c r="A325" s="1581">
        <v>1.7</v>
      </c>
      <c r="B325" s="1590">
        <v>0.95289999999999997</v>
      </c>
      <c r="C325" s="1590">
        <v>0.95289999999999997</v>
      </c>
      <c r="D325" s="1590">
        <v>0.95189999999999997</v>
      </c>
      <c r="E325" s="1590">
        <v>0.95189999999999997</v>
      </c>
      <c r="F325" s="1590">
        <v>0.95189999999999997</v>
      </c>
      <c r="G325" s="1590">
        <v>0.86180000000000001</v>
      </c>
      <c r="H325" s="1590">
        <v>0.86180000000000001</v>
      </c>
      <c r="I325" s="1590">
        <v>0.7621</v>
      </c>
      <c r="J325" s="1590">
        <v>0.7621</v>
      </c>
      <c r="K325" s="1590">
        <v>0.7621</v>
      </c>
      <c r="L325" s="1590">
        <v>0.7621</v>
      </c>
      <c r="M325" s="1590">
        <v>0.7621</v>
      </c>
    </row>
    <row r="326" spans="1:13">
      <c r="A326" s="1581">
        <v>1.8</v>
      </c>
      <c r="B326" s="1590">
        <v>0.93149999999999999</v>
      </c>
      <c r="C326" s="1590">
        <v>0.93149999999999999</v>
      </c>
      <c r="D326" s="1590">
        <v>0.93</v>
      </c>
      <c r="E326" s="1590">
        <v>0.93</v>
      </c>
      <c r="F326" s="1590">
        <v>0.93</v>
      </c>
      <c r="G326" s="1590">
        <v>0.84179999999999999</v>
      </c>
      <c r="H326" s="1590">
        <v>0.84179999999999999</v>
      </c>
      <c r="I326" s="1590">
        <v>0.74419999999999997</v>
      </c>
      <c r="J326" s="1590">
        <v>0.74419999999999997</v>
      </c>
      <c r="K326" s="1590">
        <v>0.74419999999999997</v>
      </c>
      <c r="L326" s="1590">
        <v>0.74419999999999997</v>
      </c>
      <c r="M326" s="1590">
        <v>0.74419999999999997</v>
      </c>
    </row>
    <row r="327" spans="1:13">
      <c r="A327" s="1581">
        <v>1.9</v>
      </c>
      <c r="B327" s="1590">
        <v>0.91139999999999999</v>
      </c>
      <c r="C327" s="1590">
        <v>0.91139999999999999</v>
      </c>
      <c r="D327" s="1590">
        <v>0.90939999999999999</v>
      </c>
      <c r="E327" s="1590">
        <v>0.90939999999999999</v>
      </c>
      <c r="F327" s="1590">
        <v>0.90939999999999999</v>
      </c>
      <c r="G327" s="1590">
        <v>0.82289999999999996</v>
      </c>
      <c r="H327" s="1590">
        <v>0.82289999999999996</v>
      </c>
      <c r="I327" s="1590">
        <v>0.72740000000000005</v>
      </c>
      <c r="J327" s="1590">
        <v>0.72740000000000005</v>
      </c>
      <c r="K327" s="1590">
        <v>0.72740000000000005</v>
      </c>
      <c r="L327" s="1590">
        <v>0.72740000000000005</v>
      </c>
      <c r="M327" s="1590">
        <v>0.72740000000000005</v>
      </c>
    </row>
    <row r="328" spans="1:13">
      <c r="A328" s="1581">
        <v>2</v>
      </c>
      <c r="B328" s="1590">
        <v>0.89270000000000005</v>
      </c>
      <c r="C328" s="1590">
        <v>0.89270000000000005</v>
      </c>
      <c r="D328" s="1590">
        <v>0.8901</v>
      </c>
      <c r="E328" s="1590">
        <v>0.8901</v>
      </c>
      <c r="F328" s="1590">
        <v>0.8901</v>
      </c>
      <c r="G328" s="1590">
        <v>0.80530000000000002</v>
      </c>
      <c r="H328" s="1590">
        <v>0.80530000000000002</v>
      </c>
      <c r="I328" s="1590">
        <v>0.71160000000000001</v>
      </c>
      <c r="J328" s="1590">
        <v>0.71160000000000001</v>
      </c>
      <c r="K328" s="1590">
        <v>0.71160000000000001</v>
      </c>
      <c r="L328" s="1590">
        <v>0.71160000000000001</v>
      </c>
      <c r="M328" s="1590">
        <v>0.71160000000000001</v>
      </c>
    </row>
    <row r="329" spans="1:13">
      <c r="A329" s="1604">
        <v>2.1</v>
      </c>
      <c r="B329" s="1590">
        <v>0.87519999999999998</v>
      </c>
      <c r="C329" s="1590">
        <v>0.87519999999999998</v>
      </c>
      <c r="D329" s="1590">
        <v>0.872</v>
      </c>
      <c r="E329" s="1590">
        <v>0.872</v>
      </c>
      <c r="F329" s="1590">
        <v>0.872</v>
      </c>
      <c r="G329" s="1590">
        <v>0.78869999999999996</v>
      </c>
      <c r="H329" s="1590">
        <v>0.78869999999999996</v>
      </c>
      <c r="I329" s="1590">
        <v>0.69669999999999999</v>
      </c>
      <c r="J329" s="1590">
        <v>0.69669999999999999</v>
      </c>
      <c r="K329" s="1590">
        <v>0.69669999999999999</v>
      </c>
      <c r="L329" s="1590">
        <v>0.69669999999999999</v>
      </c>
      <c r="M329" s="1590">
        <v>0.69669999999999999</v>
      </c>
    </row>
    <row r="330" spans="1:13">
      <c r="A330" s="1604">
        <v>2.2000000000000002</v>
      </c>
      <c r="B330" s="1590">
        <v>0.85880000000000001</v>
      </c>
      <c r="C330" s="1590">
        <v>0.85880000000000001</v>
      </c>
      <c r="D330" s="1590">
        <v>0.85499999999999998</v>
      </c>
      <c r="E330" s="1590">
        <v>0.85499999999999998</v>
      </c>
      <c r="F330" s="1590">
        <v>0.85499999999999998</v>
      </c>
      <c r="G330" s="1590">
        <v>0.77300000000000002</v>
      </c>
      <c r="H330" s="1590">
        <v>0.77300000000000002</v>
      </c>
      <c r="I330" s="1590">
        <v>0.68269999999999997</v>
      </c>
      <c r="J330" s="1590">
        <v>0.68269999999999997</v>
      </c>
      <c r="K330" s="1590">
        <v>0.68269999999999997</v>
      </c>
      <c r="L330" s="1590">
        <v>0.68269999999999997</v>
      </c>
      <c r="M330" s="1590">
        <v>0.68269999999999997</v>
      </c>
    </row>
    <row r="331" spans="1:13">
      <c r="A331" s="1604">
        <v>2.2999999999999998</v>
      </c>
      <c r="B331" s="1590">
        <v>0.84360000000000002</v>
      </c>
      <c r="C331" s="1590">
        <v>0.84360000000000002</v>
      </c>
      <c r="D331" s="1590">
        <v>0.83899999999999997</v>
      </c>
      <c r="E331" s="1590">
        <v>0.83899999999999997</v>
      </c>
      <c r="F331" s="1590">
        <v>0.83899999999999997</v>
      </c>
      <c r="G331" s="1590">
        <v>0.75839999999999996</v>
      </c>
      <c r="H331" s="1590">
        <v>0.75839999999999996</v>
      </c>
      <c r="I331" s="1590">
        <v>0.66949999999999998</v>
      </c>
      <c r="J331" s="1590">
        <v>0.66949999999999998</v>
      </c>
      <c r="K331" s="1590">
        <v>0.66949999999999998</v>
      </c>
      <c r="L331" s="1590">
        <v>0.66949999999999998</v>
      </c>
      <c r="M331" s="1590">
        <v>0.66949999999999998</v>
      </c>
    </row>
    <row r="332" spans="1:13">
      <c r="A332" s="1604">
        <v>2.4</v>
      </c>
      <c r="B332" s="1590">
        <v>0.82940000000000003</v>
      </c>
      <c r="C332" s="1590">
        <v>0.82940000000000003</v>
      </c>
      <c r="D332" s="1590">
        <v>0.82410000000000005</v>
      </c>
      <c r="E332" s="1590">
        <v>0.82410000000000005</v>
      </c>
      <c r="F332" s="1590">
        <v>0.82410000000000005</v>
      </c>
      <c r="G332" s="1590">
        <v>0.74460000000000004</v>
      </c>
      <c r="H332" s="1590">
        <v>0.74460000000000004</v>
      </c>
      <c r="I332" s="1590">
        <v>0.65710000000000002</v>
      </c>
      <c r="J332" s="1590">
        <v>0.65710000000000002</v>
      </c>
      <c r="K332" s="1590">
        <v>0.65710000000000002</v>
      </c>
      <c r="L332" s="1590">
        <v>0.65710000000000002</v>
      </c>
      <c r="M332" s="1590">
        <v>0.65710000000000002</v>
      </c>
    </row>
    <row r="333" spans="1:13">
      <c r="A333" s="1604">
        <v>2.5</v>
      </c>
      <c r="B333" s="1590">
        <v>0.81620000000000004</v>
      </c>
      <c r="C333" s="1590">
        <v>0.81620000000000004</v>
      </c>
      <c r="D333" s="1590">
        <v>0.81020000000000003</v>
      </c>
      <c r="E333" s="1590">
        <v>0.81020000000000003</v>
      </c>
      <c r="F333" s="1590">
        <v>0.81020000000000003</v>
      </c>
      <c r="G333" s="1590">
        <v>0.73180000000000001</v>
      </c>
      <c r="H333" s="1590">
        <v>0.73180000000000001</v>
      </c>
      <c r="I333" s="1590">
        <v>0.64549999999999996</v>
      </c>
      <c r="J333" s="1590">
        <v>0.64549999999999996</v>
      </c>
      <c r="K333" s="1590">
        <v>0.64549999999999996</v>
      </c>
      <c r="L333" s="1590">
        <v>0.64549999999999996</v>
      </c>
      <c r="M333" s="1590">
        <v>0.64549999999999996</v>
      </c>
    </row>
    <row r="334" spans="1:13">
      <c r="A334" s="1604">
        <v>2.6</v>
      </c>
      <c r="B334" s="1590">
        <v>0.80389999999999995</v>
      </c>
      <c r="C334" s="1590">
        <v>0.80389999999999995</v>
      </c>
      <c r="D334" s="1590">
        <v>0.79710000000000003</v>
      </c>
      <c r="E334" s="1590">
        <v>0.79710000000000003</v>
      </c>
      <c r="F334" s="1590">
        <v>0.79710000000000003</v>
      </c>
      <c r="G334" s="1590">
        <v>0.71970000000000001</v>
      </c>
      <c r="H334" s="1590">
        <v>0.71970000000000001</v>
      </c>
      <c r="I334" s="1590">
        <v>0.63460000000000005</v>
      </c>
      <c r="J334" s="1590">
        <v>0.63460000000000005</v>
      </c>
      <c r="K334" s="1590">
        <v>0.63460000000000005</v>
      </c>
      <c r="L334" s="1590">
        <v>0.63460000000000005</v>
      </c>
      <c r="M334" s="1590">
        <v>0.63460000000000005</v>
      </c>
    </row>
    <row r="335" spans="1:13">
      <c r="A335" s="1604">
        <v>2.7</v>
      </c>
      <c r="B335" s="1590">
        <v>0.79249999999999998</v>
      </c>
      <c r="C335" s="1590">
        <v>0.79249999999999998</v>
      </c>
      <c r="D335" s="1590">
        <v>0.78490000000000004</v>
      </c>
      <c r="E335" s="1590">
        <v>0.78490000000000004</v>
      </c>
      <c r="F335" s="1590">
        <v>0.78490000000000004</v>
      </c>
      <c r="G335" s="1590">
        <v>0.70840000000000003</v>
      </c>
      <c r="H335" s="1590">
        <v>0.70840000000000003</v>
      </c>
      <c r="I335" s="1590">
        <v>0.62439999999999996</v>
      </c>
      <c r="J335" s="1590">
        <v>0.62439999999999996</v>
      </c>
      <c r="K335" s="1590">
        <v>0.62439999999999996</v>
      </c>
      <c r="L335" s="1590">
        <v>0.62439999999999996</v>
      </c>
      <c r="M335" s="1590">
        <v>0.62439999999999996</v>
      </c>
    </row>
    <row r="336" spans="1:13">
      <c r="A336" s="1604">
        <v>2.8</v>
      </c>
      <c r="B336" s="1590">
        <v>0.78190000000000004</v>
      </c>
      <c r="C336" s="1590">
        <v>0.78190000000000004</v>
      </c>
      <c r="D336" s="1590">
        <v>0.77359999999999995</v>
      </c>
      <c r="E336" s="1590">
        <v>0.77359999999999995</v>
      </c>
      <c r="F336" s="1590">
        <v>0.77359999999999995</v>
      </c>
      <c r="G336" s="1590">
        <v>0.69789999999999996</v>
      </c>
      <c r="H336" s="1590">
        <v>0.69789999999999996</v>
      </c>
      <c r="I336" s="1590">
        <v>0.61480000000000001</v>
      </c>
      <c r="J336" s="1590">
        <v>0.61480000000000001</v>
      </c>
      <c r="K336" s="1590">
        <v>0.61480000000000001</v>
      </c>
      <c r="L336" s="1590">
        <v>0.61480000000000001</v>
      </c>
      <c r="M336" s="1590">
        <v>0.61480000000000001</v>
      </c>
    </row>
    <row r="337" spans="1:13">
      <c r="A337" s="1604">
        <v>2.9</v>
      </c>
      <c r="B337" s="1590">
        <v>0.77210000000000001</v>
      </c>
      <c r="C337" s="1590">
        <v>0.77210000000000001</v>
      </c>
      <c r="D337" s="1590">
        <v>0.76300000000000001</v>
      </c>
      <c r="E337" s="1590">
        <v>0.76300000000000001</v>
      </c>
      <c r="F337" s="1590">
        <v>0.76300000000000001</v>
      </c>
      <c r="G337" s="1590">
        <v>0.68799999999999994</v>
      </c>
      <c r="H337" s="1590">
        <v>0.68799999999999994</v>
      </c>
      <c r="I337" s="1590">
        <v>0.60589999999999999</v>
      </c>
      <c r="J337" s="1590">
        <v>0.60589999999999999</v>
      </c>
      <c r="K337" s="1590">
        <v>0.60589999999999999</v>
      </c>
      <c r="L337" s="1590">
        <v>0.60589999999999999</v>
      </c>
      <c r="M337" s="1590">
        <v>0.60589999999999999</v>
      </c>
    </row>
    <row r="338" spans="1:13">
      <c r="A338" s="1604">
        <v>3</v>
      </c>
      <c r="B338" s="1590">
        <v>0.7631</v>
      </c>
      <c r="C338" s="1590">
        <v>0.7631</v>
      </c>
      <c r="D338" s="1590">
        <v>0.75309999999999999</v>
      </c>
      <c r="E338" s="1590">
        <v>0.75309999999999999</v>
      </c>
      <c r="F338" s="1590">
        <v>0.75309999999999999</v>
      </c>
      <c r="G338" s="1590">
        <v>0.67879999999999996</v>
      </c>
      <c r="H338" s="1590">
        <v>0.67879999999999996</v>
      </c>
      <c r="I338" s="1590">
        <v>0.59750000000000003</v>
      </c>
      <c r="J338" s="1590">
        <v>0.59750000000000003</v>
      </c>
      <c r="K338" s="1590">
        <v>0.59750000000000003</v>
      </c>
      <c r="L338" s="1590">
        <v>0.59750000000000003</v>
      </c>
      <c r="M338" s="1590">
        <v>0.59750000000000003</v>
      </c>
    </row>
    <row r="339" spans="1:13">
      <c r="A339" s="1604">
        <v>3.1</v>
      </c>
      <c r="B339" s="1590">
        <v>0.75470000000000004</v>
      </c>
      <c r="C339" s="1590">
        <v>0.75470000000000004</v>
      </c>
      <c r="D339" s="1590">
        <v>0.74399999999999999</v>
      </c>
      <c r="E339" s="1590">
        <v>0.74399999999999999</v>
      </c>
      <c r="F339" s="1590">
        <v>0.74399999999999999</v>
      </c>
      <c r="G339" s="1590">
        <v>0.67020000000000002</v>
      </c>
      <c r="H339" s="1590">
        <v>0.67020000000000002</v>
      </c>
      <c r="I339" s="1590">
        <v>0.5897</v>
      </c>
      <c r="J339" s="1590">
        <v>0.5897</v>
      </c>
      <c r="K339" s="1590">
        <v>0.5897</v>
      </c>
      <c r="L339" s="1590">
        <v>0.5897</v>
      </c>
      <c r="M339" s="1590">
        <v>0.5897</v>
      </c>
    </row>
    <row r="340" spans="1:13">
      <c r="A340" s="1604">
        <v>3.2</v>
      </c>
      <c r="B340" s="1590">
        <v>0.747</v>
      </c>
      <c r="C340" s="1590">
        <v>0.747</v>
      </c>
      <c r="D340" s="1590">
        <v>0.73540000000000005</v>
      </c>
      <c r="E340" s="1590">
        <v>0.73540000000000005</v>
      </c>
      <c r="F340" s="1590">
        <v>0.73540000000000005</v>
      </c>
      <c r="G340" s="1590">
        <v>0.66220000000000001</v>
      </c>
      <c r="H340" s="1590">
        <v>0.66220000000000001</v>
      </c>
      <c r="I340" s="1590">
        <v>0.58230000000000004</v>
      </c>
      <c r="J340" s="1590">
        <v>0.58230000000000004</v>
      </c>
      <c r="K340" s="1590">
        <v>0.58230000000000004</v>
      </c>
      <c r="L340" s="1590">
        <v>0.58230000000000004</v>
      </c>
      <c r="M340" s="1590">
        <v>0.58230000000000004</v>
      </c>
    </row>
    <row r="341" spans="1:13">
      <c r="A341" s="1604">
        <v>3.3</v>
      </c>
      <c r="B341" s="1590">
        <v>0.7399</v>
      </c>
      <c r="C341" s="1590">
        <v>0.7399</v>
      </c>
      <c r="D341" s="1590">
        <v>0.72750000000000004</v>
      </c>
      <c r="E341" s="1590">
        <v>0.72750000000000004</v>
      </c>
      <c r="F341" s="1590">
        <v>0.72750000000000004</v>
      </c>
      <c r="G341" s="1590">
        <v>0.65480000000000005</v>
      </c>
      <c r="H341" s="1590">
        <v>0.65480000000000005</v>
      </c>
      <c r="I341" s="1590">
        <v>0.57540000000000002</v>
      </c>
      <c r="J341" s="1590">
        <v>0.57540000000000002</v>
      </c>
      <c r="K341" s="1590">
        <v>0.57540000000000002</v>
      </c>
      <c r="L341" s="1590">
        <v>0.57540000000000002</v>
      </c>
      <c r="M341" s="1590">
        <v>0.57540000000000002</v>
      </c>
    </row>
    <row r="342" spans="1:13">
      <c r="A342" s="1604">
        <v>3.4</v>
      </c>
      <c r="B342" s="1590">
        <v>0.73340000000000005</v>
      </c>
      <c r="C342" s="1590">
        <v>0.73340000000000005</v>
      </c>
      <c r="D342" s="1590">
        <v>0.72009999999999996</v>
      </c>
      <c r="E342" s="1590">
        <v>0.72009999999999996</v>
      </c>
      <c r="F342" s="1590">
        <v>0.72009999999999996</v>
      </c>
      <c r="G342" s="1590">
        <v>0.64780000000000004</v>
      </c>
      <c r="H342" s="1590">
        <v>0.64780000000000004</v>
      </c>
      <c r="I342" s="1590">
        <v>0.56899999999999995</v>
      </c>
      <c r="J342" s="1590">
        <v>0.56899999999999995</v>
      </c>
      <c r="K342" s="1590">
        <v>0.56899999999999995</v>
      </c>
      <c r="L342" s="1590">
        <v>0.56899999999999995</v>
      </c>
      <c r="M342" s="1590">
        <v>0.56899999999999995</v>
      </c>
    </row>
    <row r="343" spans="1:13">
      <c r="A343" s="1604">
        <v>3.5</v>
      </c>
      <c r="B343" s="1590">
        <v>0.72740000000000005</v>
      </c>
      <c r="C343" s="1590">
        <v>0.72740000000000005</v>
      </c>
      <c r="D343" s="1590">
        <v>0.71330000000000005</v>
      </c>
      <c r="E343" s="1590">
        <v>0.71330000000000005</v>
      </c>
      <c r="F343" s="1590">
        <v>0.71330000000000005</v>
      </c>
      <c r="G343" s="1590">
        <v>0.64129999999999998</v>
      </c>
      <c r="H343" s="1590">
        <v>0.64129999999999998</v>
      </c>
      <c r="I343" s="1590">
        <v>0.56310000000000004</v>
      </c>
      <c r="J343" s="1590">
        <v>0.56310000000000004</v>
      </c>
      <c r="K343" s="1590">
        <v>0.56310000000000004</v>
      </c>
      <c r="L343" s="1590">
        <v>0.56310000000000004</v>
      </c>
      <c r="M343" s="1590">
        <v>0.56310000000000004</v>
      </c>
    </row>
    <row r="344" spans="1:13">
      <c r="A344" s="1604">
        <v>3.6</v>
      </c>
      <c r="B344" s="1590">
        <v>0.72189999999999999</v>
      </c>
      <c r="C344" s="1590">
        <v>0.72189999999999999</v>
      </c>
      <c r="D344" s="1590">
        <v>0.70699999999999996</v>
      </c>
      <c r="E344" s="1590">
        <v>0.70699999999999996</v>
      </c>
      <c r="F344" s="1590">
        <v>0.70699999999999996</v>
      </c>
      <c r="G344" s="1590">
        <v>0.63529999999999998</v>
      </c>
      <c r="H344" s="1590">
        <v>0.63529999999999998</v>
      </c>
      <c r="I344" s="1590">
        <v>0.5575</v>
      </c>
      <c r="J344" s="1590">
        <v>0.5575</v>
      </c>
      <c r="K344" s="1590">
        <v>0.5575</v>
      </c>
      <c r="L344" s="1590">
        <v>0.5575</v>
      </c>
      <c r="M344" s="1590">
        <v>0.5575</v>
      </c>
    </row>
    <row r="345" spans="1:13">
      <c r="A345" s="1604">
        <v>3.7</v>
      </c>
      <c r="B345" s="1590">
        <v>0.71679999999999999</v>
      </c>
      <c r="C345" s="1590">
        <v>0.71679999999999999</v>
      </c>
      <c r="D345" s="1590">
        <v>0.70109999999999995</v>
      </c>
      <c r="E345" s="1590">
        <v>0.70109999999999995</v>
      </c>
      <c r="F345" s="1590">
        <v>0.70109999999999995</v>
      </c>
      <c r="G345" s="1590">
        <v>0.62970000000000004</v>
      </c>
      <c r="H345" s="1590">
        <v>0.62970000000000004</v>
      </c>
      <c r="I345" s="1590">
        <v>0.55230000000000001</v>
      </c>
      <c r="J345" s="1590">
        <v>0.55230000000000001</v>
      </c>
      <c r="K345" s="1590">
        <v>0.55230000000000001</v>
      </c>
      <c r="L345" s="1590">
        <v>0.55230000000000001</v>
      </c>
      <c r="M345" s="1590">
        <v>0.55230000000000001</v>
      </c>
    </row>
    <row r="346" spans="1:13">
      <c r="A346" s="1604">
        <v>3.8</v>
      </c>
      <c r="B346" s="1590">
        <v>0.71220000000000006</v>
      </c>
      <c r="C346" s="1590">
        <v>0.71220000000000006</v>
      </c>
      <c r="D346" s="1590">
        <v>0.6956</v>
      </c>
      <c r="E346" s="1590">
        <v>0.6956</v>
      </c>
      <c r="F346" s="1590">
        <v>0.6956</v>
      </c>
      <c r="G346" s="1590">
        <v>0.62439999999999996</v>
      </c>
      <c r="H346" s="1590">
        <v>0.62439999999999996</v>
      </c>
      <c r="I346" s="1590">
        <v>0.5474</v>
      </c>
      <c r="J346" s="1590">
        <v>0.5474</v>
      </c>
      <c r="K346" s="1590">
        <v>0.5474</v>
      </c>
      <c r="L346" s="1590">
        <v>0.5474</v>
      </c>
      <c r="M346" s="1590">
        <v>0.5474</v>
      </c>
    </row>
    <row r="347" spans="1:13">
      <c r="A347" s="1604">
        <v>3.9</v>
      </c>
      <c r="B347" s="1590">
        <v>0.70799999999999996</v>
      </c>
      <c r="C347" s="1590">
        <v>0.70799999999999996</v>
      </c>
      <c r="D347" s="1590">
        <v>0.69059999999999999</v>
      </c>
      <c r="E347" s="1590">
        <v>0.69059999999999999</v>
      </c>
      <c r="F347" s="1590">
        <v>0.69059999999999999</v>
      </c>
      <c r="G347" s="1590">
        <v>0.61950000000000005</v>
      </c>
      <c r="H347" s="1590">
        <v>0.61950000000000005</v>
      </c>
      <c r="I347" s="1590">
        <v>0.54279999999999995</v>
      </c>
      <c r="J347" s="1590">
        <v>0.54279999999999995</v>
      </c>
      <c r="K347" s="1590">
        <v>0.54279999999999995</v>
      </c>
      <c r="L347" s="1590">
        <v>0.54279999999999995</v>
      </c>
      <c r="M347" s="1590">
        <v>0.54279999999999995</v>
      </c>
    </row>
    <row r="348" spans="1:13">
      <c r="A348" s="1604">
        <v>4</v>
      </c>
      <c r="B348" s="1590">
        <v>0.70409999999999995</v>
      </c>
      <c r="C348" s="1590">
        <v>0.70409999999999995</v>
      </c>
      <c r="D348" s="1590">
        <v>0.68589999999999995</v>
      </c>
      <c r="E348" s="1590">
        <v>0.68589999999999995</v>
      </c>
      <c r="F348" s="1590">
        <v>0.68589999999999995</v>
      </c>
      <c r="G348" s="1590">
        <v>0.61499999999999999</v>
      </c>
      <c r="H348" s="1590">
        <v>0.61499999999999999</v>
      </c>
      <c r="I348" s="1590">
        <v>0.53859999999999997</v>
      </c>
      <c r="J348" s="1590">
        <v>0.53859999999999997</v>
      </c>
      <c r="K348" s="1590">
        <v>0.53859999999999997</v>
      </c>
      <c r="L348" s="1590">
        <v>0.53859999999999997</v>
      </c>
      <c r="M348" s="1590">
        <v>0.53859999999999997</v>
      </c>
    </row>
    <row r="349" spans="1:13">
      <c r="A349" s="1604">
        <v>4.0999999999999996</v>
      </c>
      <c r="B349" s="1590">
        <v>0.7006</v>
      </c>
      <c r="C349" s="1590">
        <v>0.7006</v>
      </c>
      <c r="D349" s="1590">
        <v>0.68159999999999998</v>
      </c>
      <c r="E349" s="1590">
        <v>0.68159999999999998</v>
      </c>
      <c r="F349" s="1590">
        <v>0.68159999999999998</v>
      </c>
      <c r="G349" s="1590">
        <v>0.61080000000000001</v>
      </c>
      <c r="H349" s="1590">
        <v>0.61080000000000001</v>
      </c>
      <c r="I349" s="1590">
        <v>0.53459999999999996</v>
      </c>
      <c r="J349" s="1590">
        <v>0.53459999999999996</v>
      </c>
      <c r="K349" s="1590">
        <v>0.53459999999999996</v>
      </c>
      <c r="L349" s="1590">
        <v>0.53459999999999996</v>
      </c>
      <c r="M349" s="1590">
        <v>0.53459999999999996</v>
      </c>
    </row>
    <row r="350" spans="1:13">
      <c r="A350" s="1604">
        <v>4.2</v>
      </c>
      <c r="B350" s="1590">
        <v>0.69740000000000002</v>
      </c>
      <c r="C350" s="1590">
        <v>0.69740000000000002</v>
      </c>
      <c r="D350" s="1590">
        <v>0.67759999999999998</v>
      </c>
      <c r="E350" s="1590">
        <v>0.67759999999999998</v>
      </c>
      <c r="F350" s="1590">
        <v>0.67759999999999998</v>
      </c>
      <c r="G350" s="1590">
        <v>0.60699999999999998</v>
      </c>
      <c r="H350" s="1590">
        <v>0.60699999999999998</v>
      </c>
      <c r="I350" s="1590">
        <v>0.53090000000000004</v>
      </c>
      <c r="J350" s="1590">
        <v>0.53090000000000004</v>
      </c>
      <c r="K350" s="1590">
        <v>0.53090000000000004</v>
      </c>
      <c r="L350" s="1590">
        <v>0.53090000000000004</v>
      </c>
      <c r="M350" s="1590">
        <v>0.53090000000000004</v>
      </c>
    </row>
    <row r="351" spans="1:13">
      <c r="A351" s="1604">
        <v>4.3</v>
      </c>
      <c r="B351" s="1590">
        <v>0.69450000000000001</v>
      </c>
      <c r="C351" s="1590">
        <v>0.69450000000000001</v>
      </c>
      <c r="D351" s="1590">
        <v>0.67390000000000005</v>
      </c>
      <c r="E351" s="1590">
        <v>0.67390000000000005</v>
      </c>
      <c r="F351" s="1590">
        <v>0.67390000000000005</v>
      </c>
      <c r="G351" s="1590">
        <v>0.60329999999999995</v>
      </c>
      <c r="H351" s="1590">
        <v>0.60329999999999995</v>
      </c>
      <c r="I351" s="1590">
        <v>0.52739999999999998</v>
      </c>
      <c r="J351" s="1590">
        <v>0.52739999999999998</v>
      </c>
      <c r="K351" s="1590">
        <v>0.52739999999999998</v>
      </c>
      <c r="L351" s="1590">
        <v>0.52739999999999998</v>
      </c>
      <c r="M351" s="1590">
        <v>0.52739999999999998</v>
      </c>
    </row>
    <row r="352" spans="1:13">
      <c r="A352" s="1604">
        <v>4.4000000000000004</v>
      </c>
      <c r="B352" s="1590">
        <v>0.69179999999999997</v>
      </c>
      <c r="C352" s="1590">
        <v>0.69179999999999997</v>
      </c>
      <c r="D352" s="1590">
        <v>0.67049999999999998</v>
      </c>
      <c r="E352" s="1590">
        <v>0.67049999999999998</v>
      </c>
      <c r="F352" s="1590">
        <v>0.67049999999999998</v>
      </c>
      <c r="G352" s="1590">
        <v>0.59989999999999999</v>
      </c>
      <c r="H352" s="1590">
        <v>0.59989999999999999</v>
      </c>
      <c r="I352" s="1590">
        <v>0.5242</v>
      </c>
      <c r="J352" s="1590">
        <v>0.5242</v>
      </c>
      <c r="K352" s="1590">
        <v>0.5242</v>
      </c>
      <c r="L352" s="1590">
        <v>0.5242</v>
      </c>
      <c r="M352" s="1590">
        <v>0.5242</v>
      </c>
    </row>
    <row r="353" spans="1:13">
      <c r="A353" s="1604">
        <v>4.5</v>
      </c>
      <c r="B353" s="1590">
        <v>0.68940000000000001</v>
      </c>
      <c r="C353" s="1590">
        <v>0.68940000000000001</v>
      </c>
      <c r="D353" s="1590">
        <v>0.6673</v>
      </c>
      <c r="E353" s="1590">
        <v>0.6673</v>
      </c>
      <c r="F353" s="1590">
        <v>0.6673</v>
      </c>
      <c r="G353" s="1590">
        <v>0.59670000000000001</v>
      </c>
      <c r="H353" s="1590">
        <v>0.59670000000000001</v>
      </c>
      <c r="I353" s="1590">
        <v>0.52110000000000001</v>
      </c>
      <c r="J353" s="1590">
        <v>0.52110000000000001</v>
      </c>
      <c r="K353" s="1590">
        <v>0.52110000000000001</v>
      </c>
      <c r="L353" s="1590">
        <v>0.52110000000000001</v>
      </c>
      <c r="M353" s="1590">
        <v>0.52110000000000001</v>
      </c>
    </row>
    <row r="354" spans="1:13">
      <c r="A354" s="1604">
        <v>4.5999999999999996</v>
      </c>
      <c r="B354" s="1590">
        <v>0.68720000000000003</v>
      </c>
      <c r="C354" s="1590">
        <v>0.68720000000000003</v>
      </c>
      <c r="D354" s="1590">
        <v>0.6643</v>
      </c>
      <c r="E354" s="1590">
        <v>0.6643</v>
      </c>
      <c r="F354" s="1590">
        <v>0.6643</v>
      </c>
      <c r="G354" s="1590">
        <v>0.59379999999999999</v>
      </c>
      <c r="H354" s="1590">
        <v>0.59379999999999999</v>
      </c>
      <c r="I354" s="1590">
        <v>0.51819999999999999</v>
      </c>
      <c r="J354" s="1590">
        <v>0.51819999999999999</v>
      </c>
      <c r="K354" s="1590">
        <v>0.51819999999999999</v>
      </c>
      <c r="L354" s="1590">
        <v>0.51819999999999999</v>
      </c>
      <c r="M354" s="1590">
        <v>0.51819999999999999</v>
      </c>
    </row>
    <row r="355" spans="1:13">
      <c r="A355" s="1604">
        <v>4.7</v>
      </c>
      <c r="B355" s="1590">
        <v>0.68520000000000003</v>
      </c>
      <c r="C355" s="1590">
        <v>0.68520000000000003</v>
      </c>
      <c r="D355" s="1590">
        <v>0.66149999999999998</v>
      </c>
      <c r="E355" s="1590">
        <v>0.66149999999999998</v>
      </c>
      <c r="F355" s="1590">
        <v>0.66149999999999998</v>
      </c>
      <c r="G355" s="1590">
        <v>0.59109999999999996</v>
      </c>
      <c r="H355" s="1590">
        <v>0.59109999999999996</v>
      </c>
      <c r="I355" s="1590">
        <v>0.51559999999999995</v>
      </c>
      <c r="J355" s="1590">
        <v>0.51559999999999995</v>
      </c>
      <c r="K355" s="1590">
        <v>0.51559999999999995</v>
      </c>
      <c r="L355" s="1590">
        <v>0.51559999999999995</v>
      </c>
      <c r="M355" s="1590">
        <v>0.51559999999999995</v>
      </c>
    </row>
    <row r="356" spans="1:13">
      <c r="A356" s="1604">
        <v>4.8</v>
      </c>
      <c r="B356" s="1590">
        <v>0.68340000000000001</v>
      </c>
      <c r="C356" s="1590">
        <v>0.68340000000000001</v>
      </c>
      <c r="D356" s="1590">
        <v>0.65900000000000003</v>
      </c>
      <c r="E356" s="1590">
        <v>0.65900000000000003</v>
      </c>
      <c r="F356" s="1590">
        <v>0.65900000000000003</v>
      </c>
      <c r="G356" s="1590">
        <v>0.58850000000000002</v>
      </c>
      <c r="H356" s="1590">
        <v>0.58850000000000002</v>
      </c>
      <c r="I356" s="1590">
        <v>0.51300000000000001</v>
      </c>
      <c r="J356" s="1590">
        <v>0.51300000000000001</v>
      </c>
      <c r="K356" s="1590">
        <v>0.51300000000000001</v>
      </c>
      <c r="L356" s="1590">
        <v>0.51300000000000001</v>
      </c>
      <c r="M356" s="1590">
        <v>0.51300000000000001</v>
      </c>
    </row>
    <row r="357" spans="1:13">
      <c r="A357" s="1604">
        <v>4.9000000000000004</v>
      </c>
      <c r="B357" s="1590">
        <v>0.68179999999999996</v>
      </c>
      <c r="C357" s="1590">
        <v>0.68179999999999996</v>
      </c>
      <c r="D357" s="1590">
        <v>0.65659999999999996</v>
      </c>
      <c r="E357" s="1590">
        <v>0.65659999999999996</v>
      </c>
      <c r="F357" s="1590">
        <v>0.65659999999999996</v>
      </c>
      <c r="G357" s="1590">
        <v>0.58599999999999997</v>
      </c>
      <c r="H357" s="1590">
        <v>0.58599999999999997</v>
      </c>
      <c r="I357" s="1590">
        <v>0.51060000000000005</v>
      </c>
      <c r="J357" s="1590">
        <v>0.51060000000000005</v>
      </c>
      <c r="K357" s="1590">
        <v>0.51060000000000005</v>
      </c>
      <c r="L357" s="1590">
        <v>0.51060000000000005</v>
      </c>
      <c r="M357" s="1590">
        <v>0.51060000000000005</v>
      </c>
    </row>
    <row r="358" spans="1:13">
      <c r="A358" s="1604">
        <v>5</v>
      </c>
      <c r="B358" s="1590">
        <v>0.68030000000000002</v>
      </c>
      <c r="C358" s="1590">
        <v>0.68030000000000002</v>
      </c>
      <c r="D358" s="1590">
        <v>0.65439999999999998</v>
      </c>
      <c r="E358" s="1590">
        <v>0.65439999999999998</v>
      </c>
      <c r="F358" s="1590">
        <v>0.65439999999999998</v>
      </c>
      <c r="G358" s="1590">
        <v>0.58379999999999999</v>
      </c>
      <c r="H358" s="1590">
        <v>0.58379999999999999</v>
      </c>
      <c r="I358" s="1590">
        <v>0.50839999999999996</v>
      </c>
      <c r="J358" s="1590">
        <v>0.50839999999999996</v>
      </c>
      <c r="K358" s="1590">
        <v>0.50839999999999996</v>
      </c>
      <c r="L358" s="1590">
        <v>0.50839999999999996</v>
      </c>
      <c r="M358" s="1590">
        <v>0.50839999999999996</v>
      </c>
    </row>
    <row r="359" spans="1:13">
      <c r="A359" s="1581">
        <v>5.0999999999999996</v>
      </c>
      <c r="B359" s="1590">
        <v>0.67889999999999995</v>
      </c>
      <c r="C359" s="1590">
        <v>0.67889999999999995</v>
      </c>
      <c r="D359" s="1590">
        <v>0.65229999999999999</v>
      </c>
      <c r="E359" s="1590">
        <v>0.65229999999999999</v>
      </c>
      <c r="F359" s="1590">
        <v>0.65229999999999999</v>
      </c>
      <c r="G359" s="1590">
        <v>0.58160000000000001</v>
      </c>
      <c r="H359" s="1590">
        <v>0.58160000000000001</v>
      </c>
      <c r="I359" s="1590">
        <v>0.50629999999999997</v>
      </c>
      <c r="J359" s="1590">
        <v>0.50629999999999997</v>
      </c>
      <c r="K359" s="1590">
        <v>0.50629999999999997</v>
      </c>
      <c r="L359" s="1590">
        <v>0.50629999999999997</v>
      </c>
      <c r="M359" s="1590">
        <v>0.50629999999999997</v>
      </c>
    </row>
    <row r="360" spans="1:13">
      <c r="A360" s="1581">
        <v>5.2</v>
      </c>
      <c r="B360" s="1590">
        <v>0.67749999999999999</v>
      </c>
      <c r="C360" s="1590">
        <v>0.67749999999999999</v>
      </c>
      <c r="D360" s="1590">
        <v>0.65029999999999999</v>
      </c>
      <c r="E360" s="1590">
        <v>0.65029999999999999</v>
      </c>
      <c r="F360" s="1590">
        <v>0.65029999999999999</v>
      </c>
      <c r="G360" s="1590">
        <v>0.57950000000000002</v>
      </c>
      <c r="H360" s="1590">
        <v>0.57950000000000002</v>
      </c>
      <c r="I360" s="1590">
        <v>0.50419999999999998</v>
      </c>
      <c r="J360" s="1590">
        <v>0.50419999999999998</v>
      </c>
      <c r="K360" s="1590">
        <v>0.50419999999999998</v>
      </c>
      <c r="L360" s="1590">
        <v>0.50419999999999998</v>
      </c>
      <c r="M360" s="1590">
        <v>0.50419999999999998</v>
      </c>
    </row>
    <row r="361" spans="1:13">
      <c r="A361" s="1581">
        <v>5.3</v>
      </c>
      <c r="B361" s="1590">
        <v>0.67620000000000002</v>
      </c>
      <c r="C361" s="1590">
        <v>0.67620000000000002</v>
      </c>
      <c r="D361" s="1590">
        <v>0.64839999999999998</v>
      </c>
      <c r="E361" s="1590">
        <v>0.64839999999999998</v>
      </c>
      <c r="F361" s="1590">
        <v>0.64839999999999998</v>
      </c>
      <c r="G361" s="1590">
        <v>0.5776</v>
      </c>
      <c r="H361" s="1590">
        <v>0.5776</v>
      </c>
      <c r="I361" s="1590">
        <v>0.50229999999999997</v>
      </c>
      <c r="J361" s="1590">
        <v>0.50229999999999997</v>
      </c>
      <c r="K361" s="1590">
        <v>0.50229999999999997</v>
      </c>
      <c r="L361" s="1590">
        <v>0.50229999999999997</v>
      </c>
      <c r="M361" s="1590">
        <v>0.50229999999999997</v>
      </c>
    </row>
    <row r="362" spans="1:13">
      <c r="A362" s="1581">
        <v>5.4</v>
      </c>
      <c r="B362" s="1590">
        <v>0.67500000000000004</v>
      </c>
      <c r="C362" s="1590">
        <v>0.67500000000000004</v>
      </c>
      <c r="D362" s="1590">
        <v>0.64670000000000005</v>
      </c>
      <c r="E362" s="1590">
        <v>0.64670000000000005</v>
      </c>
      <c r="F362" s="1590">
        <v>0.64670000000000005</v>
      </c>
      <c r="G362" s="1590">
        <v>0.57579999999999998</v>
      </c>
      <c r="H362" s="1590">
        <v>0.57579999999999998</v>
      </c>
      <c r="I362" s="1590">
        <v>0.50039999999999996</v>
      </c>
      <c r="J362" s="1590">
        <v>0.50039999999999996</v>
      </c>
      <c r="K362" s="1590">
        <v>0.50039999999999996</v>
      </c>
      <c r="L362" s="1590">
        <v>0.50039999999999996</v>
      </c>
      <c r="M362" s="1590">
        <v>0.50039999999999996</v>
      </c>
    </row>
    <row r="363" spans="1:13">
      <c r="A363" s="1581">
        <v>5.5</v>
      </c>
      <c r="B363" s="1590">
        <v>0.67379999999999995</v>
      </c>
      <c r="C363" s="1590">
        <v>0.67379999999999995</v>
      </c>
      <c r="D363" s="1590">
        <v>0.64500000000000002</v>
      </c>
      <c r="E363" s="1590">
        <v>0.64500000000000002</v>
      </c>
      <c r="F363" s="1590">
        <v>0.64500000000000002</v>
      </c>
      <c r="G363" s="1590">
        <v>0.57399999999999995</v>
      </c>
      <c r="H363" s="1590">
        <v>0.57399999999999995</v>
      </c>
      <c r="I363" s="1590">
        <v>0.49869999999999998</v>
      </c>
      <c r="J363" s="1590">
        <v>0.49869999999999998</v>
      </c>
      <c r="K363" s="1590">
        <v>0.49869999999999998</v>
      </c>
      <c r="L363" s="1590">
        <v>0.49869999999999998</v>
      </c>
      <c r="M363" s="1590">
        <v>0.49869999999999998</v>
      </c>
    </row>
    <row r="364" spans="1:13">
      <c r="A364" s="1581">
        <v>5.6</v>
      </c>
      <c r="B364" s="1590">
        <v>0.67259999999999998</v>
      </c>
      <c r="C364" s="1590">
        <v>0.67259999999999998</v>
      </c>
      <c r="D364" s="1590">
        <v>0.64339999999999997</v>
      </c>
      <c r="E364" s="1590">
        <v>0.64339999999999997</v>
      </c>
      <c r="F364" s="1590">
        <v>0.64339999999999997</v>
      </c>
      <c r="G364" s="1590">
        <v>0.57240000000000002</v>
      </c>
      <c r="H364" s="1590">
        <v>0.57240000000000002</v>
      </c>
      <c r="I364" s="1590">
        <v>0.49690000000000001</v>
      </c>
      <c r="J364" s="1590">
        <v>0.49690000000000001</v>
      </c>
      <c r="K364" s="1590">
        <v>0.49690000000000001</v>
      </c>
      <c r="L364" s="1590">
        <v>0.49690000000000001</v>
      </c>
      <c r="M364" s="1590">
        <v>0.49690000000000001</v>
      </c>
    </row>
    <row r="365" spans="1:13">
      <c r="A365" s="1604">
        <v>5.7</v>
      </c>
      <c r="B365" s="1590">
        <v>0.6714</v>
      </c>
      <c r="C365" s="1590">
        <v>0.6714</v>
      </c>
      <c r="D365" s="1590">
        <v>0.64190000000000003</v>
      </c>
      <c r="E365" s="1590">
        <v>0.64190000000000003</v>
      </c>
      <c r="F365" s="1590">
        <v>0.64190000000000003</v>
      </c>
      <c r="G365" s="1590">
        <v>0.57069999999999999</v>
      </c>
      <c r="H365" s="1590">
        <v>0.57069999999999999</v>
      </c>
      <c r="I365" s="1590">
        <v>0.49519999999999997</v>
      </c>
      <c r="J365" s="1590">
        <v>0.49519999999999997</v>
      </c>
      <c r="K365" s="1590">
        <v>0.49519999999999997</v>
      </c>
      <c r="L365" s="1590">
        <v>0.49519999999999997</v>
      </c>
      <c r="M365" s="1590">
        <v>0.49519999999999997</v>
      </c>
    </row>
    <row r="366" spans="1:13">
      <c r="A366" s="1581">
        <v>5.8</v>
      </c>
      <c r="B366" s="1590">
        <v>0.67020000000000002</v>
      </c>
      <c r="C366" s="1590">
        <v>0.67020000000000002</v>
      </c>
      <c r="D366" s="1590">
        <v>0.64039999999999997</v>
      </c>
      <c r="E366" s="1590">
        <v>0.64039999999999997</v>
      </c>
      <c r="F366" s="1590">
        <v>0.64039999999999997</v>
      </c>
      <c r="G366" s="1590">
        <v>0.56910000000000005</v>
      </c>
      <c r="H366" s="1590">
        <v>0.56910000000000005</v>
      </c>
      <c r="I366" s="1590">
        <v>0.49359999999999998</v>
      </c>
      <c r="J366" s="1590">
        <v>0.49359999999999998</v>
      </c>
      <c r="K366" s="1590">
        <v>0.49359999999999998</v>
      </c>
      <c r="L366" s="1590">
        <v>0.49359999999999998</v>
      </c>
      <c r="M366" s="1590">
        <v>0.49359999999999998</v>
      </c>
    </row>
    <row r="367" spans="1:13">
      <c r="A367" s="1581">
        <v>5.9</v>
      </c>
      <c r="B367" s="1590">
        <v>0.66910000000000003</v>
      </c>
      <c r="C367" s="1590">
        <v>0.66910000000000003</v>
      </c>
      <c r="D367" s="1590">
        <v>0.63890000000000002</v>
      </c>
      <c r="E367" s="1590">
        <v>0.63890000000000002</v>
      </c>
      <c r="F367" s="1590">
        <v>0.63890000000000002</v>
      </c>
      <c r="G367" s="1590">
        <v>0.5675</v>
      </c>
      <c r="H367" s="1590">
        <v>0.5675</v>
      </c>
      <c r="I367" s="1590">
        <v>0.4919</v>
      </c>
      <c r="J367" s="1590">
        <v>0.4919</v>
      </c>
      <c r="K367" s="1590">
        <v>0.4919</v>
      </c>
      <c r="L367" s="1590">
        <v>0.4919</v>
      </c>
      <c r="M367" s="1590">
        <v>0.4919</v>
      </c>
    </row>
    <row r="368" spans="1:13">
      <c r="A368" s="1581">
        <v>6</v>
      </c>
      <c r="B368" s="1590">
        <v>0.66800000000000004</v>
      </c>
      <c r="C368" s="1590">
        <v>0.66800000000000004</v>
      </c>
      <c r="D368" s="1590">
        <v>0.63739999999999997</v>
      </c>
      <c r="E368" s="1590">
        <v>0.63739999999999997</v>
      </c>
      <c r="F368" s="1590">
        <v>0.63739999999999997</v>
      </c>
      <c r="G368" s="1590">
        <v>0.56589999999999996</v>
      </c>
      <c r="H368" s="1590">
        <v>0.56589999999999996</v>
      </c>
      <c r="I368" s="1590">
        <v>0.49020000000000002</v>
      </c>
      <c r="J368" s="1590">
        <v>0.49020000000000002</v>
      </c>
      <c r="K368" s="1590">
        <v>0.49020000000000002</v>
      </c>
      <c r="L368" s="1590">
        <v>0.49020000000000002</v>
      </c>
      <c r="M368" s="1590">
        <v>0.49020000000000002</v>
      </c>
    </row>
    <row r="369" spans="1:13">
      <c r="A369" s="1581">
        <v>6.1</v>
      </c>
      <c r="B369" s="1590">
        <v>0.66690000000000005</v>
      </c>
      <c r="C369" s="1590">
        <v>0.66690000000000005</v>
      </c>
      <c r="D369" s="1590">
        <v>0.63590000000000002</v>
      </c>
      <c r="E369" s="1590">
        <v>0.63590000000000002</v>
      </c>
      <c r="F369" s="1590">
        <v>0.63590000000000002</v>
      </c>
      <c r="G369" s="1590">
        <v>0.56440000000000001</v>
      </c>
      <c r="H369" s="1590">
        <v>0.56440000000000001</v>
      </c>
      <c r="I369" s="1590">
        <v>0.48849999999999999</v>
      </c>
      <c r="J369" s="1590">
        <v>0.48849999999999999</v>
      </c>
      <c r="K369" s="1590">
        <v>0.48849999999999999</v>
      </c>
      <c r="L369" s="1590">
        <v>0.48849999999999999</v>
      </c>
      <c r="M369" s="1590">
        <v>0.48849999999999999</v>
      </c>
    </row>
    <row r="370" spans="1:13">
      <c r="A370" s="1581">
        <v>6.2</v>
      </c>
      <c r="B370" s="1590">
        <v>0.66579999999999995</v>
      </c>
      <c r="C370" s="1590">
        <v>0.66579999999999995</v>
      </c>
      <c r="D370" s="1590">
        <v>0.63439999999999996</v>
      </c>
      <c r="E370" s="1590">
        <v>0.63439999999999996</v>
      </c>
      <c r="F370" s="1590">
        <v>0.63439999999999996</v>
      </c>
      <c r="G370" s="1590">
        <v>0.56289999999999996</v>
      </c>
      <c r="H370" s="1590">
        <v>0.56289999999999996</v>
      </c>
      <c r="I370" s="1590">
        <v>0.48680000000000001</v>
      </c>
      <c r="J370" s="1590">
        <v>0.48680000000000001</v>
      </c>
      <c r="K370" s="1590">
        <v>0.48680000000000001</v>
      </c>
      <c r="L370" s="1590">
        <v>0.48680000000000001</v>
      </c>
      <c r="M370" s="1590">
        <v>0.48680000000000001</v>
      </c>
    </row>
    <row r="371" spans="1:13">
      <c r="A371" s="1581">
        <v>6.3</v>
      </c>
      <c r="B371" s="1590">
        <v>0.66469999999999996</v>
      </c>
      <c r="C371" s="1590">
        <v>0.66469999999999996</v>
      </c>
      <c r="D371" s="1590">
        <v>0.63290000000000002</v>
      </c>
      <c r="E371" s="1590">
        <v>0.63290000000000002</v>
      </c>
      <c r="F371" s="1590">
        <v>0.63290000000000002</v>
      </c>
      <c r="G371" s="1590">
        <v>0.56130000000000002</v>
      </c>
      <c r="H371" s="1590">
        <v>0.56130000000000002</v>
      </c>
      <c r="I371" s="1590">
        <v>0.48509999999999998</v>
      </c>
      <c r="J371" s="1590">
        <v>0.48509999999999998</v>
      </c>
      <c r="K371" s="1590">
        <v>0.48509999999999998</v>
      </c>
      <c r="L371" s="1590">
        <v>0.48509999999999998</v>
      </c>
      <c r="M371" s="1590">
        <v>0.48509999999999998</v>
      </c>
    </row>
    <row r="372" spans="1:13">
      <c r="A372" s="1581">
        <v>6.4</v>
      </c>
      <c r="B372" s="1590">
        <v>0.66359999999999997</v>
      </c>
      <c r="C372" s="1590">
        <v>0.66359999999999997</v>
      </c>
      <c r="D372" s="1590">
        <v>0.63139999999999996</v>
      </c>
      <c r="E372" s="1590">
        <v>0.63139999999999996</v>
      </c>
      <c r="F372" s="1590">
        <v>0.63139999999999996</v>
      </c>
      <c r="G372" s="1590">
        <v>0.55979999999999996</v>
      </c>
      <c r="H372" s="1590">
        <v>0.55979999999999996</v>
      </c>
      <c r="I372" s="1590">
        <v>0.48349999999999999</v>
      </c>
      <c r="J372" s="1590">
        <v>0.48349999999999999</v>
      </c>
      <c r="K372" s="1590">
        <v>0.48349999999999999</v>
      </c>
      <c r="L372" s="1590">
        <v>0.48349999999999999</v>
      </c>
      <c r="M372" s="1590">
        <v>0.48349999999999999</v>
      </c>
    </row>
    <row r="373" spans="1:13">
      <c r="A373" s="1581">
        <v>6.5</v>
      </c>
      <c r="B373" s="1590">
        <v>0.66249999999999998</v>
      </c>
      <c r="C373" s="1590">
        <v>0.66249999999999998</v>
      </c>
      <c r="D373" s="1590">
        <v>0.63</v>
      </c>
      <c r="E373" s="1590">
        <v>0.63</v>
      </c>
      <c r="F373" s="1590">
        <v>0.63</v>
      </c>
      <c r="G373" s="1590">
        <v>0.55820000000000003</v>
      </c>
      <c r="H373" s="1590">
        <v>0.55820000000000003</v>
      </c>
      <c r="I373" s="1590">
        <v>0.4819</v>
      </c>
      <c r="J373" s="1590">
        <v>0.4819</v>
      </c>
      <c r="K373" s="1590">
        <v>0.4819</v>
      </c>
      <c r="L373" s="1590">
        <v>0.4819</v>
      </c>
      <c r="M373" s="1590">
        <v>0.4819</v>
      </c>
    </row>
    <row r="374" spans="1:13">
      <c r="A374" s="1581">
        <v>6.6</v>
      </c>
      <c r="B374" s="1590">
        <v>0.66149999999999998</v>
      </c>
      <c r="C374" s="1590">
        <v>0.66149999999999998</v>
      </c>
      <c r="D374" s="1590">
        <v>0.62860000000000005</v>
      </c>
      <c r="E374" s="1590">
        <v>0.62860000000000005</v>
      </c>
      <c r="F374" s="1590">
        <v>0.62860000000000005</v>
      </c>
      <c r="G374" s="1590">
        <v>0.55669999999999997</v>
      </c>
      <c r="H374" s="1590">
        <v>0.55669999999999997</v>
      </c>
      <c r="I374" s="1590">
        <v>0.4803</v>
      </c>
      <c r="J374" s="1590">
        <v>0.4803</v>
      </c>
      <c r="K374" s="1590">
        <v>0.4803</v>
      </c>
      <c r="L374" s="1590">
        <v>0.4803</v>
      </c>
      <c r="M374" s="1590">
        <v>0.4803</v>
      </c>
    </row>
    <row r="375" spans="1:13">
      <c r="A375" s="1581">
        <v>6.7</v>
      </c>
      <c r="B375" s="1590">
        <v>0.66049999999999998</v>
      </c>
      <c r="C375" s="1590">
        <v>0.66049999999999998</v>
      </c>
      <c r="D375" s="1590">
        <v>0.62719999999999998</v>
      </c>
      <c r="E375" s="1590">
        <v>0.62719999999999998</v>
      </c>
      <c r="F375" s="1590">
        <v>0.62719999999999998</v>
      </c>
      <c r="G375" s="1590">
        <v>0.55520000000000003</v>
      </c>
      <c r="H375" s="1590">
        <v>0.55520000000000003</v>
      </c>
      <c r="I375" s="1590">
        <v>0.47870000000000001</v>
      </c>
      <c r="J375" s="1590">
        <v>0.47870000000000001</v>
      </c>
      <c r="K375" s="1590">
        <v>0.47870000000000001</v>
      </c>
      <c r="L375" s="1590">
        <v>0.47870000000000001</v>
      </c>
      <c r="M375" s="1590">
        <v>0.47870000000000001</v>
      </c>
    </row>
    <row r="376" spans="1:13">
      <c r="A376" s="1581">
        <v>6.8</v>
      </c>
      <c r="B376" s="1590">
        <v>0.65949999999999998</v>
      </c>
      <c r="C376" s="1590">
        <v>0.65949999999999998</v>
      </c>
      <c r="D376" s="1590">
        <v>0.62580000000000002</v>
      </c>
      <c r="E376" s="1590">
        <v>0.62580000000000002</v>
      </c>
      <c r="F376" s="1590">
        <v>0.62580000000000002</v>
      </c>
      <c r="G376" s="1590">
        <v>0.55359999999999998</v>
      </c>
      <c r="H376" s="1590">
        <v>0.55359999999999998</v>
      </c>
      <c r="I376" s="1590">
        <v>0.47710000000000002</v>
      </c>
      <c r="J376" s="1590">
        <v>0.47710000000000002</v>
      </c>
      <c r="K376" s="1590">
        <v>0.47710000000000002</v>
      </c>
      <c r="L376" s="1590">
        <v>0.47710000000000002</v>
      </c>
      <c r="M376" s="1590">
        <v>0.47710000000000002</v>
      </c>
    </row>
    <row r="377" spans="1:13">
      <c r="A377" s="1581">
        <v>6.9</v>
      </c>
      <c r="B377" s="1590">
        <v>0.65849999999999997</v>
      </c>
      <c r="C377" s="1590">
        <v>0.65849999999999997</v>
      </c>
      <c r="D377" s="1590">
        <v>0.62439999999999996</v>
      </c>
      <c r="E377" s="1590">
        <v>0.62439999999999996</v>
      </c>
      <c r="F377" s="1590">
        <v>0.62439999999999996</v>
      </c>
      <c r="G377" s="1590">
        <v>0.55220000000000002</v>
      </c>
      <c r="H377" s="1590">
        <v>0.55220000000000002</v>
      </c>
      <c r="I377" s="1590">
        <v>0.47549999999999998</v>
      </c>
      <c r="J377" s="1590">
        <v>0.47549999999999998</v>
      </c>
      <c r="K377" s="1590">
        <v>0.47549999999999998</v>
      </c>
      <c r="L377" s="1590">
        <v>0.47549999999999998</v>
      </c>
      <c r="M377" s="1590">
        <v>0.47549999999999998</v>
      </c>
    </row>
    <row r="378" spans="1:13">
      <c r="A378" s="1581">
        <v>7</v>
      </c>
      <c r="B378" s="1590">
        <v>0.65749999999999997</v>
      </c>
      <c r="C378" s="1590">
        <v>0.65749999999999997</v>
      </c>
      <c r="D378" s="1590">
        <v>0.623</v>
      </c>
      <c r="E378" s="1590">
        <v>0.623</v>
      </c>
      <c r="F378" s="1590">
        <v>0.623</v>
      </c>
      <c r="G378" s="1590">
        <v>0.55069999999999997</v>
      </c>
      <c r="H378" s="1590">
        <v>0.55069999999999997</v>
      </c>
      <c r="I378" s="1590">
        <v>0.47389999999999999</v>
      </c>
      <c r="J378" s="1590">
        <v>0.47389999999999999</v>
      </c>
      <c r="K378" s="1590">
        <v>0.47389999999999999</v>
      </c>
      <c r="L378" s="1590">
        <v>0.47389999999999999</v>
      </c>
      <c r="M378" s="1590">
        <v>0.47389999999999999</v>
      </c>
    </row>
    <row r="379" spans="1:13">
      <c r="A379" s="1581">
        <v>7.1</v>
      </c>
      <c r="B379" s="1590">
        <v>0.65649999999999997</v>
      </c>
      <c r="C379" s="1590">
        <v>0.65649999999999997</v>
      </c>
      <c r="D379" s="1590">
        <v>0.62160000000000004</v>
      </c>
      <c r="E379" s="1590">
        <v>0.62160000000000004</v>
      </c>
      <c r="F379" s="1590">
        <v>0.62160000000000004</v>
      </c>
      <c r="G379" s="1590">
        <v>0.54930000000000001</v>
      </c>
      <c r="H379" s="1590">
        <v>0.54930000000000001</v>
      </c>
      <c r="I379" s="1590">
        <v>0.47239999999999999</v>
      </c>
      <c r="J379" s="1590">
        <v>0.47239999999999999</v>
      </c>
      <c r="K379" s="1590">
        <v>0.47239999999999999</v>
      </c>
      <c r="L379" s="1590">
        <v>0.47239999999999999</v>
      </c>
      <c r="M379" s="1590">
        <v>0.47239999999999999</v>
      </c>
    </row>
    <row r="380" spans="1:13">
      <c r="A380" s="1581">
        <v>7.2</v>
      </c>
      <c r="B380" s="1590">
        <v>0.65549999999999997</v>
      </c>
      <c r="C380" s="1590">
        <v>0.65549999999999997</v>
      </c>
      <c r="D380" s="1590">
        <v>0.62019999999999997</v>
      </c>
      <c r="E380" s="1590">
        <v>0.62019999999999997</v>
      </c>
      <c r="F380" s="1590">
        <v>0.62019999999999997</v>
      </c>
      <c r="G380" s="1590">
        <v>0.54779999999999995</v>
      </c>
      <c r="H380" s="1590">
        <v>0.54779999999999995</v>
      </c>
      <c r="I380" s="1590">
        <v>0.47089999999999999</v>
      </c>
      <c r="J380" s="1590">
        <v>0.47089999999999999</v>
      </c>
      <c r="K380" s="1590">
        <v>0.47089999999999999</v>
      </c>
      <c r="L380" s="1590">
        <v>0.47089999999999999</v>
      </c>
      <c r="M380" s="1590">
        <v>0.47089999999999999</v>
      </c>
    </row>
    <row r="381" spans="1:13">
      <c r="A381" s="1581">
        <v>7.3</v>
      </c>
      <c r="B381" s="1590">
        <v>0.65449999999999997</v>
      </c>
      <c r="C381" s="1590">
        <v>0.65449999999999997</v>
      </c>
      <c r="D381" s="1590">
        <v>0.61880000000000002</v>
      </c>
      <c r="E381" s="1590">
        <v>0.61880000000000002</v>
      </c>
      <c r="F381" s="1590">
        <v>0.61880000000000002</v>
      </c>
      <c r="G381" s="1590">
        <v>0.5464</v>
      </c>
      <c r="H381" s="1590">
        <v>0.5464</v>
      </c>
      <c r="I381" s="1590">
        <v>0.46939999999999998</v>
      </c>
      <c r="J381" s="1590">
        <v>0.46939999999999998</v>
      </c>
      <c r="K381" s="1590">
        <v>0.46939999999999998</v>
      </c>
      <c r="L381" s="1590">
        <v>0.46939999999999998</v>
      </c>
      <c r="M381" s="1590">
        <v>0.46939999999999998</v>
      </c>
    </row>
    <row r="382" spans="1:13">
      <c r="A382" s="1581">
        <v>7.4</v>
      </c>
      <c r="B382" s="1590">
        <v>0.65349999999999997</v>
      </c>
      <c r="C382" s="1590">
        <v>0.65349999999999997</v>
      </c>
      <c r="D382" s="1590">
        <v>0.61750000000000005</v>
      </c>
      <c r="E382" s="1590">
        <v>0.61750000000000005</v>
      </c>
      <c r="F382" s="1590">
        <v>0.61750000000000005</v>
      </c>
      <c r="G382" s="1590">
        <v>0.54490000000000005</v>
      </c>
      <c r="H382" s="1590">
        <v>0.54490000000000005</v>
      </c>
      <c r="I382" s="1590">
        <v>0.46779999999999999</v>
      </c>
      <c r="J382" s="1590">
        <v>0.46779999999999999</v>
      </c>
      <c r="K382" s="1590">
        <v>0.46779999999999999</v>
      </c>
      <c r="L382" s="1590">
        <v>0.46779999999999999</v>
      </c>
      <c r="M382" s="1590">
        <v>0.46779999999999999</v>
      </c>
    </row>
    <row r="383" spans="1:13">
      <c r="A383" s="1581">
        <v>7.5</v>
      </c>
      <c r="B383" s="1590">
        <v>0.65249999999999997</v>
      </c>
      <c r="C383" s="1590">
        <v>0.65249999999999997</v>
      </c>
      <c r="D383" s="1590">
        <v>0.61619999999999997</v>
      </c>
      <c r="E383" s="1590">
        <v>0.61619999999999997</v>
      </c>
      <c r="F383" s="1590">
        <v>0.61619999999999997</v>
      </c>
      <c r="G383" s="1590">
        <v>0.54349999999999998</v>
      </c>
      <c r="H383" s="1590">
        <v>0.54349999999999998</v>
      </c>
      <c r="I383" s="1590">
        <v>0.46629999999999999</v>
      </c>
      <c r="J383" s="1590">
        <v>0.46629999999999999</v>
      </c>
      <c r="K383" s="1590">
        <v>0.46629999999999999</v>
      </c>
      <c r="L383" s="1590">
        <v>0.46629999999999999</v>
      </c>
      <c r="M383" s="1590">
        <v>0.46629999999999999</v>
      </c>
    </row>
    <row r="384" spans="1:13">
      <c r="A384" s="1581">
        <v>7.6</v>
      </c>
      <c r="B384" s="1590">
        <v>0.65149999999999997</v>
      </c>
      <c r="C384" s="1590">
        <v>0.65149999999999997</v>
      </c>
      <c r="D384" s="1590">
        <v>0.6149</v>
      </c>
      <c r="E384" s="1590">
        <v>0.6149</v>
      </c>
      <c r="F384" s="1590">
        <v>0.6149</v>
      </c>
      <c r="G384" s="1590">
        <v>0.54200000000000004</v>
      </c>
      <c r="H384" s="1590">
        <v>0.54200000000000004</v>
      </c>
      <c r="I384" s="1590">
        <v>0.46479999999999999</v>
      </c>
      <c r="J384" s="1590">
        <v>0.46479999999999999</v>
      </c>
      <c r="K384" s="1590">
        <v>0.46479999999999999</v>
      </c>
      <c r="L384" s="1590">
        <v>0.46479999999999999</v>
      </c>
      <c r="M384" s="1590">
        <v>0.46479999999999999</v>
      </c>
    </row>
    <row r="385" spans="1:13">
      <c r="A385" s="1581">
        <v>7.7</v>
      </c>
      <c r="B385" s="1590">
        <v>0.65049999999999997</v>
      </c>
      <c r="C385" s="1590">
        <v>0.65049999999999997</v>
      </c>
      <c r="D385" s="1590">
        <v>0.61360000000000003</v>
      </c>
      <c r="E385" s="1590">
        <v>0.61360000000000003</v>
      </c>
      <c r="F385" s="1590">
        <v>0.61360000000000003</v>
      </c>
      <c r="G385" s="1590">
        <v>0.54059999999999997</v>
      </c>
      <c r="H385" s="1590">
        <v>0.54059999999999997</v>
      </c>
      <c r="I385" s="1590">
        <v>0.46329999999999999</v>
      </c>
      <c r="J385" s="1590">
        <v>0.46329999999999999</v>
      </c>
      <c r="K385" s="1590">
        <v>0.46329999999999999</v>
      </c>
      <c r="L385" s="1590">
        <v>0.46329999999999999</v>
      </c>
      <c r="M385" s="1590">
        <v>0.46329999999999999</v>
      </c>
    </row>
    <row r="386" spans="1:13">
      <c r="A386" s="1581">
        <v>7.8</v>
      </c>
      <c r="B386" s="1590">
        <v>0.64949999999999997</v>
      </c>
      <c r="C386" s="1590">
        <v>0.64949999999999997</v>
      </c>
      <c r="D386" s="1590">
        <v>0.61229999999999996</v>
      </c>
      <c r="E386" s="1590">
        <v>0.61229999999999996</v>
      </c>
      <c r="F386" s="1590">
        <v>0.61229999999999996</v>
      </c>
      <c r="G386" s="1590">
        <v>0.53910000000000002</v>
      </c>
      <c r="H386" s="1590">
        <v>0.53910000000000002</v>
      </c>
      <c r="I386" s="1590">
        <v>0.4617</v>
      </c>
      <c r="J386" s="1590">
        <v>0.4617</v>
      </c>
      <c r="K386" s="1590">
        <v>0.4617</v>
      </c>
      <c r="L386" s="1590">
        <v>0.4617</v>
      </c>
      <c r="M386" s="1590">
        <v>0.4617</v>
      </c>
    </row>
    <row r="387" spans="1:13">
      <c r="A387" s="1581">
        <v>7.9</v>
      </c>
      <c r="B387" s="1590">
        <v>0.64849999999999997</v>
      </c>
      <c r="C387" s="1590">
        <v>0.64849999999999997</v>
      </c>
      <c r="D387" s="1590">
        <v>0.61099999999999999</v>
      </c>
      <c r="E387" s="1590">
        <v>0.61099999999999999</v>
      </c>
      <c r="F387" s="1590">
        <v>0.61099999999999999</v>
      </c>
      <c r="G387" s="1590">
        <v>0.53769999999999996</v>
      </c>
      <c r="H387" s="1590">
        <v>0.53769999999999996</v>
      </c>
      <c r="I387" s="1590">
        <v>0.4602</v>
      </c>
      <c r="J387" s="1590">
        <v>0.4602</v>
      </c>
      <c r="K387" s="1590">
        <v>0.4602</v>
      </c>
      <c r="L387" s="1590">
        <v>0.4602</v>
      </c>
      <c r="M387" s="1590">
        <v>0.4602</v>
      </c>
    </row>
    <row r="388" spans="1:13">
      <c r="A388" s="1581">
        <v>8</v>
      </c>
      <c r="B388" s="1590">
        <v>0.64749999999999996</v>
      </c>
      <c r="C388" s="1590">
        <v>0.64749999999999996</v>
      </c>
      <c r="D388" s="1590">
        <v>0.60970000000000002</v>
      </c>
      <c r="E388" s="1590">
        <v>0.60970000000000002</v>
      </c>
      <c r="F388" s="1590">
        <v>0.60970000000000002</v>
      </c>
      <c r="G388" s="1590">
        <v>0.53620000000000001</v>
      </c>
      <c r="H388" s="1590">
        <v>0.53620000000000001</v>
      </c>
      <c r="I388" s="1590">
        <v>0.4587</v>
      </c>
      <c r="J388" s="1590">
        <v>0.4587</v>
      </c>
      <c r="K388" s="1590">
        <v>0.4587</v>
      </c>
      <c r="L388" s="1590">
        <v>0.4587</v>
      </c>
      <c r="M388" s="1590">
        <v>0.4587</v>
      </c>
    </row>
    <row r="389" spans="1:13">
      <c r="A389" s="1581">
        <v>8.1</v>
      </c>
      <c r="B389" s="1590">
        <v>0.64649999999999996</v>
      </c>
      <c r="C389" s="1590">
        <v>0.64649999999999996</v>
      </c>
      <c r="D389" s="1590">
        <v>0.60840000000000005</v>
      </c>
      <c r="E389" s="1590">
        <v>0.60840000000000005</v>
      </c>
      <c r="F389" s="1590">
        <v>0.60840000000000005</v>
      </c>
      <c r="G389" s="1590">
        <v>0.53480000000000005</v>
      </c>
      <c r="H389" s="1590">
        <v>0.53480000000000005</v>
      </c>
      <c r="I389" s="1590">
        <v>0.4572</v>
      </c>
      <c r="J389" s="1590">
        <v>0.4572</v>
      </c>
      <c r="K389" s="1590">
        <v>0.4572</v>
      </c>
      <c r="L389" s="1590">
        <v>0.4572</v>
      </c>
      <c r="M389" s="1590">
        <v>0.4572</v>
      </c>
    </row>
    <row r="390" spans="1:13">
      <c r="A390" s="1581">
        <v>8.1999999999999993</v>
      </c>
      <c r="B390" s="1590">
        <v>0.64549999999999996</v>
      </c>
      <c r="C390" s="1590">
        <v>0.64549999999999996</v>
      </c>
      <c r="D390" s="1590">
        <v>0.60709999999999997</v>
      </c>
      <c r="E390" s="1590">
        <v>0.60709999999999997</v>
      </c>
      <c r="F390" s="1590">
        <v>0.60709999999999997</v>
      </c>
      <c r="G390" s="1590">
        <v>0.5333</v>
      </c>
      <c r="H390" s="1590">
        <v>0.5333</v>
      </c>
      <c r="I390" s="1590">
        <v>0.45569999999999999</v>
      </c>
      <c r="J390" s="1590">
        <v>0.45569999999999999</v>
      </c>
      <c r="K390" s="1590">
        <v>0.45569999999999999</v>
      </c>
      <c r="L390" s="1590">
        <v>0.45569999999999999</v>
      </c>
      <c r="M390" s="1590">
        <v>0.45569999999999999</v>
      </c>
    </row>
    <row r="391" spans="1:13">
      <c r="A391" s="1581">
        <v>8.3000000000000007</v>
      </c>
      <c r="B391" s="1590">
        <v>0.64449999999999996</v>
      </c>
      <c r="C391" s="1590">
        <v>0.64449999999999996</v>
      </c>
      <c r="D391" s="1590">
        <v>0.60580000000000001</v>
      </c>
      <c r="E391" s="1590">
        <v>0.60580000000000001</v>
      </c>
      <c r="F391" s="1590">
        <v>0.60580000000000001</v>
      </c>
      <c r="G391" s="1590">
        <v>0.53190000000000004</v>
      </c>
      <c r="H391" s="1590">
        <v>0.53190000000000004</v>
      </c>
      <c r="I391" s="1590">
        <v>0.45429999999999998</v>
      </c>
      <c r="J391" s="1590">
        <v>0.45429999999999998</v>
      </c>
      <c r="K391" s="1590">
        <v>0.45429999999999998</v>
      </c>
      <c r="L391" s="1590">
        <v>0.45429999999999998</v>
      </c>
      <c r="M391" s="1590">
        <v>0.45429999999999998</v>
      </c>
    </row>
    <row r="392" spans="1:13">
      <c r="A392" s="1581">
        <v>8.4</v>
      </c>
      <c r="B392" s="1590">
        <v>0.64349999999999996</v>
      </c>
      <c r="C392" s="1590">
        <v>0.64349999999999996</v>
      </c>
      <c r="D392" s="1590">
        <v>0.60450000000000004</v>
      </c>
      <c r="E392" s="1590">
        <v>0.60450000000000004</v>
      </c>
      <c r="F392" s="1590">
        <v>0.60450000000000004</v>
      </c>
      <c r="G392" s="1590">
        <v>0.53039999999999998</v>
      </c>
      <c r="H392" s="1590">
        <v>0.53039999999999998</v>
      </c>
      <c r="I392" s="1590">
        <v>0.45290000000000002</v>
      </c>
      <c r="J392" s="1590">
        <v>0.45290000000000002</v>
      </c>
      <c r="K392" s="1590">
        <v>0.45290000000000002</v>
      </c>
      <c r="L392" s="1590">
        <v>0.45290000000000002</v>
      </c>
      <c r="M392" s="1590">
        <v>0.45290000000000002</v>
      </c>
    </row>
    <row r="393" spans="1:13">
      <c r="A393" s="1581">
        <v>8.5</v>
      </c>
      <c r="B393" s="1590">
        <v>0.64249999999999996</v>
      </c>
      <c r="C393" s="1590">
        <v>0.64249999999999996</v>
      </c>
      <c r="D393" s="1590">
        <v>0.60319999999999996</v>
      </c>
      <c r="E393" s="1590">
        <v>0.60319999999999996</v>
      </c>
      <c r="F393" s="1590">
        <v>0.60319999999999996</v>
      </c>
      <c r="G393" s="1590">
        <v>0.52900000000000003</v>
      </c>
      <c r="H393" s="1590">
        <v>0.52900000000000003</v>
      </c>
      <c r="I393" s="1590">
        <v>0.45140000000000002</v>
      </c>
      <c r="J393" s="1590">
        <v>0.45140000000000002</v>
      </c>
      <c r="K393" s="1590">
        <v>0.45140000000000002</v>
      </c>
      <c r="L393" s="1590">
        <v>0.45140000000000002</v>
      </c>
      <c r="M393" s="1590">
        <v>0.45140000000000002</v>
      </c>
    </row>
    <row r="394" spans="1:13">
      <c r="A394" s="1581">
        <v>8.6</v>
      </c>
      <c r="B394" s="1590">
        <v>0.64149999999999996</v>
      </c>
      <c r="C394" s="1590">
        <v>0.64149999999999996</v>
      </c>
      <c r="D394" s="1590">
        <v>0.60189999999999999</v>
      </c>
      <c r="E394" s="1590">
        <v>0.60189999999999999</v>
      </c>
      <c r="F394" s="1590">
        <v>0.60189999999999999</v>
      </c>
      <c r="G394" s="1590">
        <v>0.52749999999999997</v>
      </c>
      <c r="H394" s="1590">
        <v>0.52749999999999997</v>
      </c>
      <c r="I394" s="1590">
        <v>0.45</v>
      </c>
      <c r="J394" s="1590">
        <v>0.45</v>
      </c>
      <c r="K394" s="1590">
        <v>0.45</v>
      </c>
      <c r="L394" s="1590">
        <v>0.45</v>
      </c>
      <c r="M394" s="1590">
        <v>0.45</v>
      </c>
    </row>
    <row r="395" spans="1:13">
      <c r="A395" s="1581">
        <v>8.6999999999999993</v>
      </c>
      <c r="B395" s="1590">
        <v>0.64049999999999996</v>
      </c>
      <c r="C395" s="1590">
        <v>0.64049999999999996</v>
      </c>
      <c r="D395" s="1590">
        <v>0.60060000000000002</v>
      </c>
      <c r="E395" s="1590">
        <v>0.60060000000000002</v>
      </c>
      <c r="F395" s="1590">
        <v>0.60060000000000002</v>
      </c>
      <c r="G395" s="1590">
        <v>0.52610000000000001</v>
      </c>
      <c r="H395" s="1590">
        <v>0.52610000000000001</v>
      </c>
      <c r="I395" s="1590">
        <v>0.44850000000000001</v>
      </c>
      <c r="J395" s="1590">
        <v>0.44850000000000001</v>
      </c>
      <c r="K395" s="1590">
        <v>0.44850000000000001</v>
      </c>
      <c r="L395" s="1590">
        <v>0.44850000000000001</v>
      </c>
      <c r="M395" s="1590">
        <v>0.44850000000000001</v>
      </c>
    </row>
    <row r="396" spans="1:13">
      <c r="A396" s="1581">
        <v>8.8000000000000007</v>
      </c>
      <c r="B396" s="1590">
        <v>0.63949999999999996</v>
      </c>
      <c r="C396" s="1590">
        <v>0.63949999999999996</v>
      </c>
      <c r="D396" s="1590">
        <v>0.59930000000000005</v>
      </c>
      <c r="E396" s="1590">
        <v>0.59930000000000005</v>
      </c>
      <c r="F396" s="1590">
        <v>0.59930000000000005</v>
      </c>
      <c r="G396" s="1590">
        <v>0.52459999999999996</v>
      </c>
      <c r="H396" s="1590">
        <v>0.52459999999999996</v>
      </c>
      <c r="I396" s="1590">
        <v>0.4471</v>
      </c>
      <c r="J396" s="1590">
        <v>0.4471</v>
      </c>
      <c r="K396" s="1590">
        <v>0.4471</v>
      </c>
      <c r="L396" s="1590">
        <v>0.4471</v>
      </c>
      <c r="M396" s="1590">
        <v>0.4471</v>
      </c>
    </row>
    <row r="397" spans="1:13">
      <c r="A397" s="1581">
        <v>8.9</v>
      </c>
      <c r="B397" s="1590">
        <v>0.63849999999999996</v>
      </c>
      <c r="C397" s="1590">
        <v>0.63849999999999996</v>
      </c>
      <c r="D397" s="1590">
        <v>0.59799999999999998</v>
      </c>
      <c r="E397" s="1590">
        <v>0.59799999999999998</v>
      </c>
      <c r="F397" s="1590">
        <v>0.59799999999999998</v>
      </c>
      <c r="G397" s="1590">
        <v>0.5232</v>
      </c>
      <c r="H397" s="1590">
        <v>0.5232</v>
      </c>
      <c r="I397" s="1590">
        <v>0.4456</v>
      </c>
      <c r="J397" s="1590">
        <v>0.4456</v>
      </c>
      <c r="K397" s="1590">
        <v>0.4456</v>
      </c>
      <c r="L397" s="1590">
        <v>0.4456</v>
      </c>
      <c r="M397" s="1590">
        <v>0.4456</v>
      </c>
    </row>
    <row r="398" spans="1:13">
      <c r="A398" s="1604">
        <v>9</v>
      </c>
      <c r="B398" s="1590">
        <v>0.63749999999999996</v>
      </c>
      <c r="C398" s="1590">
        <v>0.63749999999999996</v>
      </c>
      <c r="D398" s="1590">
        <v>0.59670000000000001</v>
      </c>
      <c r="E398" s="1590">
        <v>0.59670000000000001</v>
      </c>
      <c r="F398" s="1590">
        <v>0.59670000000000001</v>
      </c>
      <c r="G398" s="1590">
        <v>0.52170000000000005</v>
      </c>
      <c r="H398" s="1590">
        <v>0.52170000000000005</v>
      </c>
      <c r="I398" s="1590">
        <v>0.44429999999999997</v>
      </c>
      <c r="J398" s="1590">
        <v>0.44429999999999997</v>
      </c>
      <c r="K398" s="1590">
        <v>0.44429999999999997</v>
      </c>
      <c r="L398" s="1590">
        <v>0.44429999999999997</v>
      </c>
      <c r="M398" s="1590">
        <v>0.44429999999999997</v>
      </c>
    </row>
    <row r="399" spans="1:13">
      <c r="A399" s="1604">
        <v>9.1</v>
      </c>
      <c r="B399" s="1590">
        <v>0.63649999999999995</v>
      </c>
      <c r="C399" s="1590">
        <v>0.63649999999999995</v>
      </c>
      <c r="D399" s="1590">
        <v>0.59540000000000004</v>
      </c>
      <c r="E399" s="1590">
        <v>0.59540000000000004</v>
      </c>
      <c r="F399" s="1590">
        <v>0.59540000000000004</v>
      </c>
      <c r="G399" s="1590">
        <v>0.52029999999999998</v>
      </c>
      <c r="H399" s="1590">
        <v>0.52029999999999998</v>
      </c>
      <c r="I399" s="1590">
        <v>0.44290000000000002</v>
      </c>
      <c r="J399" s="1590">
        <v>0.44290000000000002</v>
      </c>
      <c r="K399" s="1590">
        <v>0.44290000000000002</v>
      </c>
      <c r="L399" s="1590">
        <v>0.44290000000000002</v>
      </c>
      <c r="M399" s="1590">
        <v>0.44290000000000002</v>
      </c>
    </row>
    <row r="400" spans="1:13">
      <c r="A400" s="1604">
        <v>9.1999999999999993</v>
      </c>
      <c r="B400" s="1590">
        <v>0.63549999999999995</v>
      </c>
      <c r="C400" s="1590">
        <v>0.63549999999999995</v>
      </c>
      <c r="D400" s="1590">
        <v>0.59409999999999996</v>
      </c>
      <c r="E400" s="1590">
        <v>0.59409999999999996</v>
      </c>
      <c r="F400" s="1590">
        <v>0.59409999999999996</v>
      </c>
      <c r="G400" s="1590">
        <v>0.51880000000000004</v>
      </c>
      <c r="H400" s="1590">
        <v>0.51880000000000004</v>
      </c>
      <c r="I400" s="1590">
        <v>0.44159999999999999</v>
      </c>
      <c r="J400" s="1590">
        <v>0.44159999999999999</v>
      </c>
      <c r="K400" s="1590">
        <v>0.44159999999999999</v>
      </c>
      <c r="L400" s="1590">
        <v>0.44159999999999999</v>
      </c>
      <c r="M400" s="1590">
        <v>0.44159999999999999</v>
      </c>
    </row>
    <row r="401" spans="1:13">
      <c r="A401" s="1604">
        <v>9.3000000000000007</v>
      </c>
      <c r="B401" s="1590">
        <v>0.63449999999999995</v>
      </c>
      <c r="C401" s="1590">
        <v>0.63449999999999995</v>
      </c>
      <c r="D401" s="1590">
        <v>0.59279999999999999</v>
      </c>
      <c r="E401" s="1590">
        <v>0.59279999999999999</v>
      </c>
      <c r="F401" s="1590">
        <v>0.59279999999999999</v>
      </c>
      <c r="G401" s="1590">
        <v>0.51739999999999997</v>
      </c>
      <c r="H401" s="1590">
        <v>0.51739999999999997</v>
      </c>
      <c r="I401" s="1590">
        <v>0.44019999999999998</v>
      </c>
      <c r="J401" s="1590">
        <v>0.44019999999999998</v>
      </c>
      <c r="K401" s="1590">
        <v>0.44019999999999998</v>
      </c>
      <c r="L401" s="1590">
        <v>0.44019999999999998</v>
      </c>
      <c r="M401" s="1590">
        <v>0.44019999999999998</v>
      </c>
    </row>
    <row r="402" spans="1:13">
      <c r="A402" s="1604">
        <v>9.4</v>
      </c>
      <c r="B402" s="1590">
        <v>0.63349999999999995</v>
      </c>
      <c r="C402" s="1590">
        <v>0.63349999999999995</v>
      </c>
      <c r="D402" s="1590">
        <v>0.59150000000000003</v>
      </c>
      <c r="E402" s="1590">
        <v>0.59150000000000003</v>
      </c>
      <c r="F402" s="1590">
        <v>0.59150000000000003</v>
      </c>
      <c r="G402" s="1590">
        <v>0.51600000000000001</v>
      </c>
      <c r="H402" s="1590">
        <v>0.51600000000000001</v>
      </c>
      <c r="I402" s="1590">
        <v>0.43880000000000002</v>
      </c>
      <c r="J402" s="1590">
        <v>0.43880000000000002</v>
      </c>
      <c r="K402" s="1590">
        <v>0.43880000000000002</v>
      </c>
      <c r="L402" s="1590">
        <v>0.43880000000000002</v>
      </c>
      <c r="M402" s="1590">
        <v>0.43880000000000002</v>
      </c>
    </row>
    <row r="403" spans="1:13">
      <c r="A403" s="1604">
        <v>9.5</v>
      </c>
      <c r="B403" s="1590">
        <v>0.63249999999999995</v>
      </c>
      <c r="C403" s="1590">
        <v>0.63249999999999995</v>
      </c>
      <c r="D403" s="1590">
        <v>0.59030000000000005</v>
      </c>
      <c r="E403" s="1590">
        <v>0.59030000000000005</v>
      </c>
      <c r="F403" s="1590">
        <v>0.59030000000000005</v>
      </c>
      <c r="G403" s="1590">
        <v>0.51470000000000005</v>
      </c>
      <c r="H403" s="1590">
        <v>0.51470000000000005</v>
      </c>
      <c r="I403" s="1590">
        <v>0.4375</v>
      </c>
      <c r="J403" s="1590">
        <v>0.4375</v>
      </c>
      <c r="K403" s="1590">
        <v>0.4375</v>
      </c>
      <c r="L403" s="1590">
        <v>0.4375</v>
      </c>
      <c r="M403" s="1590">
        <v>0.4375</v>
      </c>
    </row>
    <row r="404" spans="1:13">
      <c r="A404" s="1604">
        <v>9.6</v>
      </c>
      <c r="B404" s="1590">
        <v>0.63149999999999995</v>
      </c>
      <c r="C404" s="1590">
        <v>0.63149999999999995</v>
      </c>
      <c r="D404" s="1590">
        <v>0.58909999999999996</v>
      </c>
      <c r="E404" s="1590">
        <v>0.58909999999999996</v>
      </c>
      <c r="F404" s="1590">
        <v>0.58909999999999996</v>
      </c>
      <c r="G404" s="1590">
        <v>0.51329999999999998</v>
      </c>
      <c r="H404" s="1590">
        <v>0.51329999999999998</v>
      </c>
      <c r="I404" s="1590">
        <v>0.43609999999999999</v>
      </c>
      <c r="J404" s="1590">
        <v>0.43609999999999999</v>
      </c>
      <c r="K404" s="1590">
        <v>0.43609999999999999</v>
      </c>
      <c r="L404" s="1590">
        <v>0.43609999999999999</v>
      </c>
      <c r="M404" s="1590">
        <v>0.43609999999999999</v>
      </c>
    </row>
    <row r="405" spans="1:13">
      <c r="A405" s="1604">
        <v>9.6999999999999993</v>
      </c>
      <c r="B405" s="1590">
        <v>0.63049999999999995</v>
      </c>
      <c r="C405" s="1590">
        <v>0.63049999999999995</v>
      </c>
      <c r="D405" s="1590">
        <v>0.58789999999999998</v>
      </c>
      <c r="E405" s="1590">
        <v>0.58789999999999998</v>
      </c>
      <c r="F405" s="1590">
        <v>0.58789999999999998</v>
      </c>
      <c r="G405" s="1590">
        <v>0.51200000000000001</v>
      </c>
      <c r="H405" s="1590">
        <v>0.51200000000000001</v>
      </c>
      <c r="I405" s="1590">
        <v>0.43480000000000002</v>
      </c>
      <c r="J405" s="1590">
        <v>0.43480000000000002</v>
      </c>
      <c r="K405" s="1590">
        <v>0.43480000000000002</v>
      </c>
      <c r="L405" s="1590">
        <v>0.43480000000000002</v>
      </c>
      <c r="M405" s="1590">
        <v>0.43480000000000002</v>
      </c>
    </row>
    <row r="406" spans="1:13">
      <c r="A406" s="1604">
        <v>9.8000000000000007</v>
      </c>
      <c r="B406" s="1590">
        <v>0.62949999999999995</v>
      </c>
      <c r="C406" s="1590">
        <v>0.62949999999999995</v>
      </c>
      <c r="D406" s="1590">
        <v>0.5867</v>
      </c>
      <c r="E406" s="1590">
        <v>0.5867</v>
      </c>
      <c r="F406" s="1590">
        <v>0.5867</v>
      </c>
      <c r="G406" s="1590">
        <v>0.51060000000000005</v>
      </c>
      <c r="H406" s="1590">
        <v>0.51060000000000005</v>
      </c>
      <c r="I406" s="1590">
        <v>0.43340000000000001</v>
      </c>
      <c r="J406" s="1590">
        <v>0.43340000000000001</v>
      </c>
      <c r="K406" s="1590">
        <v>0.43340000000000001</v>
      </c>
      <c r="L406" s="1590">
        <v>0.43340000000000001</v>
      </c>
      <c r="M406" s="1590">
        <v>0.43340000000000001</v>
      </c>
    </row>
    <row r="407" spans="1:13">
      <c r="A407" s="1604">
        <v>9.9</v>
      </c>
      <c r="B407" s="1590">
        <v>0.62849999999999995</v>
      </c>
      <c r="C407" s="1590">
        <v>0.62849999999999995</v>
      </c>
      <c r="D407" s="1590">
        <v>0.58550000000000002</v>
      </c>
      <c r="E407" s="1590">
        <v>0.58550000000000002</v>
      </c>
      <c r="F407" s="1590">
        <v>0.58550000000000002</v>
      </c>
      <c r="G407" s="1590">
        <v>0.50919999999999999</v>
      </c>
      <c r="H407" s="1590">
        <v>0.50919999999999999</v>
      </c>
      <c r="I407" s="1590">
        <v>0.432</v>
      </c>
      <c r="J407" s="1590">
        <v>0.432</v>
      </c>
      <c r="K407" s="1590">
        <v>0.432</v>
      </c>
      <c r="L407" s="1590">
        <v>0.432</v>
      </c>
      <c r="M407" s="1590">
        <v>0.432</v>
      </c>
    </row>
    <row r="408" spans="1:13">
      <c r="A408" s="1604">
        <v>10</v>
      </c>
      <c r="B408" s="1590">
        <v>0.62749999999999995</v>
      </c>
      <c r="C408" s="1590">
        <v>0.62749999999999995</v>
      </c>
      <c r="D408" s="1590">
        <v>0.58430000000000004</v>
      </c>
      <c r="E408" s="1590">
        <v>0.58430000000000004</v>
      </c>
      <c r="F408" s="1590">
        <v>0.58430000000000004</v>
      </c>
      <c r="G408" s="1590">
        <v>0.50790000000000002</v>
      </c>
      <c r="H408" s="1590">
        <v>0.50790000000000002</v>
      </c>
      <c r="I408" s="1590">
        <v>0.43070000000000003</v>
      </c>
      <c r="J408" s="1590">
        <v>0.43070000000000003</v>
      </c>
      <c r="K408" s="1590">
        <v>0.43070000000000003</v>
      </c>
      <c r="L408" s="1590">
        <v>0.43070000000000003</v>
      </c>
      <c r="M408" s="1590">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107" sqref="C107"/>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64" t="s">
        <v>3049</v>
      </c>
    </row>
    <row r="2" spans="1:5" ht="14.25">
      <c r="A2" s="3321" t="s">
        <v>207</v>
      </c>
      <c r="B2" s="3318" t="e">
        <f ca="1">SUMIF(B6:B13,"&lt;&gt;#ref!",B6:B13)</f>
        <v>#DIV/0!</v>
      </c>
      <c r="C2" s="3321" t="s">
        <v>2663</v>
      </c>
      <c r="D2" s="3321" t="s">
        <v>3044</v>
      </c>
      <c r="E2" s="3318" t="e">
        <f ca="1">SUM(E6:E13)</f>
        <v>#REF!</v>
      </c>
    </row>
    <row r="3" spans="1:5" ht="14.25">
      <c r="A3" s="3321" t="s">
        <v>8</v>
      </c>
      <c r="B3" s="3318" t="e">
        <f ca="1">ROUND(B2*10000/E2,0)</f>
        <v>#DIV/0!</v>
      </c>
      <c r="C3" s="3321" t="s">
        <v>2664</v>
      </c>
      <c r="D3" s="3319"/>
      <c r="E3" s="3319"/>
    </row>
    <row r="4" spans="1:5" ht="14.25">
      <c r="A4" s="3322"/>
      <c r="B4" s="3319"/>
      <c r="C4" s="3319"/>
      <c r="D4" s="3319"/>
      <c r="E4" s="3319"/>
    </row>
    <row r="5" spans="1:5" ht="28.5">
      <c r="A5" s="3323" t="s">
        <v>3047</v>
      </c>
      <c r="B5" s="3321" t="s">
        <v>3045</v>
      </c>
      <c r="C5" s="3318"/>
      <c r="D5" s="3319"/>
      <c r="E5" s="3321" t="s">
        <v>3046</v>
      </c>
    </row>
    <row r="6" spans="1:5" ht="14.25">
      <c r="A6" s="3324" t="s">
        <v>3048</v>
      </c>
      <c r="B6" s="3320" t="e">
        <f ca="1">SUMIF(INDIRECT("'"&amp;A6&amp;"'"&amp;"!A:A"),"总价",INDIRECT("'"&amp;A6&amp;"'"&amp;"!B:B"))</f>
        <v>#DIV/0!</v>
      </c>
      <c r="C6" s="3321" t="s">
        <v>2663</v>
      </c>
      <c r="D6" s="3319"/>
      <c r="E6" s="2770">
        <f ca="1">SUMIF(INDIRECT("'"&amp;A6&amp;"'"&amp;"!C:C"),"建筑面积",INDIRECT("'"&amp;A6&amp;"'"&amp;"!D:D"))</f>
        <v>0</v>
      </c>
    </row>
    <row r="7" spans="1:5" ht="14.25">
      <c r="A7" s="3324"/>
      <c r="B7" s="3320" t="e">
        <f ca="1">SUMIF(INDIRECT("'"&amp;A7&amp;"'"&amp;"!A:A"),"总价",INDIRECT("'"&amp;A7&amp;"'"&amp;"!B:B"))</f>
        <v>#REF!</v>
      </c>
      <c r="C7" s="3321" t="s">
        <v>2663</v>
      </c>
      <c r="D7" s="3319"/>
      <c r="E7" s="2770" t="e">
        <f t="shared" ref="E7:E13" ca="1" si="0">SUMIF(INDIRECT("'"&amp;A7&amp;"'"&amp;"!C:C"),"建筑面积",INDIRECT("'"&amp;A7&amp;"'"&amp;"!D:D"))</f>
        <v>#REF!</v>
      </c>
    </row>
    <row r="8" spans="1:5" ht="14.25">
      <c r="A8" s="3324"/>
      <c r="B8" s="3320" t="e">
        <f t="shared" ref="B8:B13" ca="1" si="1">SUMIF(INDIRECT("'"&amp;A8&amp;"'"&amp;"!A:A"),"总价",INDIRECT("'"&amp;A8&amp;"'"&amp;"!B:B"))</f>
        <v>#REF!</v>
      </c>
      <c r="C8" s="3321" t="s">
        <v>2663</v>
      </c>
      <c r="D8" s="3319"/>
      <c r="E8" s="2770" t="e">
        <f t="shared" ca="1" si="0"/>
        <v>#REF!</v>
      </c>
    </row>
    <row r="9" spans="1:5" ht="14.25">
      <c r="A9" s="3324"/>
      <c r="B9" s="3320" t="e">
        <f t="shared" ca="1" si="1"/>
        <v>#REF!</v>
      </c>
      <c r="C9" s="3321" t="s">
        <v>2663</v>
      </c>
      <c r="D9" s="3319"/>
      <c r="E9" s="2770" t="e">
        <f t="shared" ca="1" si="0"/>
        <v>#REF!</v>
      </c>
    </row>
    <row r="10" spans="1:5" ht="14.25">
      <c r="A10" s="3324"/>
      <c r="B10" s="3320" t="e">
        <f t="shared" ca="1" si="1"/>
        <v>#REF!</v>
      </c>
      <c r="C10" s="3321" t="s">
        <v>2663</v>
      </c>
      <c r="D10" s="3319"/>
      <c r="E10" s="2770" t="e">
        <f t="shared" ca="1" si="0"/>
        <v>#REF!</v>
      </c>
    </row>
    <row r="11" spans="1:5" ht="14.25">
      <c r="A11" s="3324"/>
      <c r="B11" s="3320" t="e">
        <f t="shared" ca="1" si="1"/>
        <v>#REF!</v>
      </c>
      <c r="C11" s="3321" t="s">
        <v>2663</v>
      </c>
      <c r="D11" s="3319"/>
      <c r="E11" s="2770" t="e">
        <f t="shared" ca="1" si="0"/>
        <v>#REF!</v>
      </c>
    </row>
    <row r="12" spans="1:5" ht="14.25">
      <c r="A12" s="3324"/>
      <c r="B12" s="3320" t="e">
        <f t="shared" ca="1" si="1"/>
        <v>#REF!</v>
      </c>
      <c r="C12" s="3321" t="s">
        <v>2663</v>
      </c>
      <c r="D12" s="3319"/>
      <c r="E12" s="2770" t="e">
        <f t="shared" ca="1" si="0"/>
        <v>#REF!</v>
      </c>
    </row>
    <row r="13" spans="1:5" ht="14.25">
      <c r="A13" s="3324"/>
      <c r="B13" s="3320" t="e">
        <f t="shared" ca="1" si="1"/>
        <v>#REF!</v>
      </c>
      <c r="C13" s="3321" t="s">
        <v>2663</v>
      </c>
      <c r="D13" s="3319"/>
      <c r="E13" s="277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07" sqref="C107"/>
    </sheetView>
  </sheetViews>
  <sheetFormatPr defaultRowHeight="12.75"/>
  <cols>
    <col min="1" max="1" width="9" style="2910"/>
    <col min="2" max="6" width="9" style="2910" customWidth="1"/>
    <col min="7" max="7" width="9" style="2925"/>
    <col min="8" max="8" width="9" style="2910"/>
    <col min="9" max="12" width="9" style="2910" customWidth="1"/>
    <col min="13" max="13" width="2.25" style="2910" customWidth="1"/>
    <col min="14" max="14" width="9" style="2925" customWidth="1"/>
    <col min="15" max="17" width="9" style="2910" customWidth="1"/>
    <col min="18" max="18" width="2.375" style="2910" customWidth="1"/>
    <col min="19" max="19" width="7.125" style="2925" customWidth="1"/>
    <col min="20" max="22" width="7.125" style="2910" customWidth="1"/>
    <col min="23" max="23" width="24.25" style="2910" customWidth="1"/>
    <col min="24" max="25" width="9" style="2910"/>
    <col min="26" max="27" width="11.625" style="2910" customWidth="1"/>
    <col min="28" max="28" width="9" style="2910"/>
    <col min="29" max="29" width="2" style="2910" customWidth="1"/>
    <col min="30" max="16384" width="9" style="2910"/>
  </cols>
  <sheetData>
    <row r="1" spans="1:34" s="2880" customFormat="1">
      <c r="B1" s="3764" t="s">
        <v>2705</v>
      </c>
      <c r="C1" s="3764"/>
      <c r="D1" s="3764"/>
      <c r="E1" s="3764"/>
      <c r="F1" s="3764"/>
      <c r="G1" s="3763" t="s">
        <v>2706</v>
      </c>
      <c r="H1" s="3763"/>
      <c r="I1" s="3763"/>
      <c r="J1" s="3763"/>
      <c r="K1" s="3763"/>
      <c r="L1" s="3763"/>
      <c r="N1" s="3763" t="s">
        <v>2707</v>
      </c>
      <c r="O1" s="3763"/>
      <c r="P1" s="3763"/>
      <c r="Q1" s="3763"/>
      <c r="R1" s="2881"/>
      <c r="S1" s="3763" t="s">
        <v>2708</v>
      </c>
      <c r="T1" s="3763"/>
      <c r="U1" s="3763"/>
      <c r="V1" s="3763"/>
      <c r="X1" s="3762" t="s">
        <v>2709</v>
      </c>
      <c r="Y1" s="3763"/>
      <c r="Z1" s="3763"/>
      <c r="AA1" s="3763"/>
      <c r="AB1" s="3763"/>
      <c r="AD1" s="3762" t="s">
        <v>2710</v>
      </c>
      <c r="AE1" s="3763"/>
      <c r="AF1" s="3763"/>
      <c r="AG1" s="3763"/>
      <c r="AH1" s="3763"/>
    </row>
    <row r="2" spans="1:34" s="2882" customFormat="1" ht="14.25" thickBot="1">
      <c r="B2" s="2883" t="s">
        <v>2711</v>
      </c>
      <c r="C2" s="2883" t="s">
        <v>2712</v>
      </c>
      <c r="D2" s="2884" t="s">
        <v>2713</v>
      </c>
      <c r="E2" s="2884" t="s">
        <v>2714</v>
      </c>
      <c r="F2" s="2883" t="s">
        <v>2715</v>
      </c>
      <c r="G2" s="2885"/>
      <c r="H2" s="2886"/>
      <c r="I2" s="2883" t="s">
        <v>2711</v>
      </c>
      <c r="J2" s="2884" t="s">
        <v>3050</v>
      </c>
      <c r="K2" s="2884" t="s">
        <v>1838</v>
      </c>
      <c r="L2" s="2883" t="s">
        <v>2715</v>
      </c>
      <c r="N2" s="2883" t="s">
        <v>2711</v>
      </c>
      <c r="O2" s="2884" t="s">
        <v>3050</v>
      </c>
      <c r="P2" s="2884" t="s">
        <v>1838</v>
      </c>
      <c r="Q2" s="2883" t="s">
        <v>2715</v>
      </c>
      <c r="R2" s="2887"/>
      <c r="S2" s="2883" t="s">
        <v>2711</v>
      </c>
      <c r="T2" s="2884" t="s">
        <v>3050</v>
      </c>
      <c r="U2" s="2884" t="s">
        <v>1838</v>
      </c>
      <c r="V2" s="2883" t="s">
        <v>2715</v>
      </c>
      <c r="X2" s="2883" t="s">
        <v>2711</v>
      </c>
      <c r="Y2" s="2883" t="s">
        <v>2712</v>
      </c>
      <c r="Z2" s="2884" t="s">
        <v>2713</v>
      </c>
      <c r="AA2" s="2884" t="s">
        <v>2714</v>
      </c>
      <c r="AB2" s="2883" t="s">
        <v>2715</v>
      </c>
      <c r="AD2" s="2883" t="s">
        <v>2711</v>
      </c>
      <c r="AE2" s="2883" t="s">
        <v>2712</v>
      </c>
      <c r="AF2" s="2884" t="s">
        <v>2713</v>
      </c>
      <c r="AG2" s="2884" t="s">
        <v>2714</v>
      </c>
      <c r="AH2" s="2883" t="s">
        <v>2715</v>
      </c>
    </row>
    <row r="3" spans="1:34" s="2888" customFormat="1" ht="15" thickBot="1">
      <c r="B3" s="2889"/>
      <c r="C3" s="2889"/>
      <c r="D3" s="2890"/>
      <c r="E3" s="2890"/>
      <c r="F3" s="2889"/>
      <c r="G3" s="2891"/>
      <c r="H3" s="2892"/>
      <c r="I3" s="2892"/>
      <c r="J3" s="2892"/>
      <c r="K3" s="2892"/>
      <c r="L3" s="2892"/>
      <c r="N3" s="2891"/>
      <c r="O3" s="2893"/>
      <c r="P3" s="2893"/>
      <c r="Q3" s="2893"/>
      <c r="R3" s="2893"/>
      <c r="S3" s="2891"/>
      <c r="T3" s="2893"/>
      <c r="U3" s="2893"/>
      <c r="V3" s="2893"/>
      <c r="X3" s="2894">
        <f>ROUND(SUMPRODUCT(PRODUCT(1+N3:N$18)),4)</f>
        <v>1.3963000000000001</v>
      </c>
      <c r="Y3" s="2894">
        <f>ROUND(SUMPRODUCT(PRODUCT(1+O3:O$18)),4)</f>
        <v>1.2401</v>
      </c>
      <c r="Z3" s="2894">
        <f t="shared" ref="Z3:Z16" si="0">Y3</f>
        <v>1.2401</v>
      </c>
      <c r="AA3" s="2894">
        <f>ROUND(SUMPRODUCT(PRODUCT(1+P3:P$18)),4)</f>
        <v>1.4508000000000001</v>
      </c>
      <c r="AB3" s="2894">
        <f>ROUND(SUMPRODUCT(PRODUCT(1+Q3:Q$18)),4)</f>
        <v>1.2094</v>
      </c>
      <c r="AD3" s="2895">
        <f>ROUND(AVERAGE(I3:I$19)/100,4)</f>
        <v>2.46E-2</v>
      </c>
      <c r="AE3" s="2895">
        <f>ROUND(AVERAGE(J3:J$19)/100,4)</f>
        <v>1.6E-2</v>
      </c>
      <c r="AF3" s="2895">
        <f t="shared" ref="AF3:AF17" si="1">AE3</f>
        <v>1.6E-2</v>
      </c>
      <c r="AG3" s="2895">
        <f>ROUND(AVERAGE(K3:K$19)/100,4)</f>
        <v>2.75E-2</v>
      </c>
      <c r="AH3" s="2895">
        <f>ROUND(AVERAGE(L3:L$19)/100,4)</f>
        <v>1.37E-2</v>
      </c>
    </row>
    <row r="4" spans="1:34" s="2880" customFormat="1">
      <c r="A4" s="2896" t="s">
        <v>2716</v>
      </c>
      <c r="B4" s="2897"/>
      <c r="C4" s="2897"/>
      <c r="D4" s="2897"/>
      <c r="E4" s="2897"/>
      <c r="F4" s="2897"/>
      <c r="G4" s="3765">
        <v>2017</v>
      </c>
      <c r="H4" s="2898">
        <v>4</v>
      </c>
      <c r="I4" s="2898"/>
      <c r="J4" s="2898"/>
      <c r="K4" s="2898"/>
      <c r="L4" s="2899"/>
      <c r="N4" s="2900"/>
      <c r="O4" s="2881"/>
      <c r="P4" s="2881"/>
      <c r="Q4" s="2881"/>
      <c r="R4" s="2881"/>
      <c r="S4" s="2900"/>
      <c r="T4" s="2881"/>
      <c r="U4" s="2881"/>
      <c r="V4" s="2881"/>
      <c r="X4" s="2894">
        <f>ROUND(SUMPRODUCT(PRODUCT(1+N4:N$18)),4)</f>
        <v>1.3963000000000001</v>
      </c>
      <c r="Y4" s="2894">
        <f>ROUND(SUMPRODUCT(PRODUCT(1+O4:O$18)),4)</f>
        <v>1.2401</v>
      </c>
      <c r="Z4" s="2894">
        <f t="shared" si="0"/>
        <v>1.2401</v>
      </c>
      <c r="AA4" s="2894">
        <f>ROUND(SUMPRODUCT(PRODUCT(1+P4:P$18)),4)</f>
        <v>1.4508000000000001</v>
      </c>
      <c r="AB4" s="2894">
        <f>ROUND(SUMPRODUCT(PRODUCT(1+Q4:Q$18)),4)</f>
        <v>1.2094</v>
      </c>
      <c r="AD4" s="2895">
        <f>ROUND(AVERAGE(I4:I$19)/100,4)</f>
        <v>2.46E-2</v>
      </c>
      <c r="AE4" s="2895">
        <f>ROUND(AVERAGE(J4:J$19)/100,4)</f>
        <v>1.6E-2</v>
      </c>
      <c r="AF4" s="2895">
        <f t="shared" si="1"/>
        <v>1.6E-2</v>
      </c>
      <c r="AG4" s="2895">
        <f>ROUND(AVERAGE(K4:K$19)/100,4)</f>
        <v>2.75E-2</v>
      </c>
      <c r="AH4" s="2895">
        <f>ROUND(AVERAGE(L4:L$19)/100,4)</f>
        <v>1.37E-2</v>
      </c>
    </row>
    <row r="5" spans="1:34" s="3220" customFormat="1">
      <c r="A5" s="3218" t="s">
        <v>2717</v>
      </c>
      <c r="B5" s="3329">
        <f t="shared" ref="B5:B6" si="2">B6*(1+N5)</f>
        <v>429.62688667359998</v>
      </c>
      <c r="C5" s="3329">
        <f t="shared" ref="C5:C6" si="3">C6*(1+O5)</f>
        <v>318.97763788800006</v>
      </c>
      <c r="D5" s="3329">
        <f t="shared" ref="D5:D6" si="4">C5</f>
        <v>318.97763788800006</v>
      </c>
      <c r="E5" s="3329">
        <f t="shared" ref="E5:E6" si="5">E6*(1+P5)</f>
        <v>613.03761713879999</v>
      </c>
      <c r="F5" s="3329">
        <f t="shared" ref="F5:F6" si="6">F6*(1+Q5)</f>
        <v>278.506175276448</v>
      </c>
      <c r="G5" s="3760"/>
      <c r="H5" s="3219">
        <v>3</v>
      </c>
      <c r="I5" s="2903">
        <f>ROUND(AVERAGE(I6:I19),2)</f>
        <v>2.46</v>
      </c>
      <c r="J5" s="2903">
        <f>ROUND(AVERAGE(J6:J19),2)</f>
        <v>1.6</v>
      </c>
      <c r="K5" s="2903">
        <f>ROUND(AVERAGE(K6:K19),2)</f>
        <v>2.75</v>
      </c>
      <c r="L5" s="2903">
        <f>ROUND(AVERAGE(L6:L19),2)</f>
        <v>1.37</v>
      </c>
      <c r="N5" s="2905">
        <f>I5/100</f>
        <v>2.46E-2</v>
      </c>
      <c r="O5" s="2905">
        <f t="shared" ref="O5" si="7">J5/100</f>
        <v>1.6E-2</v>
      </c>
      <c r="P5" s="2905">
        <f t="shared" ref="P5" si="8">K5/100</f>
        <v>2.75E-2</v>
      </c>
      <c r="Q5" s="2905">
        <f t="shared" ref="Q5" si="9">L5/100</f>
        <v>1.37E-2</v>
      </c>
      <c r="R5" s="3221"/>
      <c r="S5" s="3222"/>
      <c r="T5" s="3221"/>
      <c r="U5" s="3221"/>
      <c r="V5" s="3221"/>
      <c r="W5" s="2906" t="s">
        <v>2719</v>
      </c>
      <c r="X5" s="3211">
        <f>ROUND(SUMPRODUCT(PRODUCT(1+N5:N$18)),4)</f>
        <v>1.3963000000000001</v>
      </c>
      <c r="Y5" s="3211">
        <f>ROUND(SUMPRODUCT(PRODUCT(1+O5:O$18)),4)</f>
        <v>1.2401</v>
      </c>
      <c r="Z5" s="3211">
        <f t="shared" si="0"/>
        <v>1.2401</v>
      </c>
      <c r="AA5" s="3211">
        <f>ROUND(SUMPRODUCT(PRODUCT(1+P5:P$18)),4)</f>
        <v>1.4508000000000001</v>
      </c>
      <c r="AB5" s="3211">
        <f>ROUND(SUMPRODUCT(PRODUCT(1+Q5:Q$18)),4)</f>
        <v>1.2094</v>
      </c>
      <c r="AD5" s="2907">
        <f>ROUND(AVERAGE(I5:I$19)/100,4)</f>
        <v>2.46E-2</v>
      </c>
      <c r="AE5" s="2907">
        <f>ROUND(AVERAGE(J5:J$19)/100,4)</f>
        <v>1.6E-2</v>
      </c>
      <c r="AF5" s="2907">
        <f t="shared" si="1"/>
        <v>1.6E-2</v>
      </c>
      <c r="AG5" s="2907">
        <f>ROUND(AVERAGE(K5:K$19)/100,4)</f>
        <v>2.75E-2</v>
      </c>
      <c r="AH5" s="2907">
        <f>ROUND(AVERAGE(L5:L$19)/100,4)</f>
        <v>1.37E-2</v>
      </c>
    </row>
    <row r="6" spans="1:34" s="3220" customFormat="1">
      <c r="A6" s="2896" t="s">
        <v>3051</v>
      </c>
      <c r="B6" s="2916">
        <f t="shared" si="2"/>
        <v>419.31181600000002</v>
      </c>
      <c r="C6" s="2916">
        <f t="shared" si="3"/>
        <v>313.95436800000004</v>
      </c>
      <c r="D6" s="2916">
        <f t="shared" si="4"/>
        <v>313.95436800000004</v>
      </c>
      <c r="E6" s="2916">
        <f t="shared" si="5"/>
        <v>596.63028431999999</v>
      </c>
      <c r="F6" s="2916">
        <f t="shared" si="6"/>
        <v>274.74220703999998</v>
      </c>
      <c r="G6" s="3760"/>
      <c r="H6" s="2902">
        <v>2</v>
      </c>
      <c r="I6" s="2902">
        <v>3.4</v>
      </c>
      <c r="J6" s="2902">
        <v>2</v>
      </c>
      <c r="K6" s="2902">
        <v>3.82</v>
      </c>
      <c r="L6" s="2918">
        <v>1.68</v>
      </c>
      <c r="M6" s="2910"/>
      <c r="N6" s="2911">
        <f>I6/100</f>
        <v>3.4000000000000002E-2</v>
      </c>
      <c r="O6" s="2912">
        <f t="shared" ref="O6" si="10">J6/100</f>
        <v>0.02</v>
      </c>
      <c r="P6" s="2912">
        <f t="shared" ref="P6" si="11">K6/100</f>
        <v>3.8199999999999998E-2</v>
      </c>
      <c r="Q6" s="2912">
        <f t="shared" ref="Q6" si="12">L6/100</f>
        <v>1.6799999999999999E-2</v>
      </c>
      <c r="R6" s="2913"/>
      <c r="S6" s="2914"/>
      <c r="T6" s="2915"/>
      <c r="U6" s="2915"/>
      <c r="V6" s="2915"/>
      <c r="W6" s="2888"/>
      <c r="X6" s="3326">
        <f>ROUND(SUMPRODUCT(PRODUCT(1+N6:N$18)),4)</f>
        <v>1.3628</v>
      </c>
      <c r="Y6" s="3326">
        <f>ROUND(SUMPRODUCT(PRODUCT(1+O6:O$18)),4)</f>
        <v>1.2205999999999999</v>
      </c>
      <c r="Z6" s="3326">
        <f t="shared" si="0"/>
        <v>1.2205999999999999</v>
      </c>
      <c r="AA6" s="3326">
        <f>ROUND(SUMPRODUCT(PRODUCT(1+P6:P$18)),4)</f>
        <v>1.4118999999999999</v>
      </c>
      <c r="AB6" s="3326">
        <f>ROUND(SUMPRODUCT(PRODUCT(1+Q6:Q$18)),4)</f>
        <v>1.1930000000000001</v>
      </c>
      <c r="AC6" s="2888"/>
      <c r="AD6" s="3327">
        <f>ROUND(AVERAGE(I6:I$19)/100,4)</f>
        <v>2.46E-2</v>
      </c>
      <c r="AE6" s="3327">
        <f>ROUND(AVERAGE(J6:J$19)/100,4)</f>
        <v>1.6E-2</v>
      </c>
      <c r="AF6" s="3327">
        <f t="shared" si="1"/>
        <v>1.6E-2</v>
      </c>
      <c r="AG6" s="3327">
        <f>ROUND(AVERAGE(K6:K$19)/100,4)</f>
        <v>2.75E-2</v>
      </c>
      <c r="AH6" s="3327">
        <f>ROUND(AVERAGE(L6:L$19)/100,4)</f>
        <v>1.37E-2</v>
      </c>
    </row>
    <row r="7" spans="1:34" s="2904" customFormat="1" ht="13.5" thickBot="1">
      <c r="A7" s="2896" t="s">
        <v>2718</v>
      </c>
      <c r="B7" s="2916">
        <f>B8*(1+N7)</f>
        <v>405.524</v>
      </c>
      <c r="C7" s="2916">
        <f>C8*(1+O7)</f>
        <v>307.79840000000002</v>
      </c>
      <c r="D7" s="2916">
        <f>C7</f>
        <v>307.79840000000002</v>
      </c>
      <c r="E7" s="2916">
        <f>E8*(1+P7)</f>
        <v>574.67759999999998</v>
      </c>
      <c r="F7" s="2916">
        <f>F8*(1+Q7)</f>
        <v>270.20280000000002</v>
      </c>
      <c r="G7" s="3761"/>
      <c r="H7" s="2901">
        <v>1</v>
      </c>
      <c r="I7" s="2901">
        <v>3.45</v>
      </c>
      <c r="J7" s="2901">
        <v>1.92</v>
      </c>
      <c r="K7" s="2901">
        <v>3.92</v>
      </c>
      <c r="L7" s="2917">
        <v>1.58</v>
      </c>
      <c r="M7" s="2910"/>
      <c r="N7" s="2911">
        <f>I7/100</f>
        <v>3.4500000000000003E-2</v>
      </c>
      <c r="O7" s="2912">
        <f t="shared" ref="O7:Q22" si="13">J7/100</f>
        <v>1.9199999999999998E-2</v>
      </c>
      <c r="P7" s="2912">
        <f t="shared" si="13"/>
        <v>3.9199999999999999E-2</v>
      </c>
      <c r="Q7" s="2912">
        <f t="shared" si="13"/>
        <v>1.5800000000000002E-2</v>
      </c>
      <c r="R7" s="2913"/>
      <c r="S7" s="2911">
        <f>B7/B8-1</f>
        <v>3.4499999999999975E-2</v>
      </c>
      <c r="T7" s="2912">
        <f t="shared" ref="T7:V7" si="14">C7/C8-1</f>
        <v>1.9200000000000106E-2</v>
      </c>
      <c r="U7" s="2912">
        <f t="shared" si="14"/>
        <v>1.9200000000000106E-2</v>
      </c>
      <c r="V7" s="2912">
        <f t="shared" si="14"/>
        <v>3.9199999999999902E-2</v>
      </c>
      <c r="W7" s="3328"/>
      <c r="X7" s="3326">
        <f>ROUND(SUMPRODUCT(PRODUCT(1+N7:N$18)),4)</f>
        <v>1.3180000000000001</v>
      </c>
      <c r="Y7" s="3326">
        <f>ROUND(SUMPRODUCT(PRODUCT(1+O7:O$18)),4)</f>
        <v>1.1966000000000001</v>
      </c>
      <c r="Z7" s="3326">
        <f t="shared" si="0"/>
        <v>1.1966000000000001</v>
      </c>
      <c r="AA7" s="3326">
        <f>ROUND(SUMPRODUCT(PRODUCT(1+P7:P$18)),4)</f>
        <v>1.36</v>
      </c>
      <c r="AB7" s="3326">
        <f>ROUND(SUMPRODUCT(PRODUCT(1+Q7:Q$18)),4)</f>
        <v>1.1733</v>
      </c>
      <c r="AC7" s="3328"/>
      <c r="AD7" s="3327">
        <f>ROUND(AVERAGE(I7:I$19)/100,4)</f>
        <v>2.3900000000000001E-2</v>
      </c>
      <c r="AE7" s="3327">
        <f>ROUND(AVERAGE(J7:J$19)/100,4)</f>
        <v>1.5699999999999999E-2</v>
      </c>
      <c r="AF7" s="3327">
        <f t="shared" si="1"/>
        <v>1.5699999999999999E-2</v>
      </c>
      <c r="AG7" s="3327">
        <f>ROUND(AVERAGE(K7:K$19)/100,4)</f>
        <v>2.6599999999999999E-2</v>
      </c>
      <c r="AH7" s="3327">
        <f>ROUND(AVERAGE(L7:L$19)/100,4)</f>
        <v>1.34E-2</v>
      </c>
    </row>
    <row r="8" spans="1:34">
      <c r="A8" s="2896" t="s">
        <v>1153</v>
      </c>
      <c r="B8" s="2908">
        <v>392</v>
      </c>
      <c r="C8" s="2908">
        <v>302</v>
      </c>
      <c r="D8" s="2908">
        <f>C8</f>
        <v>302</v>
      </c>
      <c r="E8" s="2908">
        <v>553</v>
      </c>
      <c r="F8" s="2909">
        <v>266</v>
      </c>
      <c r="G8" s="3765">
        <v>2016</v>
      </c>
      <c r="H8" s="2898">
        <v>4</v>
      </c>
      <c r="I8" s="2898">
        <v>4.5599999999999996</v>
      </c>
      <c r="J8" s="2898">
        <v>2.15</v>
      </c>
      <c r="K8" s="2898">
        <v>5.32</v>
      </c>
      <c r="L8" s="2899">
        <v>1.57</v>
      </c>
      <c r="N8" s="2911">
        <f>I8/100</f>
        <v>4.5599999999999995E-2</v>
      </c>
      <c r="O8" s="2912">
        <f t="shared" si="13"/>
        <v>2.1499999999999998E-2</v>
      </c>
      <c r="P8" s="2912">
        <f t="shared" si="13"/>
        <v>5.3200000000000004E-2</v>
      </c>
      <c r="Q8" s="2912">
        <f t="shared" si="13"/>
        <v>1.5700000000000002E-2</v>
      </c>
      <c r="R8" s="2913"/>
      <c r="S8" s="2914"/>
      <c r="T8" s="2915"/>
      <c r="U8" s="2915"/>
      <c r="V8" s="2915"/>
      <c r="X8" s="2894">
        <f>ROUND(SUMPRODUCT(PRODUCT(1+N8:N$18)),4)</f>
        <v>1.274</v>
      </c>
      <c r="Y8" s="2894">
        <f>ROUND(SUMPRODUCT(PRODUCT(1+O8:O$18)),4)</f>
        <v>1.1740999999999999</v>
      </c>
      <c r="Z8" s="2894">
        <f t="shared" si="0"/>
        <v>1.1740999999999999</v>
      </c>
      <c r="AA8" s="2894">
        <f>ROUND(SUMPRODUCT(PRODUCT(1+P8:P$18)),4)</f>
        <v>1.3087</v>
      </c>
      <c r="AB8" s="2894">
        <f>ROUND(SUMPRODUCT(PRODUCT(1+Q8:Q$18)),4)</f>
        <v>1.1551</v>
      </c>
      <c r="AD8" s="2895">
        <f>ROUND(AVERAGE(I8:I$19)/100,4)</f>
        <v>2.3E-2</v>
      </c>
      <c r="AE8" s="2895">
        <f>ROUND(AVERAGE(J8:J$19)/100,4)</f>
        <v>1.55E-2</v>
      </c>
      <c r="AF8" s="2895">
        <f t="shared" si="1"/>
        <v>1.55E-2</v>
      </c>
      <c r="AG8" s="2895">
        <f>ROUND(AVERAGE(K8:K$19)/100,4)</f>
        <v>2.5600000000000001E-2</v>
      </c>
      <c r="AH8" s="2895">
        <f>ROUND(AVERAGE(L8:L$19)/100,4)</f>
        <v>1.32E-2</v>
      </c>
    </row>
    <row r="9" spans="1:34">
      <c r="A9" s="2896" t="s">
        <v>1152</v>
      </c>
      <c r="B9" s="2916">
        <f t="shared" ref="B9:C11" si="15">B8/(1+N8)</f>
        <v>374.90436113236416</v>
      </c>
      <c r="C9" s="2916">
        <f t="shared" si="15"/>
        <v>295.64366128242779</v>
      </c>
      <c r="D9" s="2916">
        <f t="shared" ref="D9:D68" si="16">C9</f>
        <v>295.64366128242779</v>
      </c>
      <c r="E9" s="2916">
        <f t="shared" ref="E9:F11" si="17">E8/(1+P8)</f>
        <v>525.06646410938095</v>
      </c>
      <c r="F9" s="2916">
        <f t="shared" si="17"/>
        <v>261.88835286009646</v>
      </c>
      <c r="G9" s="3760"/>
      <c r="H9" s="2901">
        <v>3</v>
      </c>
      <c r="I9" s="2901">
        <v>4.12</v>
      </c>
      <c r="J9" s="2901">
        <v>2</v>
      </c>
      <c r="K9" s="2901">
        <v>4.79</v>
      </c>
      <c r="L9" s="2917">
        <v>1.97</v>
      </c>
      <c r="N9" s="2911">
        <f t="shared" ref="N9:Q43" si="18">I9/100</f>
        <v>4.1200000000000001E-2</v>
      </c>
      <c r="O9" s="2912">
        <f t="shared" si="13"/>
        <v>0.02</v>
      </c>
      <c r="P9" s="2912">
        <f t="shared" si="13"/>
        <v>4.7899999999999998E-2</v>
      </c>
      <c r="Q9" s="2912">
        <f t="shared" si="13"/>
        <v>1.9699999999999999E-2</v>
      </c>
      <c r="R9" s="2913"/>
      <c r="S9" s="2911"/>
      <c r="T9" s="2912"/>
      <c r="U9" s="2912"/>
      <c r="V9" s="2912"/>
      <c r="X9" s="2894">
        <f>ROUND(SUMPRODUCT(PRODUCT(1+N9:N$18)),4)</f>
        <v>1.2184999999999999</v>
      </c>
      <c r="Y9" s="2894">
        <f>ROUND(SUMPRODUCT(PRODUCT(1+O9:O$18)),4)</f>
        <v>1.1494</v>
      </c>
      <c r="Z9" s="2894">
        <f t="shared" si="0"/>
        <v>1.1494</v>
      </c>
      <c r="AA9" s="2894">
        <f>ROUND(SUMPRODUCT(PRODUCT(1+P9:P$18)),4)</f>
        <v>1.2425999999999999</v>
      </c>
      <c r="AB9" s="2894">
        <f>ROUND(SUMPRODUCT(PRODUCT(1+Q9:Q$18)),4)</f>
        <v>1.1372</v>
      </c>
      <c r="AD9" s="2895">
        <f>ROUND(AVERAGE(I9:I$19)/100,4)</f>
        <v>2.0899999999999998E-2</v>
      </c>
      <c r="AE9" s="2895">
        <f>ROUND(AVERAGE(J9:J$19)/100,4)</f>
        <v>1.49E-2</v>
      </c>
      <c r="AF9" s="2895">
        <f t="shared" si="1"/>
        <v>1.49E-2</v>
      </c>
      <c r="AG9" s="2895">
        <f>ROUND(AVERAGE(K9:K$19)/100,4)</f>
        <v>2.3099999999999999E-2</v>
      </c>
      <c r="AH9" s="2895">
        <f>ROUND(AVERAGE(L9:L$19)/100,4)</f>
        <v>1.2999999999999999E-2</v>
      </c>
    </row>
    <row r="10" spans="1:34">
      <c r="A10" s="2896" t="s">
        <v>1142</v>
      </c>
      <c r="B10" s="2916">
        <f t="shared" si="15"/>
        <v>360.06949782209392</v>
      </c>
      <c r="C10" s="2916">
        <f t="shared" si="15"/>
        <v>289.84672674747821</v>
      </c>
      <c r="D10" s="2916">
        <f t="shared" si="16"/>
        <v>289.84672674747821</v>
      </c>
      <c r="E10" s="2916">
        <f t="shared" si="17"/>
        <v>501.06543001181495</v>
      </c>
      <c r="F10" s="2916">
        <f t="shared" si="17"/>
        <v>256.82882500744967</v>
      </c>
      <c r="G10" s="3760"/>
      <c r="H10" s="2902">
        <v>2</v>
      </c>
      <c r="I10" s="2902">
        <v>3.85</v>
      </c>
      <c r="J10" s="2902">
        <v>1.95</v>
      </c>
      <c r="K10" s="2902">
        <v>4.4800000000000004</v>
      </c>
      <c r="L10" s="2918">
        <v>1.41</v>
      </c>
      <c r="N10" s="2911">
        <f t="shared" si="18"/>
        <v>3.85E-2</v>
      </c>
      <c r="O10" s="2912">
        <f t="shared" si="13"/>
        <v>1.95E-2</v>
      </c>
      <c r="P10" s="2912">
        <f t="shared" si="13"/>
        <v>4.4800000000000006E-2</v>
      </c>
      <c r="Q10" s="2912">
        <f t="shared" si="13"/>
        <v>1.41E-2</v>
      </c>
      <c r="R10" s="2913"/>
      <c r="S10" s="2911"/>
      <c r="T10" s="2912"/>
      <c r="U10" s="2912"/>
      <c r="V10" s="2912"/>
      <c r="X10" s="2894">
        <f>ROUND(SUMPRODUCT(PRODUCT(1+N10:N$18)),4)</f>
        <v>1.1702999999999999</v>
      </c>
      <c r="Y10" s="2894">
        <f>ROUND(SUMPRODUCT(PRODUCT(1+O10:O$18)),4)</f>
        <v>1.1269</v>
      </c>
      <c r="Z10" s="2894">
        <f t="shared" si="0"/>
        <v>1.1269</v>
      </c>
      <c r="AA10" s="2894">
        <f>ROUND(SUMPRODUCT(PRODUCT(1+P10:P$18)),4)</f>
        <v>1.1858</v>
      </c>
      <c r="AB10" s="2894">
        <f>ROUND(SUMPRODUCT(PRODUCT(1+Q10:Q$18)),4)</f>
        <v>1.1152</v>
      </c>
      <c r="AD10" s="2895">
        <f>ROUND(AVERAGE(I10:I$19)/100,4)</f>
        <v>1.89E-2</v>
      </c>
      <c r="AE10" s="2895">
        <f>ROUND(AVERAGE(J10:J$19)/100,4)</f>
        <v>1.44E-2</v>
      </c>
      <c r="AF10" s="2895">
        <f t="shared" si="1"/>
        <v>1.44E-2</v>
      </c>
      <c r="AG10" s="2895">
        <f>ROUND(AVERAGE(K10:K$19)/100,4)</f>
        <v>2.06E-2</v>
      </c>
      <c r="AH10" s="2895">
        <f>ROUND(AVERAGE(L10:L$19)/100,4)</f>
        <v>1.23E-2</v>
      </c>
    </row>
    <row r="11" spans="1:34" ht="13.5" thickBot="1">
      <c r="A11" s="2896" t="s">
        <v>1151</v>
      </c>
      <c r="B11" s="2916">
        <f t="shared" si="15"/>
        <v>346.720748986128</v>
      </c>
      <c r="C11" s="2916">
        <f t="shared" si="15"/>
        <v>284.30282172386285</v>
      </c>
      <c r="D11" s="2916">
        <f t="shared" si="16"/>
        <v>284.30282172386285</v>
      </c>
      <c r="E11" s="2916">
        <f t="shared" si="17"/>
        <v>479.58023546306947</v>
      </c>
      <c r="F11" s="2916">
        <f t="shared" si="17"/>
        <v>253.25788877571213</v>
      </c>
      <c r="G11" s="3761"/>
      <c r="H11" s="2901">
        <v>1</v>
      </c>
      <c r="I11" s="2901">
        <v>4.09</v>
      </c>
      <c r="J11" s="2901">
        <v>2.93</v>
      </c>
      <c r="K11" s="2901">
        <v>4.54</v>
      </c>
      <c r="L11" s="2917">
        <v>1.48</v>
      </c>
      <c r="N11" s="2911">
        <f t="shared" si="18"/>
        <v>4.0899999999999999E-2</v>
      </c>
      <c r="O11" s="2912">
        <f t="shared" si="13"/>
        <v>2.9300000000000003E-2</v>
      </c>
      <c r="P11" s="2912">
        <f t="shared" si="13"/>
        <v>4.5400000000000003E-2</v>
      </c>
      <c r="Q11" s="2912">
        <f t="shared" si="13"/>
        <v>1.4800000000000001E-2</v>
      </c>
      <c r="R11" s="2913"/>
      <c r="S11" s="2919">
        <f>B11/B12-1</f>
        <v>4.1203450408792808E-2</v>
      </c>
      <c r="T11" s="2920">
        <f>C11/C12-1</f>
        <v>2.6363977342465095E-2</v>
      </c>
      <c r="U11" s="2920">
        <f>E11/E12-1</f>
        <v>4.4837114298626357E-2</v>
      </c>
      <c r="V11" s="2920">
        <f>F11/F12-1</f>
        <v>1.7099954922538574E-2</v>
      </c>
      <c r="X11" s="2894">
        <f>ROUND(SUMPRODUCT(PRODUCT(1+N11:N$18)),4)</f>
        <v>1.1269</v>
      </c>
      <c r="Y11" s="2894">
        <f>ROUND(SUMPRODUCT(PRODUCT(1+O11:O$18)),4)</f>
        <v>1.1052999999999999</v>
      </c>
      <c r="Z11" s="2894">
        <f t="shared" si="0"/>
        <v>1.1052999999999999</v>
      </c>
      <c r="AA11" s="2894">
        <f>ROUND(SUMPRODUCT(PRODUCT(1+P11:P$18)),4)</f>
        <v>1.1349</v>
      </c>
      <c r="AB11" s="2894">
        <f>ROUND(SUMPRODUCT(PRODUCT(1+Q11:Q$18)),4)</f>
        <v>1.0996999999999999</v>
      </c>
      <c r="AD11" s="2895">
        <f>ROUND(AVERAGE(I11:I$19)/100,4)</f>
        <v>1.67E-2</v>
      </c>
      <c r="AE11" s="2895">
        <f>ROUND(AVERAGE(J11:J$19)/100,4)</f>
        <v>1.38E-2</v>
      </c>
      <c r="AF11" s="2895">
        <f t="shared" si="1"/>
        <v>1.38E-2</v>
      </c>
      <c r="AG11" s="2895">
        <f>ROUND(AVERAGE(K11:K$19)/100,4)</f>
        <v>1.7899999999999999E-2</v>
      </c>
      <c r="AH11" s="2895">
        <f>ROUND(AVERAGE(L11:L$19)/100,4)</f>
        <v>1.21E-2</v>
      </c>
    </row>
    <row r="12" spans="1:34" ht="13.5" thickBot="1">
      <c r="A12" s="2896" t="s">
        <v>1150</v>
      </c>
      <c r="B12" s="2908">
        <v>333</v>
      </c>
      <c r="C12" s="2908">
        <v>277</v>
      </c>
      <c r="D12" s="2908">
        <f t="shared" si="16"/>
        <v>277</v>
      </c>
      <c r="E12" s="2908">
        <v>459</v>
      </c>
      <c r="F12" s="2909">
        <v>249</v>
      </c>
      <c r="G12" s="3759">
        <v>2015</v>
      </c>
      <c r="H12" s="2921">
        <v>4</v>
      </c>
      <c r="I12" s="2921">
        <v>1.63</v>
      </c>
      <c r="J12" s="2921">
        <v>1.1100000000000001</v>
      </c>
      <c r="K12" s="2921">
        <v>1.77</v>
      </c>
      <c r="L12" s="2922">
        <v>1.89</v>
      </c>
      <c r="N12" s="2923">
        <f t="shared" si="18"/>
        <v>1.6299999999999999E-2</v>
      </c>
      <c r="O12" s="2924">
        <f t="shared" si="13"/>
        <v>1.11E-2</v>
      </c>
      <c r="P12" s="2924">
        <f t="shared" si="13"/>
        <v>1.77E-2</v>
      </c>
      <c r="Q12" s="2924">
        <f t="shared" si="13"/>
        <v>1.89E-2</v>
      </c>
      <c r="R12" s="2913"/>
      <c r="X12" s="2894">
        <f>ROUND(SUMPRODUCT(PRODUCT(1+N12:N$18)),4)</f>
        <v>1.0826</v>
      </c>
      <c r="Y12" s="2894">
        <f>ROUND(SUMPRODUCT(PRODUCT(1+O12:O$18)),4)</f>
        <v>1.0738000000000001</v>
      </c>
      <c r="Z12" s="2894">
        <f t="shared" si="0"/>
        <v>1.0738000000000001</v>
      </c>
      <c r="AA12" s="2894">
        <f>ROUND(SUMPRODUCT(PRODUCT(1+P12:P$18)),4)</f>
        <v>1.0855999999999999</v>
      </c>
      <c r="AB12" s="2894">
        <f>ROUND(SUMPRODUCT(PRODUCT(1+Q12:Q$18)),4)</f>
        <v>1.0837000000000001</v>
      </c>
      <c r="AD12" s="2895">
        <f>ROUND(AVERAGE(I12:I$19)/100,4)</f>
        <v>1.37E-2</v>
      </c>
      <c r="AE12" s="2895">
        <f>ROUND(AVERAGE(J12:J$19)/100,4)</f>
        <v>1.1900000000000001E-2</v>
      </c>
      <c r="AF12" s="2895">
        <f t="shared" si="1"/>
        <v>1.1900000000000001E-2</v>
      </c>
      <c r="AG12" s="2895">
        <f>ROUND(AVERAGE(K12:K$19)/100,4)</f>
        <v>1.4500000000000001E-2</v>
      </c>
      <c r="AH12" s="2895">
        <f>ROUND(AVERAGE(L12:L$19)/100,4)</f>
        <v>1.18E-2</v>
      </c>
    </row>
    <row r="13" spans="1:34">
      <c r="A13" s="2896" t="s">
        <v>1149</v>
      </c>
      <c r="B13" s="2916">
        <f t="shared" ref="B13:C15" si="19">B12/(1+N12)</f>
        <v>327.65915576109415</v>
      </c>
      <c r="C13" s="2916">
        <f t="shared" si="19"/>
        <v>273.95905449510434</v>
      </c>
      <c r="D13" s="2916">
        <f t="shared" si="16"/>
        <v>273.95905449510434</v>
      </c>
      <c r="E13" s="2916">
        <f t="shared" ref="E13:F15" si="20">E12/(1+P12)</f>
        <v>451.01699911565294</v>
      </c>
      <c r="F13" s="2916">
        <f t="shared" si="20"/>
        <v>244.38119540681129</v>
      </c>
      <c r="G13" s="3760"/>
      <c r="H13" s="2926">
        <v>3</v>
      </c>
      <c r="I13" s="2926">
        <v>1.65</v>
      </c>
      <c r="J13" s="2926">
        <v>0.92</v>
      </c>
      <c r="K13" s="2926">
        <v>1.88</v>
      </c>
      <c r="L13" s="2927">
        <v>1.26</v>
      </c>
      <c r="N13" s="2911">
        <f t="shared" si="18"/>
        <v>1.6500000000000001E-2</v>
      </c>
      <c r="O13" s="2928">
        <f t="shared" si="13"/>
        <v>9.1999999999999998E-3</v>
      </c>
      <c r="P13" s="2928">
        <f t="shared" si="13"/>
        <v>1.8799999999999997E-2</v>
      </c>
      <c r="Q13" s="2928">
        <f t="shared" si="13"/>
        <v>1.26E-2</v>
      </c>
      <c r="R13" s="2913"/>
      <c r="S13" s="2911"/>
      <c r="T13" s="2912"/>
      <c r="U13" s="2912"/>
      <c r="V13" s="2912"/>
      <c r="X13" s="2894">
        <f>ROUND(SUMPRODUCT(PRODUCT(1+N13:N$18)),4)</f>
        <v>1.0651999999999999</v>
      </c>
      <c r="Y13" s="2894">
        <f>ROUND(SUMPRODUCT(PRODUCT(1+O13:O$18)),4)</f>
        <v>1.0621</v>
      </c>
      <c r="Z13" s="2894">
        <f t="shared" si="0"/>
        <v>1.0621</v>
      </c>
      <c r="AA13" s="2894">
        <f>ROUND(SUMPRODUCT(PRODUCT(1+P13:P$18)),4)</f>
        <v>1.0668</v>
      </c>
      <c r="AB13" s="2894">
        <f>ROUND(SUMPRODUCT(PRODUCT(1+Q13:Q$18)),4)</f>
        <v>1.0636000000000001</v>
      </c>
      <c r="AD13" s="2895">
        <f>ROUND(AVERAGE(I13:I$19)/100,4)</f>
        <v>1.3299999999999999E-2</v>
      </c>
      <c r="AE13" s="2895">
        <f>ROUND(AVERAGE(J13:J$19)/100,4)</f>
        <v>1.2E-2</v>
      </c>
      <c r="AF13" s="2895">
        <f t="shared" si="1"/>
        <v>1.2E-2</v>
      </c>
      <c r="AG13" s="2895">
        <f>ROUND(AVERAGE(K13:K$19)/100,4)</f>
        <v>1.4E-2</v>
      </c>
      <c r="AH13" s="2895">
        <f>ROUND(AVERAGE(L13:L$19)/100,4)</f>
        <v>1.0800000000000001E-2</v>
      </c>
    </row>
    <row r="14" spans="1:34">
      <c r="A14" s="2896" t="s">
        <v>1148</v>
      </c>
      <c r="B14" s="2916">
        <f t="shared" si="19"/>
        <v>322.34053690220776</v>
      </c>
      <c r="C14" s="2916">
        <f t="shared" si="19"/>
        <v>271.46160770422546</v>
      </c>
      <c r="D14" s="2916">
        <f t="shared" si="16"/>
        <v>271.46160770422546</v>
      </c>
      <c r="E14" s="2916">
        <f t="shared" si="20"/>
        <v>442.69434542172456</v>
      </c>
      <c r="F14" s="2916">
        <f t="shared" si="20"/>
        <v>241.34030753190925</v>
      </c>
      <c r="G14" s="3760"/>
      <c r="H14" s="2902">
        <v>2</v>
      </c>
      <c r="I14" s="2902">
        <v>0.77</v>
      </c>
      <c r="J14" s="2902">
        <v>0.69</v>
      </c>
      <c r="K14" s="2902">
        <v>0.8</v>
      </c>
      <c r="L14" s="2918">
        <v>0.88</v>
      </c>
      <c r="N14" s="2911">
        <f t="shared" si="18"/>
        <v>7.7000000000000002E-3</v>
      </c>
      <c r="O14" s="2928">
        <f t="shared" si="13"/>
        <v>6.8999999999999999E-3</v>
      </c>
      <c r="P14" s="2928">
        <f t="shared" si="13"/>
        <v>8.0000000000000002E-3</v>
      </c>
      <c r="Q14" s="2928">
        <f t="shared" si="13"/>
        <v>8.8000000000000005E-3</v>
      </c>
      <c r="R14" s="2913"/>
      <c r="S14" s="2911"/>
      <c r="T14" s="2912"/>
      <c r="U14" s="2912"/>
      <c r="V14" s="2912"/>
      <c r="X14" s="2894">
        <f>ROUND(SUMPRODUCT(PRODUCT(1+N14:N$18)),4)</f>
        <v>1.048</v>
      </c>
      <c r="Y14" s="2894">
        <f>ROUND(SUMPRODUCT(PRODUCT(1+O14:O$18)),4)</f>
        <v>1.0524</v>
      </c>
      <c r="Z14" s="2894">
        <f t="shared" si="0"/>
        <v>1.0524</v>
      </c>
      <c r="AA14" s="2894">
        <f>ROUND(SUMPRODUCT(PRODUCT(1+P14:P$18)),4)</f>
        <v>1.0470999999999999</v>
      </c>
      <c r="AB14" s="2894">
        <f>ROUND(SUMPRODUCT(PRODUCT(1+Q14:Q$18)),4)</f>
        <v>1.0504</v>
      </c>
      <c r="AD14" s="2895">
        <f>ROUND(AVERAGE(I14:I$19)/100,4)</f>
        <v>1.2800000000000001E-2</v>
      </c>
      <c r="AE14" s="2895">
        <f>ROUND(AVERAGE(J14:J$19)/100,4)</f>
        <v>1.2500000000000001E-2</v>
      </c>
      <c r="AF14" s="2895">
        <f t="shared" si="1"/>
        <v>1.2500000000000001E-2</v>
      </c>
      <c r="AG14" s="2895">
        <f>ROUND(AVERAGE(K14:K$19)/100,4)</f>
        <v>1.32E-2</v>
      </c>
      <c r="AH14" s="2895">
        <f>ROUND(AVERAGE(L14:L$19)/100,4)</f>
        <v>1.0500000000000001E-2</v>
      </c>
    </row>
    <row r="15" spans="1:34">
      <c r="A15" s="2896" t="s">
        <v>1147</v>
      </c>
      <c r="B15" s="2916">
        <f t="shared" si="19"/>
        <v>319.87748030386797</v>
      </c>
      <c r="C15" s="2916">
        <f t="shared" si="19"/>
        <v>269.60135833173649</v>
      </c>
      <c r="D15" s="2916">
        <f t="shared" si="16"/>
        <v>269.60135833173649</v>
      </c>
      <c r="E15" s="2916">
        <f t="shared" si="20"/>
        <v>439.18089823583784</v>
      </c>
      <c r="F15" s="2916">
        <f t="shared" si="20"/>
        <v>239.23503918706311</v>
      </c>
      <c r="G15" s="3761"/>
      <c r="H15" s="2901">
        <v>1</v>
      </c>
      <c r="I15" s="2901">
        <v>0.51</v>
      </c>
      <c r="J15" s="2901">
        <v>0.54</v>
      </c>
      <c r="K15" s="2901">
        <v>0.48</v>
      </c>
      <c r="L15" s="2917">
        <v>0.93</v>
      </c>
      <c r="N15" s="2919">
        <f t="shared" si="18"/>
        <v>5.1000000000000004E-3</v>
      </c>
      <c r="O15" s="2920">
        <f t="shared" si="13"/>
        <v>5.4000000000000003E-3</v>
      </c>
      <c r="P15" s="2920">
        <f t="shared" si="13"/>
        <v>4.7999999999999996E-3</v>
      </c>
      <c r="Q15" s="2920">
        <f t="shared" si="13"/>
        <v>9.300000000000001E-3</v>
      </c>
      <c r="R15" s="2913"/>
      <c r="S15" s="2919">
        <f>B15/B16-1</f>
        <v>5.9040261127922822E-3</v>
      </c>
      <c r="T15" s="2920">
        <f>C15/C16-1</f>
        <v>5.9752176557332781E-3</v>
      </c>
      <c r="U15" s="2920">
        <f>E15/E16-1</f>
        <v>4.9906138119859556E-3</v>
      </c>
      <c r="V15" s="2920">
        <f>F15/F16-1</f>
        <v>9.4305450930933787E-3</v>
      </c>
      <c r="X15" s="2894">
        <f>ROUND(SUMPRODUCT(PRODUCT(1+N15:N$18)),4)</f>
        <v>1.0399</v>
      </c>
      <c r="Y15" s="2894">
        <f>ROUND(SUMPRODUCT(PRODUCT(1+O15:O$18)),4)</f>
        <v>1.0451999999999999</v>
      </c>
      <c r="Z15" s="2894">
        <f t="shared" si="0"/>
        <v>1.0451999999999999</v>
      </c>
      <c r="AA15" s="2894">
        <f>ROUND(SUMPRODUCT(PRODUCT(1+P15:P$18)),4)</f>
        <v>1.0387999999999999</v>
      </c>
      <c r="AB15" s="2894">
        <f>ROUND(SUMPRODUCT(PRODUCT(1+Q15:Q$18)),4)</f>
        <v>1.0411999999999999</v>
      </c>
      <c r="AD15" s="2895">
        <f>ROUND(AVERAGE(I15:I$19)/100,4)</f>
        <v>1.38E-2</v>
      </c>
      <c r="AE15" s="2895">
        <f>ROUND(AVERAGE(J15:J$19)/100,4)</f>
        <v>1.3599999999999999E-2</v>
      </c>
      <c r="AF15" s="2895">
        <f t="shared" si="1"/>
        <v>1.3599999999999999E-2</v>
      </c>
      <c r="AG15" s="2895">
        <f>ROUND(AVERAGE(K15:K$19)/100,4)</f>
        <v>1.4200000000000001E-2</v>
      </c>
      <c r="AH15" s="2895">
        <f>ROUND(AVERAGE(L15:L$19)/100,4)</f>
        <v>1.0800000000000001E-2</v>
      </c>
    </row>
    <row r="16" spans="1:34" ht="13.5" thickBot="1">
      <c r="A16" s="2896" t="s">
        <v>1146</v>
      </c>
      <c r="B16" s="2929">
        <v>318</v>
      </c>
      <c r="C16" s="2929">
        <v>268</v>
      </c>
      <c r="D16" s="2929">
        <f t="shared" si="16"/>
        <v>268</v>
      </c>
      <c r="E16" s="2929">
        <v>437</v>
      </c>
      <c r="F16" s="2930">
        <v>237</v>
      </c>
      <c r="G16" s="3759">
        <v>2014</v>
      </c>
      <c r="H16" s="2921">
        <v>4</v>
      </c>
      <c r="I16" s="2921">
        <v>0.21</v>
      </c>
      <c r="J16" s="2921">
        <v>0.41</v>
      </c>
      <c r="K16" s="2921">
        <v>0.12</v>
      </c>
      <c r="L16" s="2922">
        <v>0.89</v>
      </c>
      <c r="N16" s="2911">
        <f t="shared" si="18"/>
        <v>2.0999999999999999E-3</v>
      </c>
      <c r="O16" s="2912">
        <f t="shared" si="13"/>
        <v>4.0999999999999995E-3</v>
      </c>
      <c r="P16" s="2912">
        <f t="shared" si="13"/>
        <v>1.1999999999999999E-3</v>
      </c>
      <c r="Q16" s="2912">
        <f t="shared" si="13"/>
        <v>8.8999999999999999E-3</v>
      </c>
      <c r="R16" s="2913"/>
      <c r="S16" s="2914"/>
      <c r="T16" s="2915"/>
      <c r="U16" s="2915"/>
      <c r="V16" s="2915"/>
      <c r="X16" s="2894">
        <f>ROUND(SUMPRODUCT(PRODUCT(1+N16:N$18)),4)</f>
        <v>1.0347</v>
      </c>
      <c r="Y16" s="2894">
        <f>ROUND(SUMPRODUCT(PRODUCT(1+O16:O$18)),4)</f>
        <v>1.0395000000000001</v>
      </c>
      <c r="Z16" s="2894">
        <f t="shared" si="0"/>
        <v>1.0395000000000001</v>
      </c>
      <c r="AA16" s="2894">
        <f>ROUND(SUMPRODUCT(PRODUCT(1+P16:P$18)),4)</f>
        <v>1.0338000000000001</v>
      </c>
      <c r="AB16" s="2894">
        <f>ROUND(SUMPRODUCT(PRODUCT(1+Q16:Q$18)),4)</f>
        <v>1.0316000000000001</v>
      </c>
      <c r="AD16" s="2895">
        <f>ROUND(AVERAGE(I16:I$19)/100,4)</f>
        <v>1.6E-2</v>
      </c>
      <c r="AE16" s="2895">
        <f>ROUND(AVERAGE(J16:J$19)/100,4)</f>
        <v>1.5599999999999999E-2</v>
      </c>
      <c r="AF16" s="2895">
        <f t="shared" si="1"/>
        <v>1.5599999999999999E-2</v>
      </c>
      <c r="AG16" s="2895">
        <f>ROUND(AVERAGE(K16:K$19)/100,4)</f>
        <v>1.66E-2</v>
      </c>
      <c r="AH16" s="2895">
        <f>ROUND(AVERAGE(L16:L$19)/100,4)</f>
        <v>1.12E-2</v>
      </c>
    </row>
    <row r="17" spans="1:34">
      <c r="A17" s="2896" t="s">
        <v>1145</v>
      </c>
      <c r="B17" s="2916">
        <f t="shared" ref="B17:C19" si="21">B16/(1+N16)</f>
        <v>317.33359944117353</v>
      </c>
      <c r="C17" s="2916">
        <f t="shared" si="21"/>
        <v>266.90568668459315</v>
      </c>
      <c r="D17" s="2916">
        <f t="shared" si="16"/>
        <v>266.90568668459315</v>
      </c>
      <c r="E17" s="2916">
        <f t="shared" ref="E17:F19" si="22">E16/(1+P16)</f>
        <v>436.47622852576905</v>
      </c>
      <c r="F17" s="2916">
        <f t="shared" si="22"/>
        <v>234.90930716622066</v>
      </c>
      <c r="G17" s="3760"/>
      <c r="H17" s="2931">
        <v>3</v>
      </c>
      <c r="I17" s="2931">
        <v>0.83</v>
      </c>
      <c r="J17" s="2931">
        <v>1.47</v>
      </c>
      <c r="K17" s="2931">
        <v>0.65</v>
      </c>
      <c r="L17" s="2932">
        <v>0.72</v>
      </c>
      <c r="N17" s="2911">
        <f t="shared" si="18"/>
        <v>8.3000000000000001E-3</v>
      </c>
      <c r="O17" s="2912">
        <f t="shared" si="13"/>
        <v>1.47E-2</v>
      </c>
      <c r="P17" s="2912">
        <f t="shared" si="13"/>
        <v>6.5000000000000006E-3</v>
      </c>
      <c r="Q17" s="2912">
        <f t="shared" si="13"/>
        <v>7.1999999999999998E-3</v>
      </c>
      <c r="R17" s="2913"/>
      <c r="S17" s="2911"/>
      <c r="T17" s="2912"/>
      <c r="U17" s="2912"/>
      <c r="V17" s="2912"/>
      <c r="X17" s="2894">
        <f>ROUND(SUMPRODUCT(PRODUCT(1+N17:N$18)),4)</f>
        <v>1.0325</v>
      </c>
      <c r="Y17" s="2894">
        <f>ROUND(SUMPRODUCT(PRODUCT(1+O17:O$18)),4)</f>
        <v>1.0353000000000001</v>
      </c>
      <c r="Z17" s="2894">
        <f t="shared" ref="Z17:Z18" si="23">Y17</f>
        <v>1.0353000000000001</v>
      </c>
      <c r="AA17" s="2894">
        <f>ROUND(SUMPRODUCT(PRODUCT(1+P17:P$18)),4)</f>
        <v>1.0326</v>
      </c>
      <c r="AB17" s="2894">
        <f>ROUND(SUMPRODUCT(PRODUCT(1+Q17:Q$18)),4)</f>
        <v>1.0225</v>
      </c>
      <c r="AD17" s="2895">
        <f>ROUND(AVERAGE(I17:I$19)/100,4)</f>
        <v>2.07E-2</v>
      </c>
      <c r="AE17" s="2895">
        <f>ROUND(AVERAGE(J17:J$19)/100,4)</f>
        <v>1.95E-2</v>
      </c>
      <c r="AF17" s="2895">
        <f t="shared" si="1"/>
        <v>1.95E-2</v>
      </c>
      <c r="AG17" s="2895">
        <f>ROUND(AVERAGE(K17:K$19)/100,4)</f>
        <v>2.1700000000000001E-2</v>
      </c>
      <c r="AH17" s="2895">
        <f>ROUND(AVERAGE(L17:L$19)/100,4)</f>
        <v>1.2E-2</v>
      </c>
    </row>
    <row r="18" spans="1:34" ht="13.5" thickBot="1">
      <c r="A18" s="2896" t="s">
        <v>1144</v>
      </c>
      <c r="B18" s="2916">
        <f t="shared" si="21"/>
        <v>314.72141172386546</v>
      </c>
      <c r="C18" s="2916">
        <f t="shared" si="21"/>
        <v>263.03901319069001</v>
      </c>
      <c r="D18" s="2916">
        <f t="shared" si="16"/>
        <v>263.03901319069001</v>
      </c>
      <c r="E18" s="2916">
        <f t="shared" si="22"/>
        <v>433.65745506782821</v>
      </c>
      <c r="F18" s="2916">
        <f t="shared" si="22"/>
        <v>233.23005080045735</v>
      </c>
      <c r="G18" s="3760"/>
      <c r="H18" s="2921">
        <v>2</v>
      </c>
      <c r="I18" s="2921">
        <v>2.4</v>
      </c>
      <c r="J18" s="2921">
        <v>2.0299999999999998</v>
      </c>
      <c r="K18" s="2921">
        <v>2.59</v>
      </c>
      <c r="L18" s="2922">
        <v>1.52</v>
      </c>
      <c r="N18" s="2911">
        <f t="shared" si="18"/>
        <v>2.4E-2</v>
      </c>
      <c r="O18" s="2912">
        <f t="shared" si="13"/>
        <v>2.0299999999999999E-2</v>
      </c>
      <c r="P18" s="2912">
        <f t="shared" si="13"/>
        <v>2.5899999999999999E-2</v>
      </c>
      <c r="Q18" s="2912">
        <f t="shared" si="13"/>
        <v>1.52E-2</v>
      </c>
      <c r="R18" s="2913"/>
      <c r="S18" s="2911"/>
      <c r="T18" s="2912"/>
      <c r="U18" s="2912"/>
      <c r="V18" s="2912"/>
      <c r="X18" s="2894">
        <f>1+N18</f>
        <v>1.024</v>
      </c>
      <c r="Y18" s="2894">
        <f>1+O18</f>
        <v>1.0203</v>
      </c>
      <c r="Z18" s="2894">
        <f t="shared" si="23"/>
        <v>1.0203</v>
      </c>
      <c r="AA18" s="2894">
        <f>1+P18</f>
        <v>1.0259</v>
      </c>
      <c r="AB18" s="2894">
        <f>1+Q18</f>
        <v>1.0152000000000001</v>
      </c>
      <c r="AD18" s="2895">
        <f>ROUND(AVERAGE(I18:I$19)/100,4)</f>
        <v>2.69E-2</v>
      </c>
      <c r="AE18" s="2895">
        <f>ROUND(AVERAGE(J18:J$19)/100,4)</f>
        <v>2.1899999999999999E-2</v>
      </c>
      <c r="AF18" s="2895">
        <f t="shared" ref="AF18" si="24">AE18</f>
        <v>2.1899999999999999E-2</v>
      </c>
      <c r="AG18" s="2895">
        <f>ROUND(AVERAGE(K18:K$19)/100,4)</f>
        <v>2.9399999999999999E-2</v>
      </c>
      <c r="AH18" s="2895">
        <f>ROUND(AVERAGE(L18:L$19)/100,4)</f>
        <v>1.44E-2</v>
      </c>
    </row>
    <row r="19" spans="1:34" s="2937" customFormat="1" ht="13.5" thickBot="1">
      <c r="A19" s="2933" t="s">
        <v>1143</v>
      </c>
      <c r="B19" s="2934">
        <f t="shared" si="21"/>
        <v>307.34512863658733</v>
      </c>
      <c r="C19" s="2934">
        <f t="shared" si="21"/>
        <v>257.80556031626975</v>
      </c>
      <c r="D19" s="2934">
        <f t="shared" si="16"/>
        <v>257.80556031626975</v>
      </c>
      <c r="E19" s="2934">
        <f t="shared" si="22"/>
        <v>422.70928459677179</v>
      </c>
      <c r="F19" s="2934">
        <f t="shared" si="22"/>
        <v>229.73803270336617</v>
      </c>
      <c r="G19" s="3761"/>
      <c r="H19" s="2935">
        <v>1</v>
      </c>
      <c r="I19" s="2935">
        <v>2.97</v>
      </c>
      <c r="J19" s="2935">
        <v>2.34</v>
      </c>
      <c r="K19" s="2935">
        <v>3.28</v>
      </c>
      <c r="L19" s="2936">
        <v>1.36</v>
      </c>
      <c r="N19" s="2938">
        <f t="shared" si="18"/>
        <v>2.9700000000000001E-2</v>
      </c>
      <c r="O19" s="2939">
        <f t="shared" si="13"/>
        <v>2.3399999999999997E-2</v>
      </c>
      <c r="P19" s="2939">
        <f t="shared" si="13"/>
        <v>3.2799999999999996E-2</v>
      </c>
      <c r="Q19" s="2939">
        <f t="shared" si="13"/>
        <v>1.3600000000000001E-2</v>
      </c>
      <c r="R19" s="2940"/>
      <c r="S19" s="2941">
        <f>B19/B20-1</f>
        <v>2.7910129219355539E-2</v>
      </c>
      <c r="T19" s="2942">
        <f>C19/C20-1</f>
        <v>2.3037937762975247E-2</v>
      </c>
      <c r="U19" s="2942">
        <f>E19/E20-1</f>
        <v>3.3519033243940788E-2</v>
      </c>
      <c r="V19" s="2942">
        <f>F19/F20-1</f>
        <v>1.2061818076502862E-2</v>
      </c>
      <c r="W19" s="2943" t="s">
        <v>2720</v>
      </c>
      <c r="X19" s="2944">
        <v>1</v>
      </c>
      <c r="Y19" s="2944">
        <v>1</v>
      </c>
      <c r="Z19" s="2944">
        <v>1</v>
      </c>
      <c r="AA19" s="2944">
        <v>1</v>
      </c>
      <c r="AB19" s="2944">
        <v>1</v>
      </c>
      <c r="AD19" s="3212">
        <f>I19/100</f>
        <v>2.9700000000000001E-2</v>
      </c>
      <c r="AE19" s="3212">
        <f>J19/100</f>
        <v>2.3399999999999997E-2</v>
      </c>
      <c r="AF19" s="3212">
        <f>AE19</f>
        <v>2.3399999999999997E-2</v>
      </c>
      <c r="AG19" s="3212">
        <f>K19/100</f>
        <v>3.2799999999999996E-2</v>
      </c>
      <c r="AH19" s="3212">
        <f>L19/100</f>
        <v>1.3600000000000001E-2</v>
      </c>
    </row>
    <row r="20" spans="1:34" ht="13.5" thickBot="1">
      <c r="A20" s="2896" t="s">
        <v>2721</v>
      </c>
      <c r="B20" s="2908">
        <v>299</v>
      </c>
      <c r="C20" s="2908">
        <v>252</v>
      </c>
      <c r="D20" s="2908">
        <f t="shared" si="16"/>
        <v>252</v>
      </c>
      <c r="E20" s="2908">
        <v>409</v>
      </c>
      <c r="F20" s="2909">
        <v>227</v>
      </c>
      <c r="G20" s="3766">
        <v>2013</v>
      </c>
      <c r="H20" s="2945">
        <v>4</v>
      </c>
      <c r="I20" s="2945">
        <v>1.83</v>
      </c>
      <c r="J20" s="2945">
        <v>1.68</v>
      </c>
      <c r="K20" s="2945">
        <v>1.97</v>
      </c>
      <c r="L20" s="2946">
        <v>0.87</v>
      </c>
      <c r="N20" s="2923">
        <f t="shared" si="18"/>
        <v>1.83E-2</v>
      </c>
      <c r="O20" s="2924">
        <f t="shared" si="13"/>
        <v>1.6799999999999999E-2</v>
      </c>
      <c r="P20" s="2924">
        <f t="shared" si="13"/>
        <v>1.9699999999999999E-2</v>
      </c>
      <c r="Q20" s="2924">
        <f t="shared" si="13"/>
        <v>8.6999999999999994E-3</v>
      </c>
      <c r="R20" s="2913"/>
      <c r="S20" s="2914"/>
      <c r="T20" s="2915"/>
      <c r="U20" s="2915"/>
      <c r="V20" s="2915"/>
      <c r="X20" s="2915"/>
      <c r="Y20" s="2915"/>
      <c r="Z20" s="2915"/>
    </row>
    <row r="21" spans="1:34">
      <c r="A21" s="2896" t="s">
        <v>2722</v>
      </c>
      <c r="B21" s="2916">
        <f t="shared" ref="B21:C23" si="25">B20/(1+N20)</f>
        <v>293.62663262299913</v>
      </c>
      <c r="C21" s="2916">
        <f t="shared" si="25"/>
        <v>247.83634933123525</v>
      </c>
      <c r="D21" s="2916">
        <f t="shared" si="16"/>
        <v>247.83634933123525</v>
      </c>
      <c r="E21" s="2916">
        <f t="shared" ref="E21:F23" si="26">E20/(1+P20)</f>
        <v>401.09836226341076</v>
      </c>
      <c r="F21" s="2916">
        <f t="shared" si="26"/>
        <v>225.04213343908003</v>
      </c>
      <c r="G21" s="3767"/>
      <c r="H21" s="2926">
        <v>3</v>
      </c>
      <c r="I21" s="2926">
        <v>1.86</v>
      </c>
      <c r="J21" s="2926">
        <v>1.72</v>
      </c>
      <c r="K21" s="2926">
        <v>1.98</v>
      </c>
      <c r="L21" s="2927">
        <v>0.88</v>
      </c>
      <c r="N21" s="2911">
        <f t="shared" si="18"/>
        <v>1.8600000000000002E-2</v>
      </c>
      <c r="O21" s="2928">
        <f t="shared" si="13"/>
        <v>1.72E-2</v>
      </c>
      <c r="P21" s="2928">
        <f t="shared" si="13"/>
        <v>1.9799999999999998E-2</v>
      </c>
      <c r="Q21" s="2928">
        <f t="shared" si="13"/>
        <v>8.8000000000000005E-3</v>
      </c>
      <c r="R21" s="2913"/>
      <c r="S21" s="2911"/>
      <c r="T21" s="2912"/>
      <c r="U21" s="2912"/>
      <c r="V21" s="2912"/>
    </row>
    <row r="22" spans="1:34">
      <c r="A22" s="2896" t="s">
        <v>2723</v>
      </c>
      <c r="B22" s="2916">
        <f t="shared" si="25"/>
        <v>288.2649053828776</v>
      </c>
      <c r="C22" s="2916">
        <f t="shared" si="25"/>
        <v>243.64564425013293</v>
      </c>
      <c r="D22" s="2916">
        <f t="shared" si="16"/>
        <v>243.64564425013293</v>
      </c>
      <c r="E22" s="2916">
        <f t="shared" si="26"/>
        <v>393.31080825986544</v>
      </c>
      <c r="F22" s="2916">
        <f t="shared" si="26"/>
        <v>223.07903790551154</v>
      </c>
      <c r="G22" s="3767"/>
      <c r="H22" s="2902">
        <v>2</v>
      </c>
      <c r="I22" s="2902">
        <v>2.04</v>
      </c>
      <c r="J22" s="2902">
        <v>2.33</v>
      </c>
      <c r="K22" s="2902">
        <v>2.0699999999999998</v>
      </c>
      <c r="L22" s="2918">
        <v>0.69</v>
      </c>
      <c r="N22" s="2911">
        <f t="shared" si="18"/>
        <v>2.0400000000000001E-2</v>
      </c>
      <c r="O22" s="2928">
        <f t="shared" si="13"/>
        <v>2.3300000000000001E-2</v>
      </c>
      <c r="P22" s="2928">
        <f t="shared" si="13"/>
        <v>2.07E-2</v>
      </c>
      <c r="Q22" s="2928">
        <f t="shared" si="13"/>
        <v>6.8999999999999999E-3</v>
      </c>
      <c r="R22" s="2913"/>
      <c r="S22" s="2911"/>
      <c r="T22" s="2912"/>
      <c r="U22" s="2912"/>
      <c r="V22" s="2912"/>
      <c r="X22" s="2947"/>
      <c r="Y22" s="2948"/>
    </row>
    <row r="23" spans="1:34">
      <c r="A23" s="2896" t="s">
        <v>2724</v>
      </c>
      <c r="B23" s="2916">
        <f t="shared" si="25"/>
        <v>282.50186729015837</v>
      </c>
      <c r="C23" s="2916">
        <f t="shared" si="25"/>
        <v>238.09796174155468</v>
      </c>
      <c r="D23" s="2916">
        <f t="shared" si="16"/>
        <v>238.09796174155468</v>
      </c>
      <c r="E23" s="2916">
        <f t="shared" si="26"/>
        <v>385.33438646014054</v>
      </c>
      <c r="F23" s="2916">
        <f t="shared" si="26"/>
        <v>221.55034055567739</v>
      </c>
      <c r="G23" s="3768"/>
      <c r="H23" s="2901">
        <v>1</v>
      </c>
      <c r="I23" s="2901">
        <v>1.67</v>
      </c>
      <c r="J23" s="2901">
        <v>1.31</v>
      </c>
      <c r="K23" s="2901">
        <v>1.85</v>
      </c>
      <c r="L23" s="2917">
        <v>0.96</v>
      </c>
      <c r="N23" s="2919">
        <f t="shared" si="18"/>
        <v>1.67E-2</v>
      </c>
      <c r="O23" s="2920">
        <f t="shared" si="18"/>
        <v>1.3100000000000001E-2</v>
      </c>
      <c r="P23" s="2920">
        <f t="shared" si="18"/>
        <v>1.8500000000000003E-2</v>
      </c>
      <c r="Q23" s="2920">
        <f t="shared" si="18"/>
        <v>9.5999999999999992E-3</v>
      </c>
      <c r="R23" s="2913"/>
      <c r="S23" s="2919">
        <f>B23/B24-1</f>
        <v>1.6193767230785472E-2</v>
      </c>
      <c r="T23" s="2920">
        <f>C23/C24-1</f>
        <v>1.7512657015190891E-2</v>
      </c>
      <c r="U23" s="2920">
        <f>E23/E24-1</f>
        <v>1.6713420739157048E-2</v>
      </c>
      <c r="V23" s="2920">
        <f>F23/F24-1</f>
        <v>7.0470025258062563E-3</v>
      </c>
      <c r="X23" s="2949"/>
      <c r="Y23" s="2895"/>
      <c r="Z23" s="2895"/>
    </row>
    <row r="24" spans="1:34" ht="13.5" thickBot="1">
      <c r="A24" s="2896" t="s">
        <v>2725</v>
      </c>
      <c r="B24" s="2950">
        <v>278</v>
      </c>
      <c r="C24" s="2950">
        <v>234</v>
      </c>
      <c r="D24" s="2950">
        <f t="shared" si="16"/>
        <v>234</v>
      </c>
      <c r="E24" s="2950">
        <v>379</v>
      </c>
      <c r="F24" s="2951">
        <v>220</v>
      </c>
      <c r="G24" s="3759">
        <v>2012</v>
      </c>
      <c r="H24" s="2921">
        <v>4</v>
      </c>
      <c r="I24" s="2921">
        <v>0.91</v>
      </c>
      <c r="J24" s="2921">
        <v>0.68</v>
      </c>
      <c r="K24" s="2921">
        <v>0.98</v>
      </c>
      <c r="L24" s="2922">
        <v>0.9</v>
      </c>
      <c r="N24" s="2911">
        <f t="shared" si="18"/>
        <v>9.1000000000000004E-3</v>
      </c>
      <c r="O24" s="2912">
        <f t="shared" si="18"/>
        <v>6.8000000000000005E-3</v>
      </c>
      <c r="P24" s="2912">
        <f t="shared" si="18"/>
        <v>9.7999999999999997E-3</v>
      </c>
      <c r="Q24" s="2912">
        <f t="shared" si="18"/>
        <v>9.0000000000000011E-3</v>
      </c>
      <c r="R24" s="2913"/>
      <c r="S24" s="2914"/>
      <c r="T24" s="2915"/>
      <c r="U24" s="2915"/>
      <c r="V24" s="2915"/>
      <c r="X24" s="2915"/>
      <c r="Y24" s="2915"/>
      <c r="Z24" s="2915"/>
    </row>
    <row r="25" spans="1:34">
      <c r="A25" s="2896" t="s">
        <v>2726</v>
      </c>
      <c r="B25" s="2916">
        <f>B24/(1+N24)</f>
        <v>275.49301357645425</v>
      </c>
      <c r="C25" s="2916">
        <f>C24/(1+O24)</f>
        <v>232.41954707985698</v>
      </c>
      <c r="D25" s="2916">
        <f t="shared" si="16"/>
        <v>232.41954707985698</v>
      </c>
      <c r="E25" s="2916">
        <f t="shared" ref="E25:F27" si="27">E24/(1+P24)</f>
        <v>375.32184591008121</v>
      </c>
      <c r="F25" s="2916">
        <f t="shared" si="27"/>
        <v>218.03766105054513</v>
      </c>
      <c r="G25" s="3760"/>
      <c r="H25" s="2926">
        <v>3</v>
      </c>
      <c r="I25" s="2926">
        <v>0.09</v>
      </c>
      <c r="J25" s="2926">
        <v>0.28999999999999998</v>
      </c>
      <c r="K25" s="2926">
        <v>-0.01</v>
      </c>
      <c r="L25" s="2927">
        <v>0.57999999999999996</v>
      </c>
      <c r="N25" s="2911">
        <f t="shared" si="18"/>
        <v>8.9999999999999998E-4</v>
      </c>
      <c r="O25" s="2912">
        <f t="shared" si="18"/>
        <v>2.8999999999999998E-3</v>
      </c>
      <c r="P25" s="2912">
        <f t="shared" si="18"/>
        <v>-1E-4</v>
      </c>
      <c r="Q25" s="2912">
        <f t="shared" si="18"/>
        <v>5.7999999999999996E-3</v>
      </c>
      <c r="R25" s="2913"/>
      <c r="S25" s="2911"/>
      <c r="T25" s="2912"/>
      <c r="U25" s="2912"/>
      <c r="V25" s="2912"/>
    </row>
    <row r="26" spans="1:34">
      <c r="A26" s="2896" t="s">
        <v>2727</v>
      </c>
      <c r="B26" s="2916">
        <f>B25/(1+N25)</f>
        <v>275.24529281292263</v>
      </c>
      <c r="C26" s="2916">
        <f>C25/(1+O25)</f>
        <v>231.74747938962707</v>
      </c>
      <c r="D26" s="2916">
        <f t="shared" si="16"/>
        <v>231.74747938962707</v>
      </c>
      <c r="E26" s="2916">
        <f t="shared" si="27"/>
        <v>375.35938184826603</v>
      </c>
      <c r="F26" s="2916">
        <f t="shared" si="27"/>
        <v>216.78033510692495</v>
      </c>
      <c r="G26" s="3760"/>
      <c r="H26" s="2902">
        <v>2</v>
      </c>
      <c r="I26" s="2902">
        <v>0.02</v>
      </c>
      <c r="J26" s="2902">
        <v>0.12</v>
      </c>
      <c r="K26" s="2902">
        <v>-0.08</v>
      </c>
      <c r="L26" s="2918">
        <v>1.24</v>
      </c>
      <c r="N26" s="2911">
        <f t="shared" si="18"/>
        <v>2.0000000000000001E-4</v>
      </c>
      <c r="O26" s="2912">
        <f t="shared" si="18"/>
        <v>1.1999999999999999E-3</v>
      </c>
      <c r="P26" s="2912">
        <f t="shared" si="18"/>
        <v>-8.0000000000000004E-4</v>
      </c>
      <c r="Q26" s="2912">
        <f t="shared" si="18"/>
        <v>1.24E-2</v>
      </c>
      <c r="R26" s="2913"/>
      <c r="S26" s="2911"/>
      <c r="T26" s="2912"/>
      <c r="U26" s="2912"/>
      <c r="V26" s="2912"/>
    </row>
    <row r="27" spans="1:34" ht="13.5" thickBot="1">
      <c r="A27" s="2896" t="s">
        <v>2728</v>
      </c>
      <c r="B27" s="2916">
        <f>B26/(1+N26)</f>
        <v>275.19025476197027</v>
      </c>
      <c r="C27" s="2952">
        <v>232</v>
      </c>
      <c r="D27" s="2952">
        <f t="shared" si="16"/>
        <v>232</v>
      </c>
      <c r="E27" s="2916">
        <f t="shared" si="27"/>
        <v>375.65990977608692</v>
      </c>
      <c r="F27" s="2916">
        <f t="shared" si="27"/>
        <v>214.12518283971252</v>
      </c>
      <c r="G27" s="3761"/>
      <c r="H27" s="2901">
        <v>1</v>
      </c>
      <c r="I27" s="2901">
        <v>0.02</v>
      </c>
      <c r="J27" s="2901">
        <v>0.13</v>
      </c>
      <c r="K27" s="2901">
        <v>-0.04</v>
      </c>
      <c r="L27" s="2917">
        <v>0.46</v>
      </c>
      <c r="N27" s="2911">
        <f t="shared" si="18"/>
        <v>2.0000000000000001E-4</v>
      </c>
      <c r="O27" s="2912">
        <f t="shared" si="18"/>
        <v>1.2999999999999999E-3</v>
      </c>
      <c r="P27" s="2912">
        <f t="shared" si="18"/>
        <v>-4.0000000000000002E-4</v>
      </c>
      <c r="Q27" s="2912">
        <f t="shared" si="18"/>
        <v>4.5999999999999999E-3</v>
      </c>
      <c r="R27" s="2913"/>
      <c r="S27" s="2919">
        <f>B27/B28-1</f>
        <v>6.9183549807361189E-4</v>
      </c>
      <c r="T27" s="2920">
        <f>C27/C28-1</f>
        <v>0</v>
      </c>
      <c r="U27" s="2920">
        <f>E27/E28-1</f>
        <v>-9.0449527636460303E-4</v>
      </c>
      <c r="V27" s="2920">
        <f>F27/F28-1</f>
        <v>5.2825485432512753E-3</v>
      </c>
      <c r="X27" s="2895"/>
      <c r="Y27" s="2895"/>
      <c r="Z27" s="2895"/>
    </row>
    <row r="28" spans="1:34" ht="13.5" thickBot="1">
      <c r="A28" s="2896" t="s">
        <v>2729</v>
      </c>
      <c r="B28" s="2908">
        <v>275</v>
      </c>
      <c r="C28" s="2908">
        <v>232</v>
      </c>
      <c r="D28" s="2908">
        <f t="shared" si="16"/>
        <v>232</v>
      </c>
      <c r="E28" s="2908">
        <v>376</v>
      </c>
      <c r="F28" s="2909">
        <v>213</v>
      </c>
      <c r="G28" s="3759">
        <v>2011</v>
      </c>
      <c r="H28" s="2921">
        <v>4</v>
      </c>
      <c r="I28" s="2921">
        <v>-0.2</v>
      </c>
      <c r="J28" s="2921">
        <v>0.04</v>
      </c>
      <c r="K28" s="2921">
        <v>-0.34</v>
      </c>
      <c r="L28" s="2922">
        <v>0.46</v>
      </c>
      <c r="N28" s="2923">
        <f t="shared" si="18"/>
        <v>-2E-3</v>
      </c>
      <c r="O28" s="2924">
        <f t="shared" si="18"/>
        <v>4.0000000000000002E-4</v>
      </c>
      <c r="P28" s="2924">
        <f t="shared" si="18"/>
        <v>-3.4000000000000002E-3</v>
      </c>
      <c r="Q28" s="2924">
        <f t="shared" si="18"/>
        <v>4.5999999999999999E-3</v>
      </c>
      <c r="R28" s="2913"/>
      <c r="S28" s="2914"/>
      <c r="T28" s="2915"/>
      <c r="U28" s="2915"/>
      <c r="V28" s="2915"/>
      <c r="X28" s="2915"/>
      <c r="Y28" s="2915"/>
      <c r="Z28" s="2915"/>
    </row>
    <row r="29" spans="1:34">
      <c r="A29" s="2896" t="s">
        <v>2730</v>
      </c>
      <c r="B29" s="2916">
        <f t="shared" ref="B29:C31" si="28">B28/(1+N28)</f>
        <v>275.55110220440883</v>
      </c>
      <c r="C29" s="2916">
        <f t="shared" si="28"/>
        <v>231.90723710515795</v>
      </c>
      <c r="D29" s="2916">
        <f t="shared" si="16"/>
        <v>231.90723710515795</v>
      </c>
      <c r="E29" s="2916">
        <f t="shared" ref="E29:F31" si="29">E28/(1+P28)</f>
        <v>377.28276138872161</v>
      </c>
      <c r="F29" s="2916">
        <f t="shared" si="29"/>
        <v>212.02468644236512</v>
      </c>
      <c r="G29" s="3760">
        <v>2011</v>
      </c>
      <c r="H29" s="2926">
        <v>3</v>
      </c>
      <c r="I29" s="2926">
        <v>0.13</v>
      </c>
      <c r="J29" s="2926">
        <v>0.75</v>
      </c>
      <c r="K29" s="2926">
        <v>-0.08</v>
      </c>
      <c r="L29" s="2927">
        <v>0.53</v>
      </c>
      <c r="N29" s="2911">
        <f t="shared" si="18"/>
        <v>1.2999999999999999E-3</v>
      </c>
      <c r="O29" s="2928">
        <f t="shared" si="18"/>
        <v>7.4999999999999997E-3</v>
      </c>
      <c r="P29" s="2928">
        <f t="shared" si="18"/>
        <v>-8.0000000000000004E-4</v>
      </c>
      <c r="Q29" s="2928">
        <f t="shared" si="18"/>
        <v>5.3E-3</v>
      </c>
      <c r="R29" s="2913"/>
      <c r="S29" s="2911"/>
      <c r="T29" s="2912"/>
      <c r="U29" s="2912"/>
      <c r="V29" s="2912"/>
    </row>
    <row r="30" spans="1:34">
      <c r="A30" s="2896" t="s">
        <v>2731</v>
      </c>
      <c r="B30" s="2916">
        <f t="shared" si="28"/>
        <v>275.19335084830601</v>
      </c>
      <c r="C30" s="2916">
        <f t="shared" si="28"/>
        <v>230.18088050139744</v>
      </c>
      <c r="D30" s="2916">
        <f t="shared" si="16"/>
        <v>230.18088050139744</v>
      </c>
      <c r="E30" s="2916">
        <f t="shared" si="29"/>
        <v>377.58482925212331</v>
      </c>
      <c r="F30" s="2916">
        <f t="shared" si="29"/>
        <v>210.90687997847917</v>
      </c>
      <c r="G30" s="3760">
        <v>2011</v>
      </c>
      <c r="H30" s="2902">
        <v>2</v>
      </c>
      <c r="I30" s="2902">
        <v>-0.4</v>
      </c>
      <c r="J30" s="2902">
        <v>0.17</v>
      </c>
      <c r="K30" s="2902">
        <v>-0.57999999999999996</v>
      </c>
      <c r="L30" s="2918">
        <v>-0.2</v>
      </c>
      <c r="N30" s="2911">
        <f t="shared" si="18"/>
        <v>-4.0000000000000001E-3</v>
      </c>
      <c r="O30" s="2928">
        <f t="shared" si="18"/>
        <v>1.7000000000000001E-3</v>
      </c>
      <c r="P30" s="2928">
        <f t="shared" si="18"/>
        <v>-5.7999999999999996E-3</v>
      </c>
      <c r="Q30" s="2928">
        <f t="shared" si="18"/>
        <v>-2E-3</v>
      </c>
      <c r="R30" s="2913"/>
      <c r="S30" s="2911"/>
      <c r="T30" s="2912"/>
      <c r="U30" s="2912"/>
      <c r="V30" s="2912"/>
    </row>
    <row r="31" spans="1:34" ht="13.5" thickBot="1">
      <c r="A31" s="2896" t="s">
        <v>2732</v>
      </c>
      <c r="B31" s="2916">
        <f t="shared" si="28"/>
        <v>276.29854502841971</v>
      </c>
      <c r="C31" s="2916">
        <f t="shared" si="28"/>
        <v>229.79023709833027</v>
      </c>
      <c r="D31" s="2916">
        <f t="shared" si="16"/>
        <v>229.79023709833027</v>
      </c>
      <c r="E31" s="2916">
        <f t="shared" si="29"/>
        <v>379.78759731655936</v>
      </c>
      <c r="F31" s="2916">
        <f t="shared" si="29"/>
        <v>211.32953905659235</v>
      </c>
      <c r="G31" s="3761">
        <v>2011</v>
      </c>
      <c r="H31" s="2901">
        <v>1</v>
      </c>
      <c r="I31" s="2901">
        <v>2.65</v>
      </c>
      <c r="J31" s="2901">
        <v>3.76</v>
      </c>
      <c r="K31" s="2901">
        <v>1.89</v>
      </c>
      <c r="L31" s="2917">
        <v>7.95</v>
      </c>
      <c r="N31" s="2919">
        <f t="shared" si="18"/>
        <v>2.6499999999999999E-2</v>
      </c>
      <c r="O31" s="2920">
        <f t="shared" si="18"/>
        <v>3.7599999999999995E-2</v>
      </c>
      <c r="P31" s="2920">
        <f t="shared" si="18"/>
        <v>1.89E-2</v>
      </c>
      <c r="Q31" s="2920">
        <f t="shared" si="18"/>
        <v>7.9500000000000001E-2</v>
      </c>
      <c r="R31" s="2913"/>
      <c r="S31" s="2919">
        <f>B31/B32-1</f>
        <v>2.713213765211786E-2</v>
      </c>
      <c r="T31" s="2920">
        <f>C31/C32-1</f>
        <v>3.9774828499231862E-2</v>
      </c>
      <c r="U31" s="2920">
        <f>E31/E32-1</f>
        <v>1.8197311840641772E-2</v>
      </c>
      <c r="V31" s="2920">
        <f>F31/F32-1</f>
        <v>7.8211933962205826E-2</v>
      </c>
      <c r="X31" s="2895"/>
      <c r="Y31" s="2895"/>
      <c r="Z31" s="2895"/>
    </row>
    <row r="32" spans="1:34" ht="13.5" thickBot="1">
      <c r="A32" s="2896" t="s">
        <v>2733</v>
      </c>
      <c r="B32" s="2908">
        <v>269</v>
      </c>
      <c r="C32" s="2908">
        <v>221</v>
      </c>
      <c r="D32" s="2908">
        <f t="shared" si="16"/>
        <v>221</v>
      </c>
      <c r="E32" s="2908">
        <v>373</v>
      </c>
      <c r="F32" s="2909">
        <v>196</v>
      </c>
      <c r="G32" s="3759">
        <v>2010</v>
      </c>
      <c r="H32" s="2921">
        <v>4</v>
      </c>
      <c r="I32" s="2921">
        <v>5.72</v>
      </c>
      <c r="J32" s="2921">
        <v>6.57</v>
      </c>
      <c r="K32" s="2921">
        <v>5.72</v>
      </c>
      <c r="L32" s="2922">
        <v>2.72</v>
      </c>
      <c r="N32" s="2911">
        <f t="shared" si="18"/>
        <v>5.7200000000000001E-2</v>
      </c>
      <c r="O32" s="2912">
        <f t="shared" si="18"/>
        <v>6.5700000000000008E-2</v>
      </c>
      <c r="P32" s="2912">
        <f t="shared" si="18"/>
        <v>5.7200000000000001E-2</v>
      </c>
      <c r="Q32" s="2912">
        <f t="shared" si="18"/>
        <v>2.7200000000000002E-2</v>
      </c>
      <c r="R32" s="2913"/>
      <c r="S32" s="2914"/>
      <c r="T32" s="2915"/>
      <c r="U32" s="2915"/>
      <c r="V32" s="2915"/>
      <c r="X32" s="2915"/>
      <c r="Y32" s="2915"/>
      <c r="Z32" s="2915"/>
    </row>
    <row r="33" spans="1:26">
      <c r="A33" s="2896" t="s">
        <v>2734</v>
      </c>
      <c r="B33" s="2916">
        <f t="shared" ref="B33:C35" si="30">B32/(1+N32)</f>
        <v>254.44570563753314</v>
      </c>
      <c r="C33" s="2916">
        <f t="shared" si="30"/>
        <v>207.37543398705074</v>
      </c>
      <c r="D33" s="2916">
        <f t="shared" si="16"/>
        <v>207.37543398705074</v>
      </c>
      <c r="E33" s="2916">
        <f t="shared" ref="E33:F35" si="31">E32/(1+P32)</f>
        <v>352.81876655315932</v>
      </c>
      <c r="F33" s="2916">
        <f t="shared" si="31"/>
        <v>190.809968847352</v>
      </c>
      <c r="G33" s="3760">
        <v>2010</v>
      </c>
      <c r="H33" s="2926">
        <v>3</v>
      </c>
      <c r="I33" s="2926">
        <v>4.7300000000000004</v>
      </c>
      <c r="J33" s="2926">
        <v>3.9</v>
      </c>
      <c r="K33" s="2926">
        <v>5.03</v>
      </c>
      <c r="L33" s="2927">
        <v>4.21</v>
      </c>
      <c r="N33" s="2911">
        <f t="shared" si="18"/>
        <v>4.7300000000000002E-2</v>
      </c>
      <c r="O33" s="2912">
        <f t="shared" si="18"/>
        <v>3.9E-2</v>
      </c>
      <c r="P33" s="2912">
        <f t="shared" si="18"/>
        <v>5.0300000000000004E-2</v>
      </c>
      <c r="Q33" s="2912">
        <f t="shared" si="18"/>
        <v>4.2099999999999999E-2</v>
      </c>
      <c r="R33" s="2913"/>
      <c r="S33" s="2911"/>
      <c r="T33" s="2912"/>
      <c r="U33" s="2912"/>
      <c r="V33" s="2912"/>
    </row>
    <row r="34" spans="1:26">
      <c r="A34" s="2896" t="s">
        <v>2735</v>
      </c>
      <c r="B34" s="2916">
        <f t="shared" si="30"/>
        <v>242.95398227588385</v>
      </c>
      <c r="C34" s="2916">
        <f t="shared" si="30"/>
        <v>199.59137053614126</v>
      </c>
      <c r="D34" s="2916">
        <f t="shared" si="16"/>
        <v>199.59137053614126</v>
      </c>
      <c r="E34" s="2916">
        <f t="shared" si="31"/>
        <v>335.92189522342125</v>
      </c>
      <c r="F34" s="2916">
        <f t="shared" si="31"/>
        <v>183.10139991109489</v>
      </c>
      <c r="G34" s="3760">
        <v>2010</v>
      </c>
      <c r="H34" s="2902">
        <v>2</v>
      </c>
      <c r="I34" s="2902">
        <v>4.6900000000000004</v>
      </c>
      <c r="J34" s="2902">
        <v>3.55</v>
      </c>
      <c r="K34" s="2902">
        <v>5.07</v>
      </c>
      <c r="L34" s="2918">
        <v>4.2300000000000004</v>
      </c>
      <c r="N34" s="2911">
        <f t="shared" si="18"/>
        <v>4.6900000000000004E-2</v>
      </c>
      <c r="O34" s="2912">
        <f t="shared" si="18"/>
        <v>3.5499999999999997E-2</v>
      </c>
      <c r="P34" s="2912">
        <f t="shared" si="18"/>
        <v>5.0700000000000002E-2</v>
      </c>
      <c r="Q34" s="2912">
        <f t="shared" si="18"/>
        <v>4.2300000000000004E-2</v>
      </c>
      <c r="R34" s="2913"/>
      <c r="S34" s="2911"/>
      <c r="T34" s="2912"/>
      <c r="U34" s="2912"/>
      <c r="V34" s="2912"/>
    </row>
    <row r="35" spans="1:26" ht="13.5" thickBot="1">
      <c r="A35" s="2896" t="s">
        <v>2736</v>
      </c>
      <c r="B35" s="2916">
        <f t="shared" si="30"/>
        <v>232.06990378821649</v>
      </c>
      <c r="C35" s="2916">
        <f t="shared" si="30"/>
        <v>192.74878854286936</v>
      </c>
      <c r="D35" s="2916">
        <f t="shared" si="16"/>
        <v>192.74878854286936</v>
      </c>
      <c r="E35" s="2916">
        <f t="shared" si="31"/>
        <v>319.71247284992984</v>
      </c>
      <c r="F35" s="2916">
        <f t="shared" si="31"/>
        <v>175.67053622862409</v>
      </c>
      <c r="G35" s="3761">
        <v>2010</v>
      </c>
      <c r="H35" s="2901">
        <v>1</v>
      </c>
      <c r="I35" s="2901">
        <v>5.4</v>
      </c>
      <c r="J35" s="2901">
        <v>3.2</v>
      </c>
      <c r="K35" s="2901">
        <v>6.16</v>
      </c>
      <c r="L35" s="2917">
        <v>4.51</v>
      </c>
      <c r="N35" s="2911">
        <f t="shared" si="18"/>
        <v>5.4000000000000006E-2</v>
      </c>
      <c r="O35" s="2912">
        <f t="shared" si="18"/>
        <v>3.2000000000000001E-2</v>
      </c>
      <c r="P35" s="2912">
        <f t="shared" si="18"/>
        <v>6.1600000000000002E-2</v>
      </c>
      <c r="Q35" s="2912">
        <f t="shared" si="18"/>
        <v>4.5100000000000001E-2</v>
      </c>
      <c r="R35" s="2913"/>
      <c r="S35" s="2919">
        <f>B35/B36-1</f>
        <v>5.4863199037347599E-2</v>
      </c>
      <c r="T35" s="2920">
        <f>C35/C36-1</f>
        <v>3.0742184721226584E-2</v>
      </c>
      <c r="U35" s="2920">
        <f>E35/E36-1</f>
        <v>6.2167683886810154E-2</v>
      </c>
      <c r="V35" s="2920">
        <f>F35/F36-1</f>
        <v>4.5657953741810031E-2</v>
      </c>
      <c r="X35" s="2895"/>
      <c r="Y35" s="2895"/>
      <c r="Z35" s="2895"/>
    </row>
    <row r="36" spans="1:26" ht="13.5" thickBot="1">
      <c r="A36" s="2896" t="s">
        <v>2737</v>
      </c>
      <c r="B36" s="2908">
        <v>220</v>
      </c>
      <c r="C36" s="2908">
        <v>187</v>
      </c>
      <c r="D36" s="2908">
        <f t="shared" si="16"/>
        <v>187</v>
      </c>
      <c r="E36" s="2908">
        <v>301</v>
      </c>
      <c r="F36" s="2909">
        <v>168</v>
      </c>
      <c r="G36" s="3759">
        <v>2009</v>
      </c>
      <c r="H36" s="2921">
        <v>4</v>
      </c>
      <c r="I36" s="2921">
        <v>2.2999999999999998</v>
      </c>
      <c r="J36" s="2921">
        <v>1.04</v>
      </c>
      <c r="K36" s="2921">
        <v>2.84</v>
      </c>
      <c r="L36" s="2922">
        <v>0.67</v>
      </c>
      <c r="N36" s="2923">
        <f t="shared" si="18"/>
        <v>2.3E-2</v>
      </c>
      <c r="O36" s="2924">
        <f t="shared" si="18"/>
        <v>1.04E-2</v>
      </c>
      <c r="P36" s="2924">
        <f t="shared" si="18"/>
        <v>2.8399999999999998E-2</v>
      </c>
      <c r="Q36" s="2924">
        <f t="shared" si="18"/>
        <v>6.7000000000000002E-3</v>
      </c>
      <c r="R36" s="2913"/>
      <c r="S36" s="2914"/>
      <c r="T36" s="2915"/>
      <c r="U36" s="2915"/>
      <c r="V36" s="2915"/>
      <c r="X36" s="2915"/>
      <c r="Y36" s="2915"/>
      <c r="Z36" s="2915"/>
    </row>
    <row r="37" spans="1:26">
      <c r="A37" s="2896" t="s">
        <v>2738</v>
      </c>
      <c r="B37" s="2916">
        <f t="shared" ref="B37:C39" si="32">B36/(1+N36)</f>
        <v>215.05376344086022</v>
      </c>
      <c r="C37" s="2916">
        <f t="shared" si="32"/>
        <v>185.0752177355503</v>
      </c>
      <c r="D37" s="2916">
        <f t="shared" si="16"/>
        <v>185.0752177355503</v>
      </c>
      <c r="E37" s="2916">
        <f t="shared" ref="E37:F39" si="33">E36/(1+P36)</f>
        <v>292.68767016725008</v>
      </c>
      <c r="F37" s="2916">
        <f t="shared" si="33"/>
        <v>166.88189132810174</v>
      </c>
      <c r="G37" s="3760">
        <v>2009</v>
      </c>
      <c r="H37" s="2926">
        <v>3</v>
      </c>
      <c r="I37" s="2926">
        <v>2.1</v>
      </c>
      <c r="J37" s="2926">
        <v>1.86</v>
      </c>
      <c r="K37" s="2926">
        <v>2.29</v>
      </c>
      <c r="L37" s="2927">
        <v>0.85</v>
      </c>
      <c r="N37" s="2911">
        <f t="shared" si="18"/>
        <v>2.1000000000000001E-2</v>
      </c>
      <c r="O37" s="2928">
        <f t="shared" si="18"/>
        <v>1.8600000000000002E-2</v>
      </c>
      <c r="P37" s="2928">
        <f t="shared" si="18"/>
        <v>2.29E-2</v>
      </c>
      <c r="Q37" s="2928">
        <f t="shared" si="18"/>
        <v>8.5000000000000006E-3</v>
      </c>
      <c r="R37" s="2913"/>
      <c r="S37" s="2911"/>
      <c r="T37" s="2912"/>
      <c r="U37" s="2912"/>
      <c r="V37" s="2912"/>
    </row>
    <row r="38" spans="1:26">
      <c r="A38" s="2896" t="s">
        <v>2739</v>
      </c>
      <c r="B38" s="2916">
        <f t="shared" si="32"/>
        <v>210.630522469011</v>
      </c>
      <c r="C38" s="2916">
        <f t="shared" si="32"/>
        <v>181.69567812247232</v>
      </c>
      <c r="D38" s="2916">
        <f t="shared" si="16"/>
        <v>181.69567812247232</v>
      </c>
      <c r="E38" s="2916">
        <f t="shared" si="33"/>
        <v>286.13517466736738</v>
      </c>
      <c r="F38" s="2916">
        <f t="shared" si="33"/>
        <v>165.47535084591149</v>
      </c>
      <c r="G38" s="3760">
        <v>2009</v>
      </c>
      <c r="H38" s="2902">
        <v>2</v>
      </c>
      <c r="I38" s="2902">
        <v>0.86</v>
      </c>
      <c r="J38" s="2902">
        <v>-1.1299999999999999</v>
      </c>
      <c r="K38" s="2902">
        <v>1.79</v>
      </c>
      <c r="L38" s="2918">
        <v>-2.0699999999999998</v>
      </c>
      <c r="N38" s="2911">
        <f t="shared" si="18"/>
        <v>8.6E-3</v>
      </c>
      <c r="O38" s="2928">
        <f t="shared" si="18"/>
        <v>-1.1299999999999999E-2</v>
      </c>
      <c r="P38" s="2928">
        <f t="shared" si="18"/>
        <v>1.7899999999999999E-2</v>
      </c>
      <c r="Q38" s="2928">
        <f t="shared" si="18"/>
        <v>-2.07E-2</v>
      </c>
      <c r="R38" s="2913"/>
      <c r="S38" s="2911"/>
      <c r="T38" s="2912"/>
      <c r="U38" s="2912"/>
      <c r="V38" s="2912"/>
    </row>
    <row r="39" spans="1:26">
      <c r="A39" s="2896" t="s">
        <v>2740</v>
      </c>
      <c r="B39" s="2916">
        <f t="shared" si="32"/>
        <v>208.83454537875372</v>
      </c>
      <c r="C39" s="2916">
        <f t="shared" si="32"/>
        <v>183.77230517090351</v>
      </c>
      <c r="D39" s="2916">
        <f t="shared" si="16"/>
        <v>183.77230517090351</v>
      </c>
      <c r="E39" s="2916">
        <f t="shared" si="33"/>
        <v>281.10342338870947</v>
      </c>
      <c r="F39" s="2916">
        <f t="shared" si="33"/>
        <v>168.97309388942256</v>
      </c>
      <c r="G39" s="3761">
        <v>2009</v>
      </c>
      <c r="H39" s="2901">
        <v>1</v>
      </c>
      <c r="I39" s="2901">
        <v>-2.64</v>
      </c>
      <c r="J39" s="2901">
        <v>-2.5299999999999998</v>
      </c>
      <c r="K39" s="2901">
        <v>-3.02</v>
      </c>
      <c r="L39" s="2917">
        <v>1.52</v>
      </c>
      <c r="N39" s="2919">
        <f t="shared" si="18"/>
        <v>-2.64E-2</v>
      </c>
      <c r="O39" s="2920">
        <f t="shared" si="18"/>
        <v>-2.53E-2</v>
      </c>
      <c r="P39" s="2920">
        <f t="shared" si="18"/>
        <v>-3.0200000000000001E-2</v>
      </c>
      <c r="Q39" s="2920">
        <f t="shared" si="18"/>
        <v>1.52E-2</v>
      </c>
      <c r="R39" s="2913"/>
      <c r="S39" s="2919">
        <f>B39/B40-1</f>
        <v>-2.4137638417038754E-2</v>
      </c>
      <c r="T39" s="2920">
        <f>C39/C40-1</f>
        <v>-2.248773845264096E-2</v>
      </c>
      <c r="U39" s="2920">
        <f>E39/E40-1</f>
        <v>-2.7323794502735366E-2</v>
      </c>
      <c r="V39" s="2920">
        <f>F39/F40-1</f>
        <v>1.7910204153148035E-2</v>
      </c>
      <c r="X39" s="2895"/>
      <c r="Y39" s="2895"/>
      <c r="Z39" s="2895"/>
    </row>
    <row r="40" spans="1:26" ht="13.5" thickBot="1">
      <c r="A40" s="2896" t="s">
        <v>2741</v>
      </c>
      <c r="B40" s="2950">
        <v>214</v>
      </c>
      <c r="C40" s="2950">
        <v>188</v>
      </c>
      <c r="D40" s="2950">
        <f t="shared" si="16"/>
        <v>188</v>
      </c>
      <c r="E40" s="2950">
        <v>289</v>
      </c>
      <c r="F40" s="2951">
        <v>166</v>
      </c>
      <c r="G40" s="3759">
        <v>2008</v>
      </c>
      <c r="H40" s="2921">
        <v>4</v>
      </c>
      <c r="I40" s="2921">
        <v>1.73</v>
      </c>
      <c r="J40" s="2921">
        <v>0.03</v>
      </c>
      <c r="K40" s="2921">
        <v>2.59</v>
      </c>
      <c r="L40" s="2922">
        <v>-1.66</v>
      </c>
      <c r="N40" s="2911">
        <f t="shared" si="18"/>
        <v>1.7299999999999999E-2</v>
      </c>
      <c r="O40" s="2912">
        <f t="shared" si="18"/>
        <v>2.9999999999999997E-4</v>
      </c>
      <c r="P40" s="2912">
        <f t="shared" si="18"/>
        <v>2.5899999999999999E-2</v>
      </c>
      <c r="Q40" s="2912">
        <f t="shared" si="18"/>
        <v>-1.66E-2</v>
      </c>
      <c r="R40" s="2913"/>
      <c r="S40" s="2914"/>
      <c r="T40" s="2915"/>
      <c r="U40" s="2915"/>
      <c r="V40" s="2915"/>
      <c r="X40" s="2915"/>
      <c r="Y40" s="2915"/>
      <c r="Z40" s="2915"/>
    </row>
    <row r="41" spans="1:26">
      <c r="A41" s="2896" t="s">
        <v>2742</v>
      </c>
      <c r="B41" s="2916">
        <f t="shared" ref="B41:C43" si="34">B40/(1+N40)</f>
        <v>210.36075887152265</v>
      </c>
      <c r="C41" s="2916">
        <f t="shared" si="34"/>
        <v>187.94361691492554</v>
      </c>
      <c r="D41" s="2916">
        <f t="shared" si="16"/>
        <v>187.94361691492554</v>
      </c>
      <c r="E41" s="2916">
        <f t="shared" ref="E41:F43" si="35">E40/(1+P40)</f>
        <v>281.70386977288234</v>
      </c>
      <c r="F41" s="2916">
        <f t="shared" si="35"/>
        <v>168.80211511083994</v>
      </c>
      <c r="G41" s="3760">
        <v>2008</v>
      </c>
      <c r="H41" s="2926">
        <v>3</v>
      </c>
      <c r="I41" s="2926">
        <v>1.96</v>
      </c>
      <c r="J41" s="2926">
        <v>2.36</v>
      </c>
      <c r="K41" s="2926">
        <v>1.82</v>
      </c>
      <c r="L41" s="2927">
        <v>2.2200000000000002</v>
      </c>
      <c r="N41" s="2911">
        <f t="shared" si="18"/>
        <v>1.9599999999999999E-2</v>
      </c>
      <c r="O41" s="2912">
        <f t="shared" si="18"/>
        <v>2.3599999999999999E-2</v>
      </c>
      <c r="P41" s="2912">
        <f t="shared" si="18"/>
        <v>1.8200000000000001E-2</v>
      </c>
      <c r="Q41" s="2912">
        <f t="shared" si="18"/>
        <v>2.2200000000000001E-2</v>
      </c>
      <c r="R41" s="2913"/>
      <c r="S41" s="2911"/>
      <c r="T41" s="2912"/>
      <c r="U41" s="2912"/>
      <c r="V41" s="2912"/>
    </row>
    <row r="42" spans="1:26">
      <c r="A42" s="2896" t="s">
        <v>2743</v>
      </c>
      <c r="B42" s="2916">
        <f t="shared" si="34"/>
        <v>206.31694671589116</v>
      </c>
      <c r="C42" s="2916">
        <f t="shared" si="34"/>
        <v>183.61041121036101</v>
      </c>
      <c r="D42" s="2916">
        <f t="shared" si="16"/>
        <v>183.61041121036101</v>
      </c>
      <c r="E42" s="2916">
        <f t="shared" si="35"/>
        <v>276.66850301795557</v>
      </c>
      <c r="F42" s="2916">
        <f t="shared" si="35"/>
        <v>165.1360938278614</v>
      </c>
      <c r="G42" s="3760">
        <v>2008</v>
      </c>
      <c r="H42" s="2902">
        <v>2</v>
      </c>
      <c r="I42" s="2902">
        <v>4.93</v>
      </c>
      <c r="J42" s="2902">
        <v>7.38</v>
      </c>
      <c r="K42" s="2902">
        <v>3.98</v>
      </c>
      <c r="L42" s="2918">
        <v>6.86</v>
      </c>
      <c r="N42" s="2911">
        <f t="shared" si="18"/>
        <v>4.9299999999999997E-2</v>
      </c>
      <c r="O42" s="2912">
        <f t="shared" si="18"/>
        <v>7.3800000000000004E-2</v>
      </c>
      <c r="P42" s="2912">
        <f t="shared" si="18"/>
        <v>3.9800000000000002E-2</v>
      </c>
      <c r="Q42" s="2912">
        <f t="shared" si="18"/>
        <v>6.8600000000000008E-2</v>
      </c>
      <c r="R42" s="2913"/>
      <c r="S42" s="2911"/>
      <c r="T42" s="2912"/>
      <c r="U42" s="2912"/>
      <c r="V42" s="2912"/>
    </row>
    <row r="43" spans="1:26" s="2956" customFormat="1" ht="13.5" thickBot="1">
      <c r="A43" s="2896" t="s">
        <v>2744</v>
      </c>
      <c r="B43" s="2953">
        <f t="shared" si="34"/>
        <v>196.62341248059772</v>
      </c>
      <c r="C43" s="2953">
        <f t="shared" si="34"/>
        <v>170.99125648199012</v>
      </c>
      <c r="D43" s="2953">
        <f t="shared" si="16"/>
        <v>170.99125648199012</v>
      </c>
      <c r="E43" s="2953">
        <f t="shared" si="35"/>
        <v>266.07857570490052</v>
      </c>
      <c r="F43" s="2953">
        <f t="shared" si="35"/>
        <v>154.53499328828505</v>
      </c>
      <c r="G43" s="3761">
        <v>2008</v>
      </c>
      <c r="H43" s="2954">
        <v>1</v>
      </c>
      <c r="I43" s="2954">
        <v>4.1399999999999997</v>
      </c>
      <c r="J43" s="2954">
        <v>3.45</v>
      </c>
      <c r="K43" s="2954">
        <v>4.95</v>
      </c>
      <c r="L43" s="2955">
        <v>4.82</v>
      </c>
      <c r="N43" s="2957">
        <f t="shared" si="18"/>
        <v>4.1399999999999999E-2</v>
      </c>
      <c r="O43" s="2958">
        <f t="shared" si="18"/>
        <v>3.4500000000000003E-2</v>
      </c>
      <c r="P43" s="2958">
        <f t="shared" si="18"/>
        <v>4.9500000000000002E-2</v>
      </c>
      <c r="Q43" s="2958">
        <f t="shared" si="18"/>
        <v>4.82E-2</v>
      </c>
      <c r="R43" s="2959"/>
      <c r="S43" s="2957">
        <f>B43/B44-1</f>
        <v>4.5869215322328349E-2</v>
      </c>
      <c r="T43" s="2958">
        <f>C43/C44-1</f>
        <v>3.6310645345394743E-2</v>
      </c>
      <c r="U43" s="2958">
        <f>E43/E44-1</f>
        <v>4.7553447657088688E-2</v>
      </c>
      <c r="V43" s="2958">
        <f>F43/F44-1</f>
        <v>4.4155360055980086E-2</v>
      </c>
      <c r="X43" s="2960"/>
      <c r="Y43" s="2960"/>
      <c r="Z43" s="2960"/>
    </row>
    <row r="44" spans="1:26" ht="13.5" thickBot="1">
      <c r="A44" s="2896" t="s">
        <v>2745</v>
      </c>
      <c r="B44" s="2908">
        <v>188</v>
      </c>
      <c r="C44" s="2908">
        <v>165</v>
      </c>
      <c r="D44" s="2908">
        <f t="shared" si="16"/>
        <v>165</v>
      </c>
      <c r="E44" s="2908">
        <v>254</v>
      </c>
      <c r="F44" s="2909">
        <v>148</v>
      </c>
      <c r="G44" s="3759">
        <v>2007</v>
      </c>
      <c r="H44" s="2961">
        <v>4</v>
      </c>
      <c r="I44" s="2961">
        <v>5.51</v>
      </c>
      <c r="J44" s="2961">
        <v>4.8899999999999997</v>
      </c>
      <c r="K44" s="2961">
        <v>6.43</v>
      </c>
      <c r="L44" s="2962">
        <v>5.36</v>
      </c>
      <c r="N44" s="2963">
        <f t="shared" ref="N44:O47" si="36">B44/B45-1</f>
        <v>4.1339718365245526E-2</v>
      </c>
      <c r="O44" s="2964">
        <f t="shared" si="36"/>
        <v>4.0324492593776018E-2</v>
      </c>
      <c r="P44" s="2964">
        <f t="shared" ref="P44:Q47" si="37">E44/E45-1</f>
        <v>6.1625555347990968E-2</v>
      </c>
      <c r="Q44" s="2964">
        <f t="shared" si="37"/>
        <v>4.6757569250590603E-2</v>
      </c>
      <c r="R44" s="2913"/>
      <c r="S44" s="2914"/>
      <c r="T44" s="2915"/>
      <c r="U44" s="2915"/>
      <c r="V44" s="2915"/>
      <c r="X44" s="2915"/>
      <c r="Y44" s="2915"/>
      <c r="Z44" s="2915"/>
    </row>
    <row r="45" spans="1:26">
      <c r="A45" s="2896" t="s">
        <v>2746</v>
      </c>
      <c r="B45" s="2916">
        <f t="shared" ref="B45:C47" si="38">B46+(B$44-B$48)*I45/SUM(I$44:I$47)</f>
        <v>180.5366651097618</v>
      </c>
      <c r="C45" s="2916">
        <f t="shared" si="38"/>
        <v>158.60435967302453</v>
      </c>
      <c r="D45" s="2916">
        <f t="shared" si="16"/>
        <v>158.60435967302453</v>
      </c>
      <c r="E45" s="2916">
        <f t="shared" ref="E45:F47" si="39">E46+(E$44-E$48)*K45/SUM(K$44:K$47)</f>
        <v>239.25573260785075</v>
      </c>
      <c r="F45" s="2916">
        <f t="shared" si="39"/>
        <v>141.38899430740037</v>
      </c>
      <c r="G45" s="3760">
        <v>2007</v>
      </c>
      <c r="H45" s="2926">
        <v>3</v>
      </c>
      <c r="I45" s="2926">
        <v>8.65</v>
      </c>
      <c r="J45" s="2926">
        <v>8.06</v>
      </c>
      <c r="K45" s="2926">
        <v>9.94</v>
      </c>
      <c r="L45" s="2927">
        <v>5.8</v>
      </c>
      <c r="N45" s="2963">
        <f t="shared" si="36"/>
        <v>6.940217571740015E-2</v>
      </c>
      <c r="O45" s="2964">
        <f t="shared" si="36"/>
        <v>7.1197482471153428E-2</v>
      </c>
      <c r="P45" s="2964">
        <f t="shared" si="37"/>
        <v>0.10529679922579582</v>
      </c>
      <c r="Q45" s="2964">
        <f t="shared" si="37"/>
        <v>5.3292245059512133E-2</v>
      </c>
      <c r="R45" s="2913"/>
      <c r="S45" s="2911"/>
      <c r="T45" s="2912"/>
      <c r="U45" s="2912"/>
      <c r="V45" s="2912"/>
      <c r="X45" s="2965"/>
      <c r="Y45" s="2965"/>
      <c r="Z45" s="2965"/>
    </row>
    <row r="46" spans="1:26">
      <c r="A46" s="2896" t="s">
        <v>2747</v>
      </c>
      <c r="B46" s="2916">
        <f t="shared" si="38"/>
        <v>168.82017748715555</v>
      </c>
      <c r="C46" s="2916">
        <f t="shared" si="38"/>
        <v>148.06267029972753</v>
      </c>
      <c r="D46" s="2916">
        <f t="shared" si="16"/>
        <v>148.06267029972753</v>
      </c>
      <c r="E46" s="2916">
        <f t="shared" si="39"/>
        <v>216.46288379323747</v>
      </c>
      <c r="F46" s="2916">
        <f t="shared" si="39"/>
        <v>134.23529411764704</v>
      </c>
      <c r="G46" s="3760">
        <v>2007</v>
      </c>
      <c r="H46" s="2902">
        <v>2</v>
      </c>
      <c r="I46" s="2902">
        <v>3.67</v>
      </c>
      <c r="J46" s="2902">
        <v>2.3199999999999998</v>
      </c>
      <c r="K46" s="2902">
        <v>5.0199999999999996</v>
      </c>
      <c r="L46" s="2918">
        <v>6.71</v>
      </c>
      <c r="N46" s="2963">
        <f t="shared" si="36"/>
        <v>3.0339138143848032E-2</v>
      </c>
      <c r="O46" s="2964">
        <f t="shared" si="36"/>
        <v>2.0922341588790472E-2</v>
      </c>
      <c r="P46" s="2964">
        <f t="shared" si="37"/>
        <v>5.6164796592717003E-2</v>
      </c>
      <c r="Q46" s="2964">
        <f t="shared" si="37"/>
        <v>6.5704536723887319E-2</v>
      </c>
      <c r="R46" s="2913"/>
      <c r="S46" s="2911"/>
      <c r="T46" s="2912"/>
      <c r="U46" s="2912"/>
      <c r="V46" s="2912"/>
      <c r="X46" s="2965"/>
      <c r="Y46" s="2965"/>
      <c r="Z46" s="2965"/>
    </row>
    <row r="47" spans="1:26">
      <c r="A47" s="2896" t="s">
        <v>2748</v>
      </c>
      <c r="B47" s="2916">
        <f t="shared" si="38"/>
        <v>163.84913591779542</v>
      </c>
      <c r="C47" s="2916">
        <f t="shared" si="38"/>
        <v>145.0283378746594</v>
      </c>
      <c r="D47" s="2916">
        <f t="shared" si="16"/>
        <v>145.0283378746594</v>
      </c>
      <c r="E47" s="2916">
        <f t="shared" si="39"/>
        <v>204.95180722891567</v>
      </c>
      <c r="F47" s="2916">
        <f t="shared" si="39"/>
        <v>125.95920303605313</v>
      </c>
      <c r="G47" s="3761">
        <v>2007</v>
      </c>
      <c r="H47" s="2901">
        <v>1</v>
      </c>
      <c r="I47" s="2901">
        <v>3.58</v>
      </c>
      <c r="J47" s="2901">
        <v>3.08</v>
      </c>
      <c r="K47" s="2901">
        <v>4.34</v>
      </c>
      <c r="L47" s="2917">
        <v>3.21</v>
      </c>
      <c r="N47" s="2966">
        <f t="shared" si="36"/>
        <v>3.0497710174814063E-2</v>
      </c>
      <c r="O47" s="2967">
        <f t="shared" si="36"/>
        <v>2.8569772160704998E-2</v>
      </c>
      <c r="P47" s="2967">
        <f t="shared" si="37"/>
        <v>5.1034908866234296E-2</v>
      </c>
      <c r="Q47" s="2967">
        <f t="shared" si="37"/>
        <v>3.245248390207478E-2</v>
      </c>
      <c r="R47" s="2913"/>
      <c r="S47" s="2919">
        <f>B47/B48-1</f>
        <v>3.0497710174814063E-2</v>
      </c>
      <c r="T47" s="2920">
        <f>C47/C48-1</f>
        <v>2.8569772160704998E-2</v>
      </c>
      <c r="U47" s="2920">
        <f>E47/E48-1</f>
        <v>5.1034908866234296E-2</v>
      </c>
      <c r="V47" s="2920">
        <f>F47/F48-1</f>
        <v>3.245248390207478E-2</v>
      </c>
      <c r="X47" s="2965"/>
      <c r="Y47" s="2965"/>
      <c r="Z47" s="2965"/>
    </row>
    <row r="48" spans="1:26" ht="13.5" thickBot="1">
      <c r="A48" s="2896" t="s">
        <v>2749</v>
      </c>
      <c r="B48" s="2929">
        <v>159</v>
      </c>
      <c r="C48" s="2929">
        <v>141</v>
      </c>
      <c r="D48" s="2929">
        <f t="shared" si="16"/>
        <v>141</v>
      </c>
      <c r="E48" s="2929">
        <v>195</v>
      </c>
      <c r="F48" s="2930">
        <v>122</v>
      </c>
      <c r="G48" s="3759">
        <v>2006</v>
      </c>
      <c r="H48" s="2921">
        <v>4</v>
      </c>
      <c r="I48" s="2921">
        <v>3.79</v>
      </c>
      <c r="J48" s="2921">
        <v>2.21</v>
      </c>
      <c r="K48" s="2921">
        <v>5.65</v>
      </c>
      <c r="L48" s="2922">
        <v>5.41</v>
      </c>
      <c r="N48" s="2963">
        <f t="shared" ref="N48:O51" si="40">I48/SUM(I$48:I$51)*(B$48/B$52-1)</f>
        <v>7.245466462748526E-2</v>
      </c>
      <c r="O48" s="2964">
        <f t="shared" si="40"/>
        <v>2.3237230038062766E-2</v>
      </c>
      <c r="P48" s="2964">
        <f t="shared" ref="P48:Q51" si="41">K48/SUM(K$48:K$51)*(E$48/E$52-1)</f>
        <v>0.16146893866323722</v>
      </c>
      <c r="Q48" s="2964">
        <f t="shared" si="41"/>
        <v>5.0755230321793784E-2</v>
      </c>
      <c r="R48" s="2913"/>
      <c r="S48" s="2914"/>
      <c r="T48" s="2915"/>
      <c r="U48" s="2915"/>
      <c r="V48" s="2915"/>
      <c r="X48" s="2965"/>
      <c r="Y48" s="2965"/>
      <c r="Z48" s="2965"/>
    </row>
    <row r="49" spans="1:26">
      <c r="A49" s="2896" t="s">
        <v>2750</v>
      </c>
      <c r="B49" s="2916">
        <f t="shared" ref="B49:C51" si="42">B50+(B$48-B$52)*I49/SUM(I$48:I$51)</f>
        <v>149.00125628140702</v>
      </c>
      <c r="C49" s="2916">
        <f t="shared" si="42"/>
        <v>137.95592286501378</v>
      </c>
      <c r="D49" s="2916">
        <f t="shared" si="16"/>
        <v>137.95592286501378</v>
      </c>
      <c r="E49" s="2916">
        <f t="shared" ref="E49:F51" si="43">E50+(E$48-E$52)*K49/SUM(K$48:K$51)</f>
        <v>169.97231450719823</v>
      </c>
      <c r="F49" s="2916">
        <f t="shared" si="43"/>
        <v>116.21390374331551</v>
      </c>
      <c r="G49" s="3760">
        <v>2006</v>
      </c>
      <c r="H49" s="2926">
        <v>3</v>
      </c>
      <c r="I49" s="2926">
        <v>0.92</v>
      </c>
      <c r="J49" s="2926">
        <v>1.08</v>
      </c>
      <c r="K49" s="2926">
        <v>0.73</v>
      </c>
      <c r="L49" s="2927">
        <v>1.08</v>
      </c>
      <c r="N49" s="2963">
        <f t="shared" si="40"/>
        <v>1.7587939698492462E-2</v>
      </c>
      <c r="O49" s="2964">
        <f t="shared" si="40"/>
        <v>1.1355750425840628E-2</v>
      </c>
      <c r="P49" s="2964">
        <f t="shared" si="41"/>
        <v>2.0862358446754544E-2</v>
      </c>
      <c r="Q49" s="2964">
        <f t="shared" si="41"/>
        <v>1.0132282578103011E-2</v>
      </c>
      <c r="R49" s="2913"/>
      <c r="S49" s="2911"/>
      <c r="T49" s="2912"/>
      <c r="U49" s="2912"/>
      <c r="V49" s="2912"/>
      <c r="X49" s="2965"/>
      <c r="Y49" s="2965"/>
      <c r="Z49" s="2965"/>
    </row>
    <row r="50" spans="1:26">
      <c r="A50" s="2896" t="s">
        <v>2751</v>
      </c>
      <c r="B50" s="2916">
        <f t="shared" si="42"/>
        <v>146.57412060301507</v>
      </c>
      <c r="C50" s="2916">
        <f t="shared" si="42"/>
        <v>136.46831955922866</v>
      </c>
      <c r="D50" s="2916">
        <f t="shared" si="16"/>
        <v>136.46831955922866</v>
      </c>
      <c r="E50" s="2916">
        <f t="shared" si="43"/>
        <v>166.73864894795128</v>
      </c>
      <c r="F50" s="2916">
        <f t="shared" si="43"/>
        <v>115.05882352941177</v>
      </c>
      <c r="G50" s="3760">
        <v>2006</v>
      </c>
      <c r="H50" s="2902">
        <v>2</v>
      </c>
      <c r="I50" s="2902">
        <v>0.96</v>
      </c>
      <c r="J50" s="2902">
        <v>0.25</v>
      </c>
      <c r="K50" s="2902">
        <v>1.9</v>
      </c>
      <c r="L50" s="2918">
        <v>0.95</v>
      </c>
      <c r="N50" s="2963">
        <f t="shared" si="40"/>
        <v>1.8352632728861701E-2</v>
      </c>
      <c r="O50" s="2964">
        <f t="shared" si="40"/>
        <v>2.6286459319075526E-3</v>
      </c>
      <c r="P50" s="2964">
        <f t="shared" si="41"/>
        <v>5.4299289107991269E-2</v>
      </c>
      <c r="Q50" s="2964">
        <f t="shared" si="41"/>
        <v>8.9126559714794995E-3</v>
      </c>
      <c r="R50" s="2913"/>
      <c r="S50" s="2911"/>
      <c r="T50" s="2912"/>
      <c r="U50" s="2912"/>
      <c r="V50" s="2912"/>
      <c r="X50" s="2965"/>
      <c r="Y50" s="2965"/>
      <c r="Z50" s="2965"/>
    </row>
    <row r="51" spans="1:26">
      <c r="A51" s="2896" t="s">
        <v>2752</v>
      </c>
      <c r="B51" s="2916">
        <f t="shared" si="42"/>
        <v>144.04145728643215</v>
      </c>
      <c r="C51" s="2916">
        <f t="shared" si="42"/>
        <v>136.12396694214877</v>
      </c>
      <c r="D51" s="2916">
        <f t="shared" si="16"/>
        <v>136.12396694214877</v>
      </c>
      <c r="E51" s="2916">
        <f t="shared" si="43"/>
        <v>158.32225913621264</v>
      </c>
      <c r="F51" s="2916">
        <f t="shared" si="43"/>
        <v>114.04278074866311</v>
      </c>
      <c r="G51" s="3761">
        <v>2006</v>
      </c>
      <c r="H51" s="2901">
        <v>1</v>
      </c>
      <c r="I51" s="2901">
        <v>2.29</v>
      </c>
      <c r="J51" s="2901">
        <v>3.72</v>
      </c>
      <c r="K51" s="2901">
        <v>0.75</v>
      </c>
      <c r="L51" s="2917">
        <v>0.04</v>
      </c>
      <c r="N51" s="2966">
        <f t="shared" si="40"/>
        <v>4.3778675988638847E-2</v>
      </c>
      <c r="O51" s="2967">
        <f t="shared" si="40"/>
        <v>3.9114251466784385E-2</v>
      </c>
      <c r="P51" s="2967">
        <f t="shared" si="41"/>
        <v>2.1433929911049188E-2</v>
      </c>
      <c r="Q51" s="2967">
        <f t="shared" si="41"/>
        <v>3.7526972511492629E-4</v>
      </c>
      <c r="R51" s="2913"/>
      <c r="S51" s="2919">
        <f>B51/B52-1</f>
        <v>4.3778675988638716E-2</v>
      </c>
      <c r="T51" s="2920">
        <f>C51/C52-1</f>
        <v>3.91142514667846E-2</v>
      </c>
      <c r="U51" s="2920">
        <f>E51/E52-1</f>
        <v>2.143392991104931E-2</v>
      </c>
      <c r="V51" s="2920">
        <f>F51/F52-1</f>
        <v>3.7526972511492396E-4</v>
      </c>
      <c r="X51" s="2965"/>
      <c r="Y51" s="2965"/>
      <c r="Z51" s="2965"/>
    </row>
    <row r="52" spans="1:26" ht="13.5" thickBot="1">
      <c r="A52" s="2896" t="s">
        <v>2753</v>
      </c>
      <c r="B52" s="2929">
        <v>138</v>
      </c>
      <c r="C52" s="2929">
        <v>131</v>
      </c>
      <c r="D52" s="2929">
        <f t="shared" si="16"/>
        <v>131</v>
      </c>
      <c r="E52" s="2929">
        <v>155</v>
      </c>
      <c r="F52" s="2930">
        <v>114</v>
      </c>
      <c r="G52" s="3759">
        <v>2005</v>
      </c>
      <c r="H52" s="2921">
        <v>4</v>
      </c>
      <c r="I52" s="2921">
        <v>3.29</v>
      </c>
      <c r="J52" s="2921">
        <v>1.44</v>
      </c>
      <c r="K52" s="2921">
        <v>0.66</v>
      </c>
      <c r="L52" s="2922">
        <v>7.78</v>
      </c>
      <c r="N52" s="2963">
        <f t="shared" ref="N52:O55" si="44">I52/SUM(I$52:I$55)*(B$52/B$56-1)</f>
        <v>9.9404603216919935E-2</v>
      </c>
      <c r="O52" s="2964">
        <f t="shared" si="44"/>
        <v>4.7636550760861554E-2</v>
      </c>
      <c r="P52" s="2964">
        <f t="shared" ref="P52:Q55" si="45">K52/SUM(K$52:K$55)*(E$52/E$56-1)</f>
        <v>8.3756345177664976E-2</v>
      </c>
      <c r="Q52" s="2964">
        <f t="shared" si="45"/>
        <v>5.2148766661559584E-2</v>
      </c>
      <c r="R52" s="2913"/>
      <c r="S52" s="2914"/>
      <c r="T52" s="2915"/>
      <c r="U52" s="2915"/>
      <c r="V52" s="2915"/>
      <c r="X52" s="2965"/>
      <c r="Y52" s="2965"/>
      <c r="Z52" s="2965"/>
    </row>
    <row r="53" spans="1:26">
      <c r="A53" s="2896" t="s">
        <v>2754</v>
      </c>
      <c r="B53" s="2916">
        <f t="shared" ref="B53:C55" si="46">B54+(B$52-B$56)*I53/SUM(I$52:I$55)</f>
        <v>125.9720430107527</v>
      </c>
      <c r="C53" s="2916">
        <f t="shared" si="46"/>
        <v>125.1883408071749</v>
      </c>
      <c r="D53" s="2916">
        <f t="shared" si="16"/>
        <v>125.1883408071749</v>
      </c>
      <c r="E53" s="2916">
        <f t="shared" ref="E53:F55" si="47">E54+(E$52-E$56)*K53/SUM(K$52:K$55)</f>
        <v>144.61421319796952</v>
      </c>
      <c r="F53" s="2916">
        <f t="shared" si="47"/>
        <v>108.42008196721311</v>
      </c>
      <c r="G53" s="3760">
        <v>2005</v>
      </c>
      <c r="H53" s="2926">
        <v>3</v>
      </c>
      <c r="I53" s="2926">
        <v>0.46</v>
      </c>
      <c r="J53" s="2926">
        <v>0.32</v>
      </c>
      <c r="K53" s="2926">
        <v>0.42</v>
      </c>
      <c r="L53" s="2927">
        <v>0.64</v>
      </c>
      <c r="N53" s="2963">
        <f t="shared" si="44"/>
        <v>1.3898515951301874E-2</v>
      </c>
      <c r="O53" s="2964">
        <f t="shared" si="44"/>
        <v>1.0585900169080346E-2</v>
      </c>
      <c r="P53" s="2964">
        <f t="shared" si="45"/>
        <v>5.3299492385786795E-2</v>
      </c>
      <c r="Q53" s="2964">
        <f t="shared" si="45"/>
        <v>4.2898728359123568E-3</v>
      </c>
      <c r="R53" s="2913"/>
      <c r="S53" s="2911"/>
      <c r="T53" s="2912"/>
      <c r="U53" s="2912"/>
      <c r="V53" s="2912"/>
      <c r="X53" s="2965"/>
      <c r="Y53" s="2965"/>
      <c r="Z53" s="2965"/>
    </row>
    <row r="54" spans="1:26">
      <c r="A54" s="2896" t="s">
        <v>2755</v>
      </c>
      <c r="B54" s="2916">
        <f t="shared" si="46"/>
        <v>124.29032258064517</v>
      </c>
      <c r="C54" s="2916">
        <f t="shared" si="46"/>
        <v>123.8968609865471</v>
      </c>
      <c r="D54" s="2916">
        <f t="shared" si="16"/>
        <v>123.8968609865471</v>
      </c>
      <c r="E54" s="2916">
        <f t="shared" si="47"/>
        <v>138.00507614213197</v>
      </c>
      <c r="F54" s="2916">
        <f t="shared" si="47"/>
        <v>107.96106557377048</v>
      </c>
      <c r="G54" s="3760">
        <v>2005</v>
      </c>
      <c r="H54" s="2902">
        <v>2</v>
      </c>
      <c r="I54" s="2902">
        <v>0.47</v>
      </c>
      <c r="J54" s="2902">
        <v>0.1</v>
      </c>
      <c r="K54" s="2902">
        <v>0.52</v>
      </c>
      <c r="L54" s="2918">
        <v>0.79</v>
      </c>
      <c r="N54" s="2963">
        <f t="shared" si="44"/>
        <v>1.420065760241713E-2</v>
      </c>
      <c r="O54" s="2964">
        <f t="shared" si="44"/>
        <v>3.3080938028376083E-3</v>
      </c>
      <c r="P54" s="2964">
        <f t="shared" si="45"/>
        <v>6.598984771573603E-2</v>
      </c>
      <c r="Q54" s="2964">
        <f t="shared" si="45"/>
        <v>5.2953117818293153E-3</v>
      </c>
      <c r="R54" s="2913"/>
      <c r="S54" s="2911"/>
      <c r="T54" s="2912"/>
      <c r="U54" s="2912"/>
      <c r="V54" s="2912"/>
      <c r="X54" s="2965"/>
      <c r="Y54" s="2965"/>
      <c r="Z54" s="2965"/>
    </row>
    <row r="55" spans="1:26">
      <c r="A55" s="2896" t="s">
        <v>2756</v>
      </c>
      <c r="B55" s="2916">
        <f t="shared" si="46"/>
        <v>122.57204301075269</v>
      </c>
      <c r="C55" s="2916">
        <f t="shared" si="46"/>
        <v>123.4932735426009</v>
      </c>
      <c r="D55" s="2916">
        <f t="shared" si="16"/>
        <v>123.4932735426009</v>
      </c>
      <c r="E55" s="2916">
        <f t="shared" si="47"/>
        <v>129.82233502538071</v>
      </c>
      <c r="F55" s="2916">
        <f t="shared" si="47"/>
        <v>107.39446721311475</v>
      </c>
      <c r="G55" s="3761">
        <v>2005</v>
      </c>
      <c r="H55" s="2901">
        <v>1</v>
      </c>
      <c r="I55" s="2901">
        <v>0.43</v>
      </c>
      <c r="J55" s="2901">
        <v>0.37</v>
      </c>
      <c r="K55" s="2901">
        <v>0.37</v>
      </c>
      <c r="L55" s="2917">
        <v>0.55000000000000004</v>
      </c>
      <c r="N55" s="2966">
        <f t="shared" si="44"/>
        <v>1.2992090997956099E-2</v>
      </c>
      <c r="O55" s="2967">
        <f t="shared" si="44"/>
        <v>1.2239947070499151E-2</v>
      </c>
      <c r="P55" s="2967">
        <f t="shared" si="45"/>
        <v>4.6954314720812178E-2</v>
      </c>
      <c r="Q55" s="2967">
        <f t="shared" si="45"/>
        <v>3.6866094683621815E-3</v>
      </c>
      <c r="R55" s="2913"/>
      <c r="S55" s="2919">
        <f>B55/B56-1</f>
        <v>1.2992090997956174E-2</v>
      </c>
      <c r="T55" s="2920">
        <f>C55/C56-1</f>
        <v>1.2239947070499246E-2</v>
      </c>
      <c r="U55" s="2920">
        <f>E55/E56-1</f>
        <v>4.695431472081224E-2</v>
      </c>
      <c r="V55" s="2920">
        <f>F55/F56-1</f>
        <v>3.6866094683620787E-3</v>
      </c>
      <c r="X55" s="2965"/>
      <c r="Y55" s="2965"/>
      <c r="Z55" s="2965"/>
    </row>
    <row r="56" spans="1:26" ht="13.5" thickBot="1">
      <c r="A56" s="2896" t="s">
        <v>2757</v>
      </c>
      <c r="B56" s="2950">
        <v>121</v>
      </c>
      <c r="C56" s="2950">
        <v>122</v>
      </c>
      <c r="D56" s="2950">
        <f t="shared" si="16"/>
        <v>122</v>
      </c>
      <c r="E56" s="2950">
        <v>124</v>
      </c>
      <c r="F56" s="2951">
        <v>107</v>
      </c>
      <c r="G56" s="3759">
        <v>2004</v>
      </c>
      <c r="H56" s="2921">
        <v>4</v>
      </c>
      <c r="I56" s="2921">
        <v>0.33</v>
      </c>
      <c r="J56" s="2921">
        <v>0.5</v>
      </c>
      <c r="K56" s="2921">
        <v>0.5</v>
      </c>
      <c r="L56" s="2922">
        <v>0</v>
      </c>
      <c r="N56" s="2963">
        <f t="shared" ref="N56:O59" si="48">I56/SUM(I$56:I$59)*(B$56/B$60-1)</f>
        <v>1.3391770148526898E-2</v>
      </c>
      <c r="O56" s="2964">
        <f t="shared" si="48"/>
        <v>1.063264221158958E-2</v>
      </c>
      <c r="P56" s="2964">
        <f t="shared" ref="P56:Q59" si="49">K56/SUM(K$56:K$59)*(E$56/E$60-1)</f>
        <v>2.2244466688911134E-2</v>
      </c>
      <c r="Q56" s="2964">
        <f t="shared" si="49"/>
        <v>0</v>
      </c>
      <c r="R56" s="2913"/>
      <c r="S56" s="2914"/>
      <c r="T56" s="2915"/>
      <c r="U56" s="2915"/>
      <c r="V56" s="2915"/>
      <c r="X56" s="2965"/>
      <c r="Y56" s="2965"/>
      <c r="Z56" s="2965"/>
    </row>
    <row r="57" spans="1:26">
      <c r="A57" s="2896" t="s">
        <v>2758</v>
      </c>
      <c r="B57" s="2916">
        <f t="shared" ref="B57:C59" si="50">B58+(B$56-B$60)*I57/SUM(I$56:I$59)</f>
        <v>119.51351351351352</v>
      </c>
      <c r="C57" s="2916">
        <f t="shared" si="50"/>
        <v>120.7878787878788</v>
      </c>
      <c r="D57" s="2916">
        <f t="shared" si="16"/>
        <v>120.7878787878788</v>
      </c>
      <c r="E57" s="2916">
        <f t="shared" ref="E57:F59" si="51">E58+(E$56-E$60)*K57/SUM(K$56:K$59)</f>
        <v>121.5975975975976</v>
      </c>
      <c r="F57" s="2916">
        <f t="shared" si="51"/>
        <v>107</v>
      </c>
      <c r="G57" s="3760">
        <v>2004</v>
      </c>
      <c r="H57" s="2926">
        <v>3</v>
      </c>
      <c r="I57" s="2926">
        <v>0.56000000000000005</v>
      </c>
      <c r="J57" s="2926">
        <v>0.8</v>
      </c>
      <c r="K57" s="2926">
        <v>0.83</v>
      </c>
      <c r="L57" s="2927">
        <v>0.06</v>
      </c>
      <c r="N57" s="2963">
        <f t="shared" si="48"/>
        <v>2.2725428130833527E-2</v>
      </c>
      <c r="O57" s="2964">
        <f t="shared" si="48"/>
        <v>1.7012227538543329E-2</v>
      </c>
      <c r="P57" s="2964">
        <f t="shared" si="49"/>
        <v>3.6925814703592477E-2</v>
      </c>
      <c r="Q57" s="2964">
        <f t="shared" si="49"/>
        <v>2.8846153846153744E-2</v>
      </c>
      <c r="R57" s="2913"/>
      <c r="S57" s="2911"/>
      <c r="T57" s="2912"/>
      <c r="U57" s="2912"/>
      <c r="V57" s="2912"/>
      <c r="X57" s="2965"/>
      <c r="Y57" s="2965"/>
      <c r="Z57" s="2965"/>
    </row>
    <row r="58" spans="1:26">
      <c r="A58" s="2896" t="s">
        <v>2759</v>
      </c>
      <c r="B58" s="2916">
        <f t="shared" si="50"/>
        <v>116.99099099099099</v>
      </c>
      <c r="C58" s="2916">
        <f t="shared" si="50"/>
        <v>118.84848484848486</v>
      </c>
      <c r="D58" s="2916">
        <f t="shared" si="16"/>
        <v>118.84848484848486</v>
      </c>
      <c r="E58" s="2916">
        <f t="shared" si="51"/>
        <v>117.60960960960961</v>
      </c>
      <c r="F58" s="2916">
        <f t="shared" si="51"/>
        <v>104</v>
      </c>
      <c r="G58" s="3760">
        <v>2004</v>
      </c>
      <c r="H58" s="2902">
        <v>2</v>
      </c>
      <c r="I58" s="2902">
        <v>1</v>
      </c>
      <c r="J58" s="2902">
        <v>1.5</v>
      </c>
      <c r="K58" s="2902">
        <v>1.5</v>
      </c>
      <c r="L58" s="2918">
        <v>0</v>
      </c>
      <c r="N58" s="2963">
        <f t="shared" si="48"/>
        <v>4.0581121662202721E-2</v>
      </c>
      <c r="O58" s="2964">
        <f t="shared" si="48"/>
        <v>3.1897926634768738E-2</v>
      </c>
      <c r="P58" s="2964">
        <f t="shared" si="49"/>
        <v>6.6733400066733395E-2</v>
      </c>
      <c r="Q58" s="2964">
        <f t="shared" si="49"/>
        <v>0</v>
      </c>
      <c r="R58" s="2913"/>
      <c r="S58" s="2911"/>
      <c r="T58" s="2912"/>
      <c r="U58" s="2912"/>
      <c r="V58" s="2912"/>
      <c r="X58" s="2965"/>
      <c r="Y58" s="2965"/>
      <c r="Z58" s="2965"/>
    </row>
    <row r="59" spans="1:26" s="2956" customFormat="1" ht="13.5" thickBot="1">
      <c r="A59" s="2896" t="s">
        <v>2760</v>
      </c>
      <c r="B59" s="2953">
        <f t="shared" si="50"/>
        <v>112.48648648648648</v>
      </c>
      <c r="C59" s="2953">
        <f t="shared" si="50"/>
        <v>115.21212121212122</v>
      </c>
      <c r="D59" s="2953">
        <f t="shared" si="16"/>
        <v>115.21212121212122</v>
      </c>
      <c r="E59" s="2953">
        <f t="shared" si="51"/>
        <v>110.4024024024024</v>
      </c>
      <c r="F59" s="2953">
        <f t="shared" si="51"/>
        <v>104</v>
      </c>
      <c r="G59" s="3761">
        <v>2004</v>
      </c>
      <c r="H59" s="2954">
        <v>1</v>
      </c>
      <c r="I59" s="2954">
        <v>0.33</v>
      </c>
      <c r="J59" s="2954">
        <v>0.5</v>
      </c>
      <c r="K59" s="2954">
        <v>0.5</v>
      </c>
      <c r="L59" s="2955">
        <v>0</v>
      </c>
      <c r="N59" s="2968">
        <f t="shared" si="48"/>
        <v>1.3391770148526898E-2</v>
      </c>
      <c r="O59" s="2969">
        <f t="shared" si="48"/>
        <v>1.063264221158958E-2</v>
      </c>
      <c r="P59" s="2969">
        <f t="shared" si="49"/>
        <v>2.2244466688911134E-2</v>
      </c>
      <c r="Q59" s="2969">
        <f t="shared" si="49"/>
        <v>0</v>
      </c>
      <c r="R59" s="2959"/>
      <c r="S59" s="2957">
        <f>B59/B60-1</f>
        <v>1.3391770148526883E-2</v>
      </c>
      <c r="T59" s="2958">
        <f>C59/C60-1</f>
        <v>1.063264221158966E-2</v>
      </c>
      <c r="U59" s="2958">
        <f>E59/E60-1</f>
        <v>2.2244466688911224E-2</v>
      </c>
      <c r="V59" s="2958">
        <f>F59/F60-1</f>
        <v>0</v>
      </c>
      <c r="X59" s="2970"/>
      <c r="Y59" s="2970"/>
      <c r="Z59" s="2970"/>
    </row>
    <row r="60" spans="1:26" ht="13.5" thickBot="1">
      <c r="A60" s="2896" t="s">
        <v>2761</v>
      </c>
      <c r="B60" s="2971">
        <v>111</v>
      </c>
      <c r="C60" s="2971">
        <v>114</v>
      </c>
      <c r="D60" s="2971">
        <f t="shared" si="16"/>
        <v>114</v>
      </c>
      <c r="E60" s="2971">
        <v>108</v>
      </c>
      <c r="F60" s="2972">
        <v>104</v>
      </c>
      <c r="G60" s="3759">
        <v>2003</v>
      </c>
      <c r="H60" s="2961">
        <v>4</v>
      </c>
      <c r="I60" s="2973"/>
      <c r="J60" s="2973"/>
      <c r="K60" s="2973"/>
      <c r="L60" s="2973"/>
      <c r="N60" s="2974"/>
      <c r="O60" s="2973"/>
      <c r="P60" s="2973"/>
      <c r="Q60" s="2973"/>
      <c r="S60" s="2974"/>
      <c r="T60" s="2973"/>
      <c r="U60" s="2973"/>
      <c r="V60" s="2973"/>
      <c r="X60" s="2965"/>
      <c r="Y60" s="2965"/>
      <c r="Z60" s="2965"/>
    </row>
    <row r="61" spans="1:26">
      <c r="A61" s="2896" t="s">
        <v>2762</v>
      </c>
      <c r="B61" s="2975">
        <f t="shared" ref="B61:C63" si="52">B62+(B$60-B$64)/4</f>
        <v>109.75</v>
      </c>
      <c r="C61" s="2975">
        <f t="shared" si="52"/>
        <v>112.25</v>
      </c>
      <c r="D61" s="2975">
        <f t="shared" si="16"/>
        <v>112.25</v>
      </c>
      <c r="E61" s="2975">
        <f t="shared" ref="E61:F63" si="53">E62+(E$60-E$64)/4</f>
        <v>107.25</v>
      </c>
      <c r="F61" s="2975">
        <f t="shared" si="53"/>
        <v>103.5</v>
      </c>
      <c r="G61" s="3760">
        <v>2003</v>
      </c>
      <c r="H61" s="2926">
        <v>3</v>
      </c>
      <c r="I61" s="2973"/>
      <c r="J61" s="2973"/>
      <c r="K61" s="2973"/>
      <c r="L61" s="2973"/>
      <c r="X61" s="2965"/>
      <c r="Y61" s="2965"/>
      <c r="Z61" s="2965"/>
    </row>
    <row r="62" spans="1:26">
      <c r="A62" s="2896" t="s">
        <v>2763</v>
      </c>
      <c r="B62" s="2975">
        <f t="shared" si="52"/>
        <v>108.5</v>
      </c>
      <c r="C62" s="2975">
        <f t="shared" si="52"/>
        <v>110.5</v>
      </c>
      <c r="D62" s="2975">
        <f t="shared" si="16"/>
        <v>110.5</v>
      </c>
      <c r="E62" s="2975">
        <f t="shared" si="53"/>
        <v>106.5</v>
      </c>
      <c r="F62" s="2975">
        <f t="shared" si="53"/>
        <v>103</v>
      </c>
      <c r="G62" s="3760">
        <v>2003</v>
      </c>
      <c r="H62" s="2902">
        <v>2</v>
      </c>
      <c r="I62" s="2973"/>
      <c r="J62" s="2973"/>
      <c r="K62" s="2973"/>
      <c r="L62" s="2973"/>
      <c r="X62" s="2965"/>
      <c r="Y62" s="2965"/>
      <c r="Z62" s="2965"/>
    </row>
    <row r="63" spans="1:26" ht="13.5" thickBot="1">
      <c r="A63" s="2896" t="s">
        <v>2764</v>
      </c>
      <c r="B63" s="2975">
        <f t="shared" si="52"/>
        <v>107.25</v>
      </c>
      <c r="C63" s="2975">
        <f t="shared" si="52"/>
        <v>108.75</v>
      </c>
      <c r="D63" s="2975">
        <f t="shared" si="16"/>
        <v>108.75</v>
      </c>
      <c r="E63" s="2975">
        <f t="shared" si="53"/>
        <v>105.75</v>
      </c>
      <c r="F63" s="2975">
        <f t="shared" si="53"/>
        <v>102.5</v>
      </c>
      <c r="G63" s="3761">
        <v>2003</v>
      </c>
      <c r="H63" s="2976">
        <v>1</v>
      </c>
      <c r="I63" s="2973"/>
      <c r="J63" s="2973"/>
      <c r="K63" s="2973"/>
      <c r="L63" s="2973"/>
      <c r="S63" s="2911"/>
      <c r="T63" s="2912"/>
      <c r="U63" s="2912"/>
      <c r="X63" s="2965"/>
      <c r="Y63" s="2965"/>
      <c r="Z63" s="2965"/>
    </row>
    <row r="64" spans="1:26" ht="13.5" thickBot="1">
      <c r="A64" s="2896" t="s">
        <v>2765</v>
      </c>
      <c r="B64" s="2977">
        <v>106</v>
      </c>
      <c r="C64" s="2977">
        <v>107</v>
      </c>
      <c r="D64" s="2977">
        <f t="shared" si="16"/>
        <v>107</v>
      </c>
      <c r="E64" s="2977">
        <v>105</v>
      </c>
      <c r="F64" s="2978">
        <v>102</v>
      </c>
      <c r="G64" s="3759">
        <v>2002</v>
      </c>
      <c r="H64" s="2921">
        <v>4</v>
      </c>
      <c r="I64" s="2973"/>
      <c r="J64" s="2973"/>
      <c r="K64" s="2973"/>
      <c r="L64" s="2973"/>
      <c r="N64" s="2974"/>
      <c r="O64" s="2973"/>
      <c r="P64" s="2973"/>
      <c r="Q64" s="2973"/>
      <c r="S64" s="2974"/>
      <c r="T64" s="2973"/>
      <c r="U64" s="2973"/>
      <c r="V64" s="2973"/>
      <c r="X64" s="2965"/>
      <c r="Y64" s="2965"/>
      <c r="Z64" s="2965"/>
    </row>
    <row r="65" spans="1:26">
      <c r="A65" s="2896" t="s">
        <v>2766</v>
      </c>
      <c r="B65" s="2975">
        <f t="shared" ref="B65:C67" si="54">B66+(B$64-B$68)/4</f>
        <v>105</v>
      </c>
      <c r="C65" s="2975">
        <f t="shared" si="54"/>
        <v>106</v>
      </c>
      <c r="D65" s="2975">
        <f t="shared" si="16"/>
        <v>106</v>
      </c>
      <c r="E65" s="2975">
        <f t="shared" ref="E65:F67" si="55">E66+(E$64-E$68)/4</f>
        <v>104.5</v>
      </c>
      <c r="F65" s="2975">
        <f t="shared" si="55"/>
        <v>101.5</v>
      </c>
      <c r="G65" s="3760">
        <v>2002</v>
      </c>
      <c r="H65" s="2926">
        <v>3</v>
      </c>
      <c r="I65" s="2973"/>
      <c r="J65" s="2973"/>
      <c r="K65" s="2973"/>
      <c r="L65" s="2973"/>
      <c r="X65" s="2965"/>
      <c r="Y65" s="2965"/>
      <c r="Z65" s="2965"/>
    </row>
    <row r="66" spans="1:26">
      <c r="A66" s="2896" t="s">
        <v>2767</v>
      </c>
      <c r="B66" s="2975">
        <f t="shared" si="54"/>
        <v>104</v>
      </c>
      <c r="C66" s="2975">
        <f t="shared" si="54"/>
        <v>105</v>
      </c>
      <c r="D66" s="2975">
        <f t="shared" si="16"/>
        <v>105</v>
      </c>
      <c r="E66" s="2975">
        <f t="shared" si="55"/>
        <v>104</v>
      </c>
      <c r="F66" s="2975">
        <f t="shared" si="55"/>
        <v>101</v>
      </c>
      <c r="G66" s="3760">
        <v>2002</v>
      </c>
      <c r="H66" s="2902">
        <v>2</v>
      </c>
      <c r="I66" s="2973"/>
      <c r="J66" s="2973"/>
      <c r="K66" s="2973"/>
      <c r="L66" s="2973"/>
      <c r="X66" s="2965"/>
      <c r="Y66" s="2965"/>
      <c r="Z66" s="2965"/>
    </row>
    <row r="67" spans="1:26" s="2937" customFormat="1" ht="13.5" thickBot="1">
      <c r="A67" s="2933" t="s">
        <v>2768</v>
      </c>
      <c r="B67" s="2979">
        <f t="shared" si="54"/>
        <v>103</v>
      </c>
      <c r="C67" s="2979">
        <f t="shared" si="54"/>
        <v>104</v>
      </c>
      <c r="D67" s="2979">
        <f t="shared" si="16"/>
        <v>104</v>
      </c>
      <c r="E67" s="2979">
        <f t="shared" si="55"/>
        <v>103.5</v>
      </c>
      <c r="F67" s="2979">
        <f t="shared" si="55"/>
        <v>100.5</v>
      </c>
      <c r="G67" s="3761">
        <v>2002</v>
      </c>
      <c r="H67" s="2980">
        <v>1</v>
      </c>
      <c r="I67" s="2981"/>
      <c r="J67" s="2981"/>
      <c r="K67" s="2981"/>
      <c r="L67" s="2981"/>
      <c r="N67" s="2982"/>
      <c r="S67" s="2982"/>
      <c r="X67" s="2983"/>
      <c r="Y67" s="2983"/>
      <c r="Z67" s="2983"/>
    </row>
    <row r="68" spans="1:26" ht="13.5" thickBot="1">
      <c r="B68" s="2984">
        <v>102</v>
      </c>
      <c r="C68" s="2985">
        <v>103</v>
      </c>
      <c r="D68" s="2985">
        <f t="shared" si="16"/>
        <v>103</v>
      </c>
      <c r="E68" s="2985">
        <v>103</v>
      </c>
      <c r="F68" s="2986">
        <v>100</v>
      </c>
      <c r="I68" s="2973"/>
      <c r="J68" s="2973"/>
      <c r="K68" s="2973"/>
      <c r="L68" s="2973"/>
      <c r="N68" s="2974"/>
      <c r="O68" s="2973"/>
      <c r="P68" s="2973"/>
      <c r="Q68" s="2973"/>
      <c r="S68" s="2974"/>
      <c r="T68" s="2973"/>
      <c r="U68" s="2973"/>
      <c r="V68" s="2973"/>
      <c r="X68" s="2915"/>
      <c r="Y68" s="2915"/>
      <c r="Z68" s="2915"/>
    </row>
    <row r="70" spans="1:26" s="2988" customFormat="1">
      <c r="A70" s="2987" t="s">
        <v>2769</v>
      </c>
      <c r="G70" s="2989"/>
      <c r="N70" s="2989"/>
      <c r="S70" s="2989"/>
    </row>
    <row r="71" spans="1:26" s="2988" customFormat="1">
      <c r="A71" s="2988" t="s">
        <v>2770</v>
      </c>
      <c r="G71" s="2989"/>
      <c r="N71" s="2989"/>
      <c r="S71" s="2989"/>
    </row>
    <row r="72" spans="1:26" s="2988" customFormat="1">
      <c r="A72" s="2988" t="s">
        <v>2771</v>
      </c>
      <c r="G72" s="2989"/>
      <c r="I72" s="2990"/>
      <c r="J72" s="2990"/>
      <c r="K72" s="2990"/>
      <c r="L72" s="2990"/>
      <c r="N72" s="2991"/>
      <c r="O72" s="2990"/>
      <c r="P72" s="2990"/>
      <c r="Q72" s="2990"/>
      <c r="S72" s="2991"/>
      <c r="T72" s="2990"/>
      <c r="U72" s="2990"/>
      <c r="V72" s="2990"/>
    </row>
    <row r="73" spans="1:26" s="2988" customFormat="1">
      <c r="A73" s="2988" t="s">
        <v>2772</v>
      </c>
      <c r="G73" s="2989"/>
      <c r="N73" s="2989"/>
      <c r="S73" s="2989"/>
    </row>
    <row r="80" spans="1:26" ht="13.5" thickBot="1"/>
    <row r="81" spans="14:22" s="2910" customFormat="1">
      <c r="N81" s="2925"/>
      <c r="S81" s="2992" t="s">
        <v>2773</v>
      </c>
      <c r="T81" s="2993" t="s">
        <v>2774</v>
      </c>
      <c r="U81" s="2993" t="s">
        <v>2775</v>
      </c>
      <c r="V81" s="2993" t="s">
        <v>2776</v>
      </c>
    </row>
    <row r="82" spans="14:22" s="2910" customFormat="1">
      <c r="N82" s="2914"/>
      <c r="O82" s="2915"/>
      <c r="P82" s="2915"/>
      <c r="Q82" s="2915"/>
      <c r="S82" s="2994">
        <v>2006</v>
      </c>
      <c r="T82" s="2995">
        <v>15.1</v>
      </c>
      <c r="U82" s="2995">
        <v>7.43</v>
      </c>
      <c r="V82" s="2995">
        <v>26.26</v>
      </c>
    </row>
    <row r="83" spans="14:22" s="2910" customFormat="1">
      <c r="N83" s="2914"/>
      <c r="O83" s="2915"/>
      <c r="P83" s="2915"/>
      <c r="Q83" s="2915"/>
      <c r="S83" s="2996">
        <v>2005</v>
      </c>
      <c r="T83" s="2997">
        <v>13.9</v>
      </c>
      <c r="U83" s="2997">
        <v>7.49</v>
      </c>
      <c r="V83" s="2997">
        <v>24.92</v>
      </c>
    </row>
    <row r="84" spans="14:22" s="2910" customFormat="1">
      <c r="N84" s="2914"/>
      <c r="O84" s="2915"/>
      <c r="P84" s="2915"/>
      <c r="Q84" s="2915"/>
      <c r="S84" s="2994">
        <v>2004</v>
      </c>
      <c r="T84" s="2995">
        <v>9.48</v>
      </c>
      <c r="U84" s="2995">
        <v>7.2</v>
      </c>
      <c r="V84" s="2995">
        <v>14.68</v>
      </c>
    </row>
    <row r="85" spans="14:22" s="2910" customFormat="1">
      <c r="N85" s="2914"/>
      <c r="O85" s="2915"/>
      <c r="P85" s="2915"/>
      <c r="Q85" s="2915"/>
      <c r="S85" s="2996">
        <v>2003</v>
      </c>
      <c r="T85" s="2997">
        <v>4.5</v>
      </c>
      <c r="U85" s="2997">
        <v>6.12</v>
      </c>
      <c r="V85" s="2997">
        <v>2.34</v>
      </c>
    </row>
    <row r="86" spans="14:22" s="2910" customFormat="1" ht="13.5" thickBot="1">
      <c r="N86" s="2914"/>
      <c r="O86" s="2915"/>
      <c r="P86" s="2915"/>
      <c r="Q86" s="2915"/>
      <c r="S86" s="2998">
        <v>2002</v>
      </c>
      <c r="T86" s="2999">
        <v>3.59</v>
      </c>
      <c r="U86" s="2999">
        <v>4.54</v>
      </c>
      <c r="V86" s="2999">
        <v>2.5499999999999998</v>
      </c>
    </row>
    <row r="87" spans="14:22" s="2910" customFormat="1">
      <c r="N87" s="2914"/>
      <c r="O87" s="2915"/>
      <c r="P87" s="2915"/>
      <c r="Q87" s="2915"/>
      <c r="S87" s="2925"/>
    </row>
    <row r="88" spans="14:22" s="2910" customFormat="1">
      <c r="N88" s="2914"/>
      <c r="O88" s="2915"/>
      <c r="P88" s="2915"/>
      <c r="Q88" s="2915"/>
      <c r="S88" s="2925"/>
    </row>
    <row r="89" spans="14:22" s="2910" customFormat="1">
      <c r="N89" s="2914"/>
      <c r="O89" s="2915"/>
      <c r="P89" s="2915"/>
      <c r="Q89" s="2915"/>
      <c r="S89" s="2925"/>
    </row>
    <row r="90" spans="14:22" s="2910" customFormat="1">
      <c r="N90" s="2914"/>
      <c r="O90" s="2915"/>
      <c r="P90" s="2915"/>
      <c r="Q90" s="2915"/>
      <c r="S90" s="2925"/>
    </row>
    <row r="91" spans="14:22" s="2910" customFormat="1">
      <c r="N91" s="2914"/>
      <c r="O91" s="2915"/>
      <c r="P91" s="2915"/>
      <c r="Q91" s="2915"/>
      <c r="S91" s="2925"/>
    </row>
    <row r="92" spans="14:22" s="2910" customFormat="1">
      <c r="N92" s="2914"/>
      <c r="O92" s="2915"/>
      <c r="P92" s="2915"/>
      <c r="Q92" s="2915"/>
      <c r="S92" s="2925"/>
    </row>
    <row r="93" spans="14:22" s="2910" customFormat="1">
      <c r="N93" s="2914"/>
      <c r="O93" s="2915"/>
      <c r="P93" s="2915"/>
      <c r="Q93" s="2915"/>
      <c r="S93" s="2925"/>
    </row>
    <row r="94" spans="14:22" s="2910" customFormat="1">
      <c r="N94" s="2914"/>
      <c r="O94" s="2915"/>
      <c r="P94" s="2915"/>
      <c r="Q94" s="2915"/>
      <c r="S94" s="2925"/>
    </row>
    <row r="95" spans="14:22" s="2910" customFormat="1">
      <c r="N95" s="2914"/>
      <c r="O95" s="2915"/>
      <c r="P95" s="2915"/>
      <c r="Q95" s="2915"/>
      <c r="S95" s="2925"/>
    </row>
    <row r="96" spans="14:22" s="2910" customFormat="1">
      <c r="N96" s="2914"/>
      <c r="O96" s="2915"/>
      <c r="P96" s="2915"/>
      <c r="Q96" s="2915"/>
      <c r="S96" s="2925"/>
    </row>
    <row r="97" spans="14:17" s="2910" customFormat="1">
      <c r="N97" s="2914"/>
      <c r="O97" s="2915"/>
      <c r="P97" s="2915"/>
      <c r="Q97" s="2915"/>
    </row>
    <row r="98" spans="14:17" s="2910" customFormat="1">
      <c r="N98" s="2914"/>
      <c r="O98" s="2915"/>
      <c r="P98" s="2915"/>
      <c r="Q98" s="2915"/>
    </row>
    <row r="99" spans="14:17" s="2910" customFormat="1">
      <c r="N99" s="2914"/>
      <c r="O99" s="2915"/>
      <c r="P99" s="2915"/>
      <c r="Q99" s="2915"/>
    </row>
    <row r="100" spans="14:17" s="2910" customFormat="1">
      <c r="N100" s="2914"/>
      <c r="O100" s="2915"/>
      <c r="P100" s="2915"/>
      <c r="Q100" s="2915"/>
    </row>
    <row r="101" spans="14:17" s="2910" customFormat="1">
      <c r="N101" s="2914"/>
      <c r="O101" s="2915"/>
      <c r="P101" s="2915"/>
      <c r="Q101" s="2915"/>
    </row>
    <row r="102" spans="14:17" s="2910" customFormat="1">
      <c r="N102" s="2914"/>
      <c r="O102" s="2915"/>
      <c r="P102" s="2915"/>
      <c r="Q102" s="291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47" customWidth="1"/>
    <col min="2" max="2" width="37.25" style="1947" customWidth="1"/>
    <col min="3" max="3" width="11.375" style="1947" customWidth="1"/>
    <col min="4" max="4" width="31.75" style="1947" customWidth="1"/>
    <col min="5" max="5" width="0.5" style="1947" customWidth="1"/>
    <col min="6" max="7" width="13" style="1947" customWidth="1"/>
    <col min="8" max="16384" width="9" style="1947"/>
  </cols>
  <sheetData>
    <row r="1" spans="1:5" ht="18.75">
      <c r="A1" s="1945" t="s">
        <v>2021</v>
      </c>
      <c r="B1" s="1946"/>
      <c r="C1" s="1946"/>
      <c r="D1" s="1946"/>
      <c r="E1" s="1946"/>
    </row>
    <row r="2" spans="1:5" ht="78" customHeight="1">
      <c r="A2" s="33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1"/>
      <c r="C2" s="3391"/>
      <c r="D2" s="3391"/>
      <c r="E2" s="3391"/>
    </row>
    <row r="3" spans="1:5" ht="18.75">
      <c r="A3" s="3392" t="str">
        <f>IF(项目基本情况!B9="房地产市场价值","估价结果一览表（市场价值不需“结果表-1”）","估价结果一览表")</f>
        <v>估价结果一览表</v>
      </c>
      <c r="B3" s="3392"/>
      <c r="C3" s="3392"/>
      <c r="D3" s="3392"/>
      <c r="E3" s="3392"/>
    </row>
    <row r="4" spans="1:5" ht="19.5" thickBot="1">
      <c r="A4" s="1958"/>
      <c r="B4" s="3390" t="s">
        <v>2026</v>
      </c>
      <c r="C4" s="3390"/>
      <c r="D4" s="3390"/>
      <c r="E4" s="1958"/>
    </row>
    <row r="5" spans="1:5" ht="16.5" thickTop="1">
      <c r="A5" s="1946"/>
      <c r="B5" s="3388" t="s">
        <v>2022</v>
      </c>
      <c r="C5" s="1948" t="s">
        <v>2027</v>
      </c>
      <c r="D5" s="1949">
        <f ca="1">结果表!H101</f>
        <v>145332</v>
      </c>
      <c r="E5" s="1946"/>
    </row>
    <row r="6" spans="1:5" ht="15.75">
      <c r="A6" s="1946"/>
      <c r="B6" s="3388"/>
      <c r="C6" s="1948" t="s">
        <v>2866</v>
      </c>
      <c r="D6" s="1949" t="str">
        <f ca="1">NUMBERSTRING(INT(D5*10000),2)&amp;"元整"</f>
        <v>壹拾肆亿伍仟叁佰叁拾贰万元整</v>
      </c>
      <c r="E6" s="1946"/>
    </row>
    <row r="7" spans="1:5" ht="15.75">
      <c r="A7" s="1946"/>
      <c r="B7" s="3393"/>
      <c r="C7" s="1950" t="s">
        <v>2028</v>
      </c>
      <c r="D7" s="1951">
        <f ca="1">结果表!H102</f>
        <v>33212</v>
      </c>
      <c r="E7" s="1946"/>
    </row>
    <row r="8" spans="1:5" ht="15.75">
      <c r="A8" s="1946"/>
      <c r="B8" s="3394" t="str">
        <f>结果表!E103</f>
        <v>2.估价师知悉的法定优先受偿款</v>
      </c>
      <c r="C8" s="1952" t="s">
        <v>2029</v>
      </c>
      <c r="D8" s="1951">
        <f>结果表!H103</f>
        <v>0</v>
      </c>
      <c r="E8" s="1946"/>
    </row>
    <row r="9" spans="1:5" ht="15.75">
      <c r="A9" s="1946"/>
      <c r="B9" s="3396"/>
      <c r="C9" s="1948" t="s">
        <v>2866</v>
      </c>
      <c r="D9" s="1949" t="str">
        <f>NUMBERSTRING(INT(D8*10000),2)&amp;"元整"</f>
        <v>零元整</v>
      </c>
      <c r="E9" s="1946"/>
    </row>
    <row r="10" spans="1:5" ht="15">
      <c r="A10" s="1946"/>
      <c r="B10" s="1953" t="s">
        <v>2023</v>
      </c>
      <c r="C10" s="1954" t="s">
        <v>2029</v>
      </c>
      <c r="D10" s="1955">
        <f>结果表!H104</f>
        <v>0</v>
      </c>
      <c r="E10" s="1946"/>
    </row>
    <row r="11" spans="1:5" ht="15">
      <c r="A11" s="1946"/>
      <c r="B11" s="1953" t="s">
        <v>2024</v>
      </c>
      <c r="C11" s="1954" t="s">
        <v>2029</v>
      </c>
      <c r="D11" s="1955">
        <f>结果表!H105</f>
        <v>0</v>
      </c>
      <c r="E11" s="1946"/>
    </row>
    <row r="12" spans="1:5" ht="15">
      <c r="A12" s="1946"/>
      <c r="B12" s="1953" t="s">
        <v>2025</v>
      </c>
      <c r="C12" s="1954" t="s">
        <v>2029</v>
      </c>
      <c r="D12" s="1955">
        <f>结果表!H106</f>
        <v>0</v>
      </c>
      <c r="E12" s="1946"/>
    </row>
    <row r="13" spans="1:5" ht="15.75">
      <c r="A13" s="1946"/>
      <c r="B13" s="3387" t="str">
        <f>结果表!E107</f>
        <v>3.房地产抵押价值</v>
      </c>
      <c r="C13" s="1956" t="s">
        <v>2027</v>
      </c>
      <c r="D13" s="1959">
        <f ca="1">结果表!H107</f>
        <v>145332</v>
      </c>
      <c r="E13" s="1946"/>
    </row>
    <row r="14" spans="1:5" ht="15.75">
      <c r="A14" s="1946"/>
      <c r="B14" s="3388"/>
      <c r="C14" s="1948" t="s">
        <v>2866</v>
      </c>
      <c r="D14" s="1949" t="str">
        <f ca="1">NUMBERSTRING(INT(D13*10000),2)&amp;"元整"</f>
        <v>壹拾肆亿伍仟叁佰叁拾贰万元整</v>
      </c>
      <c r="E14" s="1946"/>
    </row>
    <row r="15" spans="1:5" ht="15">
      <c r="A15" s="1946"/>
      <c r="B15" s="3393"/>
      <c r="C15" s="1950" t="s">
        <v>2028</v>
      </c>
      <c r="D15" s="2059">
        <f ca="1">结果表!H108</f>
        <v>33212</v>
      </c>
      <c r="E15" s="1946"/>
    </row>
    <row r="16" spans="1:5" ht="14.25">
      <c r="A16" s="1946"/>
      <c r="B16" s="3394" t="str">
        <f>结果表!E109</f>
        <v>——</v>
      </c>
      <c r="C16" s="1956" t="s">
        <v>2027</v>
      </c>
      <c r="D16" s="2060" t="str">
        <f>结果表!H109</f>
        <v>——</v>
      </c>
      <c r="E16" s="1946"/>
    </row>
    <row r="17" spans="1:5" ht="15.75">
      <c r="A17" s="1946"/>
      <c r="B17" s="3395"/>
      <c r="C17" s="1948" t="s">
        <v>2866</v>
      </c>
      <c r="D17" s="1949" t="e">
        <f>NUMBERSTRING(INT(D16*10000),2)&amp;"元整"</f>
        <v>#VALUE!</v>
      </c>
      <c r="E17" s="1946"/>
    </row>
    <row r="18" spans="1:5" ht="15">
      <c r="A18" s="1946"/>
      <c r="B18" s="3396"/>
      <c r="C18" s="1950" t="s">
        <v>2028</v>
      </c>
      <c r="D18" s="2059" t="str">
        <f>结果表!H110</f>
        <v>——</v>
      </c>
      <c r="E18" s="1946"/>
    </row>
    <row r="19" spans="1:5" ht="15.75">
      <c r="A19" s="1946"/>
      <c r="B19" s="3387" t="str">
        <f>结果表!E111</f>
        <v>——</v>
      </c>
      <c r="C19" s="1956" t="s">
        <v>2027</v>
      </c>
      <c r="D19" s="1951" t="str">
        <f>结果表!H111</f>
        <v>——</v>
      </c>
      <c r="E19" s="1946"/>
    </row>
    <row r="20" spans="1:5" ht="15.75">
      <c r="A20" s="1946"/>
      <c r="B20" s="3388"/>
      <c r="C20" s="1948" t="s">
        <v>2866</v>
      </c>
      <c r="D20" s="1949" t="e">
        <f>NUMBERSTRING(INT(D19*10000),2)&amp;"元整"</f>
        <v>#VALUE!</v>
      </c>
      <c r="E20" s="1946"/>
    </row>
    <row r="21" spans="1:5" ht="15.75" thickBot="1">
      <c r="A21" s="1946"/>
      <c r="B21" s="3389"/>
      <c r="C21" s="2061" t="s">
        <v>2028</v>
      </c>
      <c r="D21" s="2062" t="str">
        <f>结果表!H112</f>
        <v>——</v>
      </c>
      <c r="E21" s="1946"/>
    </row>
    <row r="22" spans="1:5" ht="14.25" thickTop="1">
      <c r="A22" s="1946"/>
      <c r="B22" s="1957" t="s">
        <v>2054</v>
      </c>
      <c r="C22" s="1946"/>
      <c r="D22" s="1946"/>
      <c r="E22" s="1946"/>
    </row>
    <row r="23" spans="1:5">
      <c r="A23" s="1946"/>
      <c r="B23" s="1946"/>
      <c r="C23" s="1946"/>
      <c r="D23" s="1946"/>
      <c r="E23" s="1946"/>
    </row>
    <row r="24" spans="1:5" ht="18.75">
      <c r="A24" s="1977"/>
      <c r="B24" s="1978" t="s">
        <v>2034</v>
      </c>
      <c r="C24" s="1977"/>
      <c r="D24" s="1977"/>
      <c r="E24" s="1977"/>
    </row>
    <row r="25" spans="1:5">
      <c r="A25" s="1977"/>
      <c r="B25" s="1977"/>
      <c r="C25" s="1977"/>
      <c r="D25" s="1977"/>
      <c r="E25" s="1977"/>
    </row>
    <row r="26" spans="1:5">
      <c r="A26" s="1977"/>
      <c r="B26" s="1977"/>
      <c r="C26" s="1977"/>
      <c r="D26" s="1977"/>
      <c r="E26" s="1977"/>
    </row>
    <row r="27" spans="1:5">
      <c r="A27" s="1977"/>
      <c r="B27" s="1977"/>
      <c r="C27" s="1977"/>
      <c r="D27" s="1977"/>
      <c r="E27" s="1977"/>
    </row>
    <row r="28" spans="1:5">
      <c r="A28" s="1977"/>
      <c r="B28" s="1977"/>
      <c r="C28" s="1977"/>
      <c r="D28" s="1977"/>
      <c r="E28" s="1977"/>
    </row>
    <row r="29" spans="1:5">
      <c r="A29" s="1977"/>
      <c r="B29" s="1977"/>
      <c r="C29" s="1977"/>
      <c r="D29" s="1977"/>
      <c r="E29" s="1977"/>
    </row>
    <row r="30" spans="1:5">
      <c r="A30" s="1977"/>
      <c r="B30" s="1977"/>
      <c r="C30" s="1977"/>
      <c r="D30" s="1977"/>
      <c r="E30" s="1977"/>
    </row>
    <row r="31" spans="1:5">
      <c r="A31" s="1977"/>
      <c r="B31" s="1977"/>
      <c r="C31" s="1977"/>
      <c r="D31" s="1977"/>
      <c r="E31" s="1977"/>
    </row>
    <row r="32" spans="1:5">
      <c r="A32" s="1977"/>
      <c r="B32" s="1977"/>
      <c r="C32" s="1977"/>
      <c r="D32" s="1977"/>
      <c r="E32" s="1977"/>
    </row>
    <row r="33" spans="1:5">
      <c r="A33" s="1977"/>
      <c r="B33" s="1977"/>
      <c r="C33" s="1977"/>
      <c r="D33" s="1977"/>
      <c r="E33" s="1977"/>
    </row>
    <row r="34" spans="1:5">
      <c r="A34" s="1977"/>
      <c r="B34" s="1977"/>
      <c r="C34" s="1977"/>
      <c r="D34" s="1977"/>
      <c r="E34" s="1977"/>
    </row>
    <row r="35" spans="1:5">
      <c r="A35" s="1977"/>
      <c r="B35" s="1977"/>
      <c r="C35" s="1977"/>
      <c r="D35" s="1977"/>
      <c r="E35" s="1977"/>
    </row>
    <row r="36" spans="1:5">
      <c r="A36" s="1977"/>
      <c r="B36" s="1977"/>
      <c r="C36" s="1977"/>
      <c r="D36" s="1977"/>
      <c r="E36" s="1977"/>
    </row>
    <row r="37" spans="1:5">
      <c r="A37" s="1977"/>
      <c r="B37" s="1977"/>
      <c r="C37" s="1977"/>
      <c r="D37" s="1977"/>
      <c r="E37" s="1977"/>
    </row>
    <row r="38" spans="1:5">
      <c r="A38" s="1977"/>
      <c r="B38" s="1977"/>
      <c r="C38" s="1977"/>
      <c r="D38" s="1977"/>
      <c r="E38" s="1977"/>
    </row>
    <row r="39" spans="1:5">
      <c r="A39" s="1977"/>
      <c r="B39" s="1977"/>
      <c r="C39" s="1977"/>
      <c r="D39" s="1977"/>
      <c r="E39" s="1977"/>
    </row>
    <row r="40" spans="1:5">
      <c r="A40" s="1977"/>
      <c r="B40" s="1977"/>
      <c r="C40" s="1977"/>
      <c r="D40" s="1977"/>
      <c r="E40" s="1977"/>
    </row>
    <row r="41" spans="1:5">
      <c r="A41" s="1977"/>
      <c r="B41" s="1977"/>
      <c r="C41" s="1977"/>
      <c r="D41" s="1977"/>
      <c r="E41" s="1977"/>
    </row>
    <row r="42" spans="1:5">
      <c r="A42" s="1977"/>
      <c r="B42" s="1977"/>
      <c r="C42" s="1977"/>
      <c r="D42" s="1977"/>
      <c r="E42" s="19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107" sqref="C107"/>
      <selection pane="bottomLeft" activeCell="C107" sqref="C107"/>
    </sheetView>
  </sheetViews>
  <sheetFormatPr defaultRowHeight="12.75"/>
  <cols>
    <col min="1" max="1" width="11.5" style="466" customWidth="1"/>
    <col min="2" max="2" width="9.25" style="314" customWidth="1"/>
    <col min="3" max="3" width="5" style="314" customWidth="1"/>
    <col min="4" max="4" width="9" style="314"/>
    <col min="5" max="5" width="5" style="314" customWidth="1"/>
    <col min="6" max="6" width="9" style="314"/>
    <col min="7" max="7" width="5" style="314" customWidth="1"/>
    <col min="8" max="8" width="9" style="314"/>
    <col min="9" max="9" width="5"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1"/>
    <col min="19" max="19" width="9" style="466"/>
    <col min="20" max="45" width="9" style="1452"/>
    <col min="46" max="16384" width="9" style="466"/>
  </cols>
  <sheetData>
    <row r="1" spans="1:45" ht="14.25" customHeight="1" thickBot="1">
      <c r="A1" s="483"/>
      <c r="B1" s="2422" t="s">
        <v>2375</v>
      </c>
      <c r="C1" s="3772" t="s">
        <v>2376</v>
      </c>
      <c r="D1" s="3773"/>
      <c r="E1" s="3773"/>
      <c r="F1" s="3773"/>
      <c r="G1" s="3773"/>
      <c r="H1" s="3773"/>
      <c r="I1" s="3773"/>
      <c r="J1" s="3773"/>
      <c r="K1" s="3773"/>
      <c r="L1" s="3773"/>
      <c r="M1" s="3773"/>
      <c r="N1" s="3773"/>
      <c r="O1" s="3773"/>
      <c r="P1" s="3773"/>
      <c r="Q1" s="3773"/>
      <c r="R1" s="3773"/>
      <c r="S1" s="3774"/>
      <c r="T1" s="2422" t="s">
        <v>2377</v>
      </c>
    </row>
    <row r="2" spans="1:45" s="1106" customFormat="1">
      <c r="A2" s="2423"/>
      <c r="B2" s="1102" t="s">
        <v>2378</v>
      </c>
      <c r="C2" s="1103" t="str">
        <f t="shared" ref="C2:L2" si="0">C3&amp;"(含)"&amp;"-"&amp;D3</f>
        <v>(含)-</v>
      </c>
      <c r="D2" s="1104" t="str">
        <f t="shared" si="0"/>
        <v>(含)-</v>
      </c>
      <c r="E2" s="1104" t="str">
        <f t="shared" si="0"/>
        <v>(含)-</v>
      </c>
      <c r="F2" s="1104" t="str">
        <f t="shared" si="0"/>
        <v>(含)-</v>
      </c>
      <c r="G2" s="1104" t="str">
        <f t="shared" si="0"/>
        <v>(含)-</v>
      </c>
      <c r="H2" s="1104" t="str">
        <f t="shared" si="0"/>
        <v>(含)-</v>
      </c>
      <c r="I2" s="1104" t="str">
        <f t="shared" si="0"/>
        <v>(含)-</v>
      </c>
      <c r="J2" s="1104" t="str">
        <f t="shared" si="0"/>
        <v>(含)-</v>
      </c>
      <c r="K2" s="1104" t="str">
        <f t="shared" si="0"/>
        <v>(含)-</v>
      </c>
      <c r="L2" s="1104" t="str">
        <f t="shared" si="0"/>
        <v>(含)-</v>
      </c>
      <c r="M2" s="1104" t="str">
        <f t="shared" ref="M2" si="1">M3&amp;"(含)"&amp;"-"&amp;N3</f>
        <v>(含)-</v>
      </c>
      <c r="N2" s="1104" t="str">
        <f t="shared" ref="N2" si="2">N3&amp;"(含)"&amp;"-"&amp;O3</f>
        <v>(含)-</v>
      </c>
      <c r="O2" s="1104" t="str">
        <f t="shared" ref="O2" si="3">O3&amp;"(含)"&amp;"-"&amp;P3</f>
        <v>(含)-</v>
      </c>
      <c r="P2" s="1104" t="str">
        <f t="shared" ref="P2" si="4">P3&amp;"(含)"&amp;"-"&amp;Q3</f>
        <v>(含)-</v>
      </c>
      <c r="Q2" s="1104" t="str">
        <f t="shared" ref="Q2" si="5">Q3&amp;"(含)"&amp;"-"&amp;R3</f>
        <v>(含)-</v>
      </c>
      <c r="R2" s="1104" t="str">
        <f t="shared" ref="R2" si="6">R3&amp;"(含)"&amp;"-"&amp;S3</f>
        <v>(含)-</v>
      </c>
      <c r="S2" s="2424" t="str">
        <f>S3&amp;"(含)"&amp;"-"</f>
        <v>(含)-</v>
      </c>
      <c r="T2" s="1105"/>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row>
    <row r="3" spans="1:45" s="1111" customFormat="1">
      <c r="A3" s="2425"/>
      <c r="B3" s="1107"/>
      <c r="C3" s="1108"/>
      <c r="D3" s="1109"/>
      <c r="E3" s="1109"/>
      <c r="F3" s="3189"/>
      <c r="G3" s="3189"/>
      <c r="H3" s="3189"/>
      <c r="I3" s="3189"/>
      <c r="J3" s="3189"/>
      <c r="K3" s="3189"/>
      <c r="L3" s="3190"/>
      <c r="M3" s="3191"/>
      <c r="N3" s="3191"/>
      <c r="O3" s="3189"/>
      <c r="P3" s="3189"/>
      <c r="Q3" s="3189"/>
      <c r="R3" s="3189"/>
      <c r="S3" s="3192"/>
      <c r="T3" s="1110"/>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row>
    <row r="4" spans="1:45" s="1111" customFormat="1" ht="13.5" thickBot="1">
      <c r="A4" s="2426"/>
      <c r="B4" s="2427"/>
      <c r="C4" s="2428"/>
      <c r="D4" s="2429"/>
      <c r="E4" s="2429"/>
      <c r="F4" s="3193"/>
      <c r="G4" s="3193"/>
      <c r="H4" s="3193"/>
      <c r="I4" s="3193"/>
      <c r="J4" s="3193"/>
      <c r="K4" s="3193"/>
      <c r="L4" s="3193"/>
      <c r="M4" s="3194"/>
      <c r="N4" s="3194"/>
      <c r="O4" s="3193"/>
      <c r="P4" s="3193"/>
      <c r="Q4" s="3193"/>
      <c r="R4" s="3193"/>
      <c r="S4" s="3195"/>
      <c r="T4" s="2432"/>
      <c r="U4" s="1454"/>
      <c r="V4" s="1454"/>
      <c r="W4" s="1454"/>
      <c r="X4" s="1454"/>
      <c r="Y4" s="1454"/>
      <c r="Z4" s="1454"/>
      <c r="AA4" s="1454"/>
      <c r="AB4" s="1454"/>
      <c r="AC4" s="1454"/>
      <c r="AD4" s="1454"/>
      <c r="AE4" s="1454"/>
      <c r="AF4" s="1454"/>
      <c r="AG4" s="1454"/>
      <c r="AH4" s="1454"/>
      <c r="AI4" s="1454"/>
      <c r="AJ4" s="1454"/>
      <c r="AK4" s="1454"/>
      <c r="AL4" s="1454"/>
      <c r="AM4" s="1454"/>
      <c r="AN4" s="1454"/>
      <c r="AO4" s="1454"/>
      <c r="AP4" s="1454"/>
      <c r="AQ4" s="1454"/>
      <c r="AR4" s="1454"/>
      <c r="AS4" s="1454"/>
    </row>
    <row r="5" spans="1:45" s="405" customFormat="1">
      <c r="A5" s="2433"/>
      <c r="B5" s="3284" t="s">
        <v>3020</v>
      </c>
      <c r="C5" s="2434"/>
      <c r="D5" s="2435"/>
      <c r="E5" s="2435"/>
      <c r="F5" s="3196"/>
      <c r="G5" s="3196"/>
      <c r="H5" s="3196"/>
      <c r="I5" s="3196"/>
      <c r="J5" s="3196"/>
      <c r="K5" s="3196"/>
      <c r="L5" s="3197"/>
      <c r="M5" s="3198"/>
      <c r="N5" s="3198"/>
      <c r="O5" s="3196"/>
      <c r="P5" s="3196"/>
      <c r="Q5" s="3196"/>
      <c r="R5" s="3196"/>
      <c r="S5" s="3199"/>
      <c r="T5" s="2437"/>
      <c r="U5" s="1455"/>
      <c r="V5" s="1455"/>
      <c r="W5" s="1455"/>
      <c r="X5" s="1455"/>
      <c r="Y5" s="1455"/>
      <c r="Z5" s="1455"/>
      <c r="AA5" s="1455"/>
      <c r="AB5" s="1455"/>
      <c r="AC5" s="1455"/>
      <c r="AD5" s="1455"/>
      <c r="AE5" s="1455"/>
      <c r="AF5" s="1455"/>
      <c r="AG5" s="1455"/>
      <c r="AH5" s="1455"/>
      <c r="AI5" s="1455"/>
      <c r="AJ5" s="1455"/>
      <c r="AK5" s="1455"/>
      <c r="AL5" s="1455"/>
      <c r="AM5" s="1455"/>
      <c r="AN5" s="1455"/>
      <c r="AO5" s="1455"/>
      <c r="AP5" s="1455"/>
      <c r="AQ5" s="1455"/>
      <c r="AR5" s="1455"/>
      <c r="AS5" s="1455"/>
    </row>
    <row r="6" spans="1:45" s="405" customFormat="1" ht="13.5" thickBot="1">
      <c r="A6" s="2433"/>
      <c r="B6" s="2184"/>
      <c r="C6" s="2190">
        <v>100</v>
      </c>
      <c r="D6" s="2187">
        <f>C6-$T5</f>
        <v>100</v>
      </c>
      <c r="E6" s="2187">
        <f t="shared" ref="E6:S6" si="7">D6-$T5</f>
        <v>100</v>
      </c>
      <c r="F6" s="3200">
        <f t="shared" si="7"/>
        <v>100</v>
      </c>
      <c r="G6" s="3200">
        <f t="shared" si="7"/>
        <v>100</v>
      </c>
      <c r="H6" s="3200">
        <f t="shared" si="7"/>
        <v>100</v>
      </c>
      <c r="I6" s="3200">
        <f t="shared" si="7"/>
        <v>100</v>
      </c>
      <c r="J6" s="3200">
        <f t="shared" si="7"/>
        <v>100</v>
      </c>
      <c r="K6" s="3200">
        <f t="shared" si="7"/>
        <v>100</v>
      </c>
      <c r="L6" s="3200">
        <f t="shared" si="7"/>
        <v>100</v>
      </c>
      <c r="M6" s="3200">
        <f t="shared" si="7"/>
        <v>100</v>
      </c>
      <c r="N6" s="3200">
        <f t="shared" si="7"/>
        <v>100</v>
      </c>
      <c r="O6" s="3200">
        <f t="shared" si="7"/>
        <v>100</v>
      </c>
      <c r="P6" s="3200">
        <f t="shared" si="7"/>
        <v>100</v>
      </c>
      <c r="Q6" s="3200">
        <f t="shared" si="7"/>
        <v>100</v>
      </c>
      <c r="R6" s="3200">
        <f t="shared" si="7"/>
        <v>100</v>
      </c>
      <c r="S6" s="3200">
        <f t="shared" si="7"/>
        <v>100</v>
      </c>
      <c r="T6" s="2186"/>
      <c r="U6" s="1455"/>
      <c r="V6" s="1455"/>
      <c r="W6" s="1455"/>
      <c r="X6" s="1455"/>
      <c r="Y6" s="1455"/>
      <c r="Z6" s="1455"/>
      <c r="AA6" s="1455"/>
      <c r="AB6" s="1455"/>
      <c r="AC6" s="1455"/>
      <c r="AD6" s="1455"/>
      <c r="AE6" s="1455"/>
      <c r="AF6" s="1455"/>
      <c r="AG6" s="1455"/>
      <c r="AH6" s="1455"/>
      <c r="AI6" s="1455"/>
      <c r="AJ6" s="1455"/>
      <c r="AK6" s="1455"/>
      <c r="AL6" s="1455"/>
      <c r="AM6" s="1455"/>
      <c r="AN6" s="1455"/>
      <c r="AO6" s="1455"/>
      <c r="AP6" s="1455"/>
      <c r="AQ6" s="1455"/>
      <c r="AR6" s="1455"/>
      <c r="AS6" s="1455"/>
    </row>
    <row r="7" spans="1:45" s="405" customFormat="1">
      <c r="A7" s="2433"/>
      <c r="B7" s="3285" t="s">
        <v>3019</v>
      </c>
      <c r="C7" s="2189"/>
      <c r="D7" s="2183"/>
      <c r="E7" s="2183"/>
      <c r="F7" s="3201"/>
      <c r="G7" s="3201"/>
      <c r="H7" s="3201"/>
      <c r="I7" s="3201"/>
      <c r="J7" s="3201"/>
      <c r="K7" s="3201"/>
      <c r="L7" s="3201"/>
      <c r="M7" s="3202"/>
      <c r="N7" s="3203"/>
      <c r="O7" s="3204"/>
      <c r="P7" s="3205"/>
      <c r="Q7" s="3206"/>
      <c r="R7" s="3207"/>
      <c r="S7" s="3208"/>
      <c r="T7" s="1112"/>
      <c r="U7" s="1455"/>
      <c r="V7" s="1455"/>
      <c r="W7" s="1455"/>
      <c r="X7" s="1455"/>
      <c r="Y7" s="1455"/>
      <c r="Z7" s="1455"/>
      <c r="AA7" s="1455"/>
      <c r="AB7" s="1455"/>
      <c r="AC7" s="1455"/>
      <c r="AD7" s="1455"/>
      <c r="AE7" s="1455"/>
      <c r="AF7" s="1455"/>
      <c r="AG7" s="1455"/>
      <c r="AH7" s="1455"/>
      <c r="AI7" s="1455"/>
      <c r="AJ7" s="1455"/>
      <c r="AK7" s="1455"/>
      <c r="AL7" s="1455"/>
      <c r="AM7" s="1455"/>
      <c r="AN7" s="1455"/>
      <c r="AO7" s="1455"/>
      <c r="AP7" s="1455"/>
      <c r="AQ7" s="1455"/>
      <c r="AR7" s="1455"/>
      <c r="AS7" s="1455"/>
    </row>
    <row r="8" spans="1:45" s="405" customFormat="1" ht="13.5" thickBot="1">
      <c r="A8" s="2433"/>
      <c r="B8" s="2184"/>
      <c r="C8" s="2190">
        <v>100</v>
      </c>
      <c r="D8" s="2187">
        <f>C8-$T7</f>
        <v>100</v>
      </c>
      <c r="E8" s="2187">
        <f t="shared" ref="E8:S8" si="8">D8-$T7</f>
        <v>100</v>
      </c>
      <c r="F8" s="3200">
        <f t="shared" si="8"/>
        <v>100</v>
      </c>
      <c r="G8" s="3200">
        <f t="shared" si="8"/>
        <v>100</v>
      </c>
      <c r="H8" s="3200">
        <f t="shared" si="8"/>
        <v>100</v>
      </c>
      <c r="I8" s="3200">
        <f t="shared" si="8"/>
        <v>100</v>
      </c>
      <c r="J8" s="3200">
        <f t="shared" si="8"/>
        <v>100</v>
      </c>
      <c r="K8" s="3200">
        <f t="shared" si="8"/>
        <v>100</v>
      </c>
      <c r="L8" s="3200">
        <f t="shared" si="8"/>
        <v>100</v>
      </c>
      <c r="M8" s="3200">
        <f t="shared" si="8"/>
        <v>100</v>
      </c>
      <c r="N8" s="3200">
        <f t="shared" si="8"/>
        <v>100</v>
      </c>
      <c r="O8" s="3200">
        <f t="shared" si="8"/>
        <v>100</v>
      </c>
      <c r="P8" s="3200">
        <f t="shared" si="8"/>
        <v>100</v>
      </c>
      <c r="Q8" s="3200">
        <f t="shared" si="8"/>
        <v>100</v>
      </c>
      <c r="R8" s="3200">
        <f t="shared" si="8"/>
        <v>100</v>
      </c>
      <c r="S8" s="3200">
        <f t="shared" si="8"/>
        <v>100</v>
      </c>
      <c r="T8" s="2186"/>
      <c r="U8" s="1455"/>
      <c r="V8" s="1455"/>
      <c r="W8" s="1455"/>
      <c r="X8" s="1455"/>
      <c r="Y8" s="1455"/>
      <c r="Z8" s="1455"/>
      <c r="AA8" s="1455"/>
      <c r="AB8" s="1455"/>
      <c r="AC8" s="1455"/>
      <c r="AD8" s="1455"/>
      <c r="AE8" s="1455"/>
      <c r="AF8" s="1455"/>
      <c r="AG8" s="1455"/>
      <c r="AH8" s="1455"/>
      <c r="AI8" s="1455"/>
      <c r="AJ8" s="1455"/>
      <c r="AK8" s="1455"/>
      <c r="AL8" s="1455"/>
      <c r="AM8" s="1455"/>
      <c r="AN8" s="1455"/>
      <c r="AO8" s="1455"/>
      <c r="AP8" s="1455"/>
      <c r="AQ8" s="1455"/>
      <c r="AR8" s="1455"/>
      <c r="AS8" s="1455"/>
    </row>
    <row r="9" spans="1:45" s="405" customFormat="1">
      <c r="A9" s="2433"/>
      <c r="B9" s="3285" t="s">
        <v>3018</v>
      </c>
      <c r="C9" s="2189"/>
      <c r="D9" s="2183"/>
      <c r="E9" s="2183"/>
      <c r="F9" s="3201"/>
      <c r="G9" s="3201"/>
      <c r="H9" s="3201"/>
      <c r="I9" s="3201"/>
      <c r="J9" s="3201"/>
      <c r="K9" s="3201"/>
      <c r="L9" s="3209"/>
      <c r="M9" s="3202"/>
      <c r="N9" s="3203"/>
      <c r="O9" s="3204"/>
      <c r="P9" s="3205"/>
      <c r="Q9" s="3206"/>
      <c r="R9" s="3207"/>
      <c r="S9" s="3208"/>
      <c r="T9" s="1112"/>
      <c r="U9" s="1455"/>
      <c r="V9" s="1455"/>
      <c r="W9" s="1455"/>
      <c r="X9" s="1455"/>
      <c r="Y9" s="1455"/>
      <c r="Z9" s="1455"/>
      <c r="AA9" s="1455"/>
      <c r="AB9" s="1455"/>
      <c r="AC9" s="1455"/>
      <c r="AD9" s="1455"/>
      <c r="AE9" s="1455"/>
      <c r="AF9" s="1455"/>
      <c r="AG9" s="1455"/>
      <c r="AH9" s="1455"/>
      <c r="AI9" s="1455"/>
      <c r="AJ9" s="1455"/>
      <c r="AK9" s="1455"/>
      <c r="AL9" s="1455"/>
      <c r="AM9" s="1455"/>
      <c r="AN9" s="1455"/>
      <c r="AO9" s="1455"/>
      <c r="AP9" s="1455"/>
      <c r="AQ9" s="1455"/>
      <c r="AR9" s="1455"/>
      <c r="AS9" s="1455"/>
    </row>
    <row r="10" spans="1:45" s="405" customFormat="1" ht="13.5" thickBot="1">
      <c r="A10" s="2433"/>
      <c r="B10" s="2427"/>
      <c r="C10" s="2438">
        <v>100</v>
      </c>
      <c r="D10" s="2439">
        <f>C10-$T9</f>
        <v>100</v>
      </c>
      <c r="E10" s="2439">
        <f t="shared" ref="E10:S10" si="9">D10-$T9</f>
        <v>100</v>
      </c>
      <c r="F10" s="3210">
        <f t="shared" si="9"/>
        <v>100</v>
      </c>
      <c r="G10" s="3210">
        <f t="shared" si="9"/>
        <v>100</v>
      </c>
      <c r="H10" s="3210">
        <f t="shared" si="9"/>
        <v>100</v>
      </c>
      <c r="I10" s="3210">
        <f t="shared" si="9"/>
        <v>100</v>
      </c>
      <c r="J10" s="3210">
        <f t="shared" si="9"/>
        <v>100</v>
      </c>
      <c r="K10" s="3210">
        <f t="shared" si="9"/>
        <v>100</v>
      </c>
      <c r="L10" s="3210">
        <f t="shared" si="9"/>
        <v>100</v>
      </c>
      <c r="M10" s="3210">
        <f t="shared" si="9"/>
        <v>100</v>
      </c>
      <c r="N10" s="3210">
        <f t="shared" si="9"/>
        <v>100</v>
      </c>
      <c r="O10" s="3210">
        <f t="shared" si="9"/>
        <v>100</v>
      </c>
      <c r="P10" s="3210">
        <f t="shared" si="9"/>
        <v>100</v>
      </c>
      <c r="Q10" s="3210">
        <f t="shared" si="9"/>
        <v>100</v>
      </c>
      <c r="R10" s="3210">
        <f t="shared" si="9"/>
        <v>100</v>
      </c>
      <c r="S10" s="3210">
        <f t="shared" si="9"/>
        <v>100</v>
      </c>
      <c r="T10" s="2432"/>
      <c r="U10" s="1455"/>
      <c r="V10" s="1455"/>
      <c r="W10" s="1455"/>
      <c r="X10" s="1455"/>
      <c r="Y10" s="1455"/>
      <c r="Z10" s="1455"/>
      <c r="AA10" s="1455"/>
      <c r="AB10" s="1455"/>
      <c r="AC10" s="1455"/>
      <c r="AD10" s="1455"/>
      <c r="AE10" s="1455"/>
      <c r="AF10" s="1455"/>
      <c r="AG10" s="1455"/>
      <c r="AH10" s="1455"/>
      <c r="AI10" s="1455"/>
      <c r="AJ10" s="1455"/>
      <c r="AK10" s="1455"/>
      <c r="AL10" s="1455"/>
      <c r="AM10" s="1455"/>
      <c r="AN10" s="1455"/>
      <c r="AO10" s="1455"/>
      <c r="AP10" s="1455"/>
      <c r="AQ10" s="1455"/>
      <c r="AR10" s="1455"/>
      <c r="AS10" s="1455"/>
    </row>
    <row r="11" spans="1:45" s="405" customFormat="1">
      <c r="A11" s="2433"/>
      <c r="B11" s="3284" t="s">
        <v>3017</v>
      </c>
      <c r="C11" s="2434"/>
      <c r="D11" s="2435"/>
      <c r="E11" s="2435"/>
      <c r="F11" s="2435"/>
      <c r="G11" s="2435"/>
      <c r="H11" s="2435"/>
      <c r="I11" s="2435"/>
      <c r="J11" s="2435"/>
      <c r="K11" s="2435"/>
      <c r="L11" s="2435"/>
      <c r="M11" s="2436"/>
      <c r="N11" s="2440"/>
      <c r="O11" s="2441"/>
      <c r="P11" s="2442"/>
      <c r="Q11" s="2443"/>
      <c r="R11" s="2444"/>
      <c r="S11" s="2445"/>
      <c r="T11" s="2437"/>
      <c r="U11" s="1455"/>
      <c r="V11" s="1455"/>
      <c r="W11" s="1455"/>
      <c r="X11" s="1455"/>
      <c r="Y11" s="1455"/>
      <c r="Z11" s="1455"/>
      <c r="AA11" s="1455"/>
      <c r="AB11" s="1455"/>
      <c r="AC11" s="1455"/>
      <c r="AD11" s="1455"/>
      <c r="AE11" s="1455"/>
      <c r="AF11" s="1455"/>
      <c r="AG11" s="1455"/>
      <c r="AH11" s="1455"/>
      <c r="AI11" s="1455"/>
      <c r="AJ11" s="1455"/>
      <c r="AK11" s="1455"/>
      <c r="AL11" s="1455"/>
      <c r="AM11" s="1455"/>
      <c r="AN11" s="1455"/>
      <c r="AO11" s="1455"/>
      <c r="AP11" s="1455"/>
      <c r="AQ11" s="1455"/>
      <c r="AR11" s="1455"/>
      <c r="AS11" s="1455"/>
    </row>
    <row r="12" spans="1:45" s="405" customFormat="1" ht="13.5" thickBot="1">
      <c r="A12" s="2433"/>
      <c r="B12" s="2184"/>
      <c r="C12" s="2190">
        <v>100</v>
      </c>
      <c r="D12" s="2187">
        <f>C12-$T11</f>
        <v>100</v>
      </c>
      <c r="E12" s="2187">
        <f t="shared" ref="E12:S12" si="10">D12-$T11</f>
        <v>100</v>
      </c>
      <c r="F12" s="2187">
        <f t="shared" si="10"/>
        <v>100</v>
      </c>
      <c r="G12" s="2187">
        <f t="shared" si="10"/>
        <v>100</v>
      </c>
      <c r="H12" s="2187">
        <f t="shared" si="10"/>
        <v>100</v>
      </c>
      <c r="I12" s="2187">
        <f t="shared" si="10"/>
        <v>100</v>
      </c>
      <c r="J12" s="2187">
        <f t="shared" si="10"/>
        <v>100</v>
      </c>
      <c r="K12" s="2187">
        <f t="shared" si="10"/>
        <v>100</v>
      </c>
      <c r="L12" s="2187">
        <f t="shared" si="10"/>
        <v>100</v>
      </c>
      <c r="M12" s="2187">
        <f t="shared" si="10"/>
        <v>100</v>
      </c>
      <c r="N12" s="2187">
        <f t="shared" si="10"/>
        <v>100</v>
      </c>
      <c r="O12" s="2187">
        <f t="shared" si="10"/>
        <v>100</v>
      </c>
      <c r="P12" s="2187">
        <f t="shared" si="10"/>
        <v>100</v>
      </c>
      <c r="Q12" s="2187">
        <f t="shared" si="10"/>
        <v>100</v>
      </c>
      <c r="R12" s="2187">
        <f>Q12-$T11</f>
        <v>100</v>
      </c>
      <c r="S12" s="2187">
        <f t="shared" si="10"/>
        <v>100</v>
      </c>
      <c r="T12" s="2186"/>
      <c r="U12" s="1455"/>
      <c r="V12" s="1455"/>
      <c r="W12" s="1455"/>
      <c r="X12" s="1455"/>
      <c r="Y12" s="1455"/>
      <c r="Z12" s="1455"/>
      <c r="AA12" s="1455"/>
      <c r="AB12" s="1455"/>
      <c r="AC12" s="1455"/>
      <c r="AD12" s="1455"/>
      <c r="AE12" s="1455"/>
      <c r="AF12" s="1455"/>
      <c r="AG12" s="1455"/>
      <c r="AH12" s="1455"/>
      <c r="AI12" s="1455"/>
      <c r="AJ12" s="1455"/>
      <c r="AK12" s="1455"/>
      <c r="AL12" s="1455"/>
      <c r="AM12" s="1455"/>
      <c r="AN12" s="1455"/>
      <c r="AO12" s="1455"/>
      <c r="AP12" s="1455"/>
      <c r="AQ12" s="1455"/>
      <c r="AR12" s="1455"/>
      <c r="AS12" s="1455"/>
    </row>
    <row r="13" spans="1:45" s="405" customFormat="1">
      <c r="A13" s="2433"/>
      <c r="B13" s="3284" t="s">
        <v>3016</v>
      </c>
      <c r="C13" s="2434"/>
      <c r="D13" s="2435"/>
      <c r="E13" s="2435"/>
      <c r="F13" s="2435"/>
      <c r="G13" s="2435"/>
      <c r="H13" s="2435"/>
      <c r="I13" s="2435"/>
      <c r="J13" s="2435"/>
      <c r="K13" s="2435"/>
      <c r="L13" s="2435"/>
      <c r="M13" s="2436"/>
      <c r="N13" s="2440"/>
      <c r="O13" s="2441"/>
      <c r="P13" s="2442"/>
      <c r="Q13" s="2443"/>
      <c r="R13" s="2444"/>
      <c r="S13" s="2445"/>
      <c r="T13" s="2446"/>
      <c r="U13" s="1455"/>
      <c r="V13" s="1455"/>
      <c r="W13" s="1455"/>
      <c r="X13" s="1455"/>
      <c r="Y13" s="1455"/>
      <c r="Z13" s="1455"/>
      <c r="AA13" s="1455"/>
      <c r="AB13" s="1455"/>
      <c r="AC13" s="1455"/>
      <c r="AD13" s="1455"/>
      <c r="AE13" s="1455"/>
      <c r="AF13" s="1455"/>
      <c r="AG13" s="1455"/>
      <c r="AH13" s="1455"/>
      <c r="AI13" s="1455"/>
      <c r="AJ13" s="1455"/>
      <c r="AK13" s="1455"/>
      <c r="AL13" s="1455"/>
      <c r="AM13" s="1455"/>
      <c r="AN13" s="1455"/>
      <c r="AO13" s="1455"/>
      <c r="AP13" s="1455"/>
      <c r="AQ13" s="1455"/>
      <c r="AR13" s="1455"/>
      <c r="AS13" s="1455"/>
    </row>
    <row r="14" spans="1:45" s="405" customFormat="1" ht="13.5" thickBot="1">
      <c r="A14" s="2433"/>
      <c r="B14" s="2184"/>
      <c r="C14" s="2188"/>
      <c r="D14" s="2185"/>
      <c r="E14" s="2185"/>
      <c r="F14" s="2185"/>
      <c r="G14" s="2185"/>
      <c r="H14" s="2185"/>
      <c r="I14" s="2185"/>
      <c r="J14" s="2185"/>
      <c r="K14" s="2185"/>
      <c r="L14" s="2185"/>
      <c r="M14" s="2447"/>
      <c r="N14" s="2447"/>
      <c r="O14" s="2185"/>
      <c r="P14" s="2185"/>
      <c r="Q14" s="2185"/>
      <c r="R14" s="2185"/>
      <c r="S14" s="2448"/>
      <c r="T14" s="2186"/>
      <c r="U14" s="1455"/>
      <c r="V14" s="1455"/>
      <c r="W14" s="1455"/>
      <c r="X14" s="1455"/>
      <c r="Y14" s="1455"/>
      <c r="Z14" s="1455"/>
      <c r="AA14" s="1455"/>
      <c r="AB14" s="1455"/>
      <c r="AC14" s="1455"/>
      <c r="AD14" s="1455"/>
      <c r="AE14" s="1455"/>
      <c r="AF14" s="1455"/>
      <c r="AG14" s="1455"/>
      <c r="AH14" s="1455"/>
      <c r="AI14" s="1455"/>
      <c r="AJ14" s="1455"/>
      <c r="AK14" s="1455"/>
      <c r="AL14" s="1455"/>
      <c r="AM14" s="1455"/>
      <c r="AN14" s="1455"/>
      <c r="AO14" s="1455"/>
      <c r="AP14" s="1455"/>
      <c r="AQ14" s="1455"/>
      <c r="AR14" s="1455"/>
      <c r="AS14" s="1455"/>
    </row>
    <row r="15" spans="1:45" s="405" customFormat="1">
      <c r="A15" s="2433"/>
      <c r="B15" s="3284" t="s">
        <v>3015</v>
      </c>
      <c r="C15" s="2434"/>
      <c r="D15" s="2435"/>
      <c r="E15" s="2435"/>
      <c r="F15" s="2435"/>
      <c r="G15" s="2435"/>
      <c r="H15" s="2435"/>
      <c r="I15" s="2435"/>
      <c r="J15" s="2435"/>
      <c r="K15" s="2435"/>
      <c r="L15" s="2435"/>
      <c r="M15" s="2436"/>
      <c r="N15" s="2440"/>
      <c r="O15" s="2441"/>
      <c r="P15" s="2442"/>
      <c r="Q15" s="2443"/>
      <c r="R15" s="2444"/>
      <c r="S15" s="2445"/>
      <c r="T15" s="2446"/>
      <c r="U15" s="1455"/>
      <c r="V15" s="1455"/>
      <c r="W15" s="1455"/>
      <c r="X15" s="1455"/>
      <c r="Y15" s="1455"/>
      <c r="Z15" s="1455"/>
      <c r="AA15" s="1455"/>
      <c r="AB15" s="1455"/>
      <c r="AC15" s="1455"/>
      <c r="AD15" s="1455"/>
      <c r="AE15" s="1455"/>
      <c r="AF15" s="1455"/>
      <c r="AG15" s="1455"/>
      <c r="AH15" s="1455"/>
      <c r="AI15" s="1455"/>
      <c r="AJ15" s="1455"/>
      <c r="AK15" s="1455"/>
      <c r="AL15" s="1455"/>
      <c r="AM15" s="1455"/>
      <c r="AN15" s="1455"/>
      <c r="AO15" s="1455"/>
      <c r="AP15" s="1455"/>
      <c r="AQ15" s="1455"/>
      <c r="AR15" s="1455"/>
      <c r="AS15" s="1455"/>
    </row>
    <row r="16" spans="1:45" s="405" customFormat="1" ht="13.5" thickBot="1">
      <c r="A16" s="2433"/>
      <c r="B16" s="2427"/>
      <c r="C16" s="2428"/>
      <c r="D16" s="2429"/>
      <c r="E16" s="2429"/>
      <c r="F16" s="2429"/>
      <c r="G16" s="2429"/>
      <c r="H16" s="2429"/>
      <c r="I16" s="2429"/>
      <c r="J16" s="2429"/>
      <c r="K16" s="2429"/>
      <c r="L16" s="2429"/>
      <c r="M16" s="2430"/>
      <c r="N16" s="2430"/>
      <c r="O16" s="2429"/>
      <c r="P16" s="2429"/>
      <c r="Q16" s="2429"/>
      <c r="R16" s="2429"/>
      <c r="S16" s="2431"/>
      <c r="T16" s="2432"/>
      <c r="U16" s="1455"/>
      <c r="V16" s="1455"/>
      <c r="W16" s="1455"/>
      <c r="X16" s="1455"/>
      <c r="Y16" s="1455"/>
      <c r="Z16" s="1455"/>
      <c r="AA16" s="1455"/>
      <c r="AB16" s="1455"/>
      <c r="AC16" s="1455"/>
      <c r="AD16" s="1455"/>
      <c r="AE16" s="1455"/>
      <c r="AF16" s="1455"/>
      <c r="AG16" s="1455"/>
      <c r="AH16" s="1455"/>
      <c r="AI16" s="1455"/>
      <c r="AJ16" s="1455"/>
      <c r="AK16" s="1455"/>
      <c r="AL16" s="1455"/>
      <c r="AM16" s="1455"/>
      <c r="AN16" s="1455"/>
      <c r="AO16" s="1455"/>
      <c r="AP16" s="1455"/>
      <c r="AQ16" s="1455"/>
      <c r="AR16" s="1455"/>
      <c r="AS16" s="1455"/>
    </row>
    <row r="17" spans="1:45" s="1106" customFormat="1">
      <c r="A17" s="2465" t="s">
        <v>2379</v>
      </c>
      <c r="B17" s="2466" t="s">
        <v>2380</v>
      </c>
      <c r="C17" s="2449"/>
      <c r="D17" s="2450"/>
      <c r="E17" s="2450"/>
      <c r="F17" s="2450"/>
      <c r="G17" s="2450"/>
      <c r="H17" s="2450"/>
      <c r="I17" s="2450"/>
      <c r="J17" s="2450"/>
      <c r="K17" s="2450"/>
      <c r="L17" s="2451"/>
      <c r="M17" s="2452"/>
      <c r="N17" s="2453"/>
      <c r="O17" s="2454"/>
      <c r="P17" s="2455"/>
      <c r="Q17" s="2456"/>
      <c r="R17" s="2457"/>
      <c r="S17" s="2458"/>
      <c r="T17" s="2458"/>
      <c r="U17" s="2458"/>
      <c r="V17" s="2458"/>
      <c r="W17" s="2458"/>
      <c r="X17" s="2458"/>
      <c r="Y17" s="2458"/>
      <c r="Z17" s="2458"/>
      <c r="AA17" s="2458"/>
      <c r="AB17" s="2458"/>
      <c r="AC17" s="2458"/>
      <c r="AD17" s="2458"/>
      <c r="AE17" s="2458"/>
      <c r="AF17" s="2458"/>
      <c r="AG17" s="2458"/>
      <c r="AH17" s="2458"/>
      <c r="AI17" s="2458"/>
      <c r="AJ17" s="2458"/>
      <c r="AK17" s="2458"/>
      <c r="AL17" s="2458"/>
      <c r="AM17" s="2458"/>
      <c r="AN17" s="2458"/>
      <c r="AO17" s="2458"/>
      <c r="AP17" s="2458"/>
      <c r="AQ17" s="2458"/>
      <c r="AR17" s="1453"/>
      <c r="AS17" s="1453"/>
    </row>
    <row r="18" spans="1:45" s="1106" customFormat="1" ht="13.5" thickBot="1">
      <c r="A18" s="2459"/>
      <c r="B18" s="2460"/>
      <c r="C18" s="2461"/>
      <c r="D18" s="2462"/>
      <c r="E18" s="2462"/>
      <c r="F18" s="2462"/>
      <c r="G18" s="2462"/>
      <c r="H18" s="2462"/>
      <c r="I18" s="2462"/>
      <c r="J18" s="2462"/>
      <c r="K18" s="2462"/>
      <c r="L18" s="2462"/>
      <c r="M18" s="2463"/>
      <c r="N18" s="2463"/>
      <c r="O18" s="2462"/>
      <c r="P18" s="2462"/>
      <c r="Q18" s="2462"/>
      <c r="R18" s="2462"/>
      <c r="S18" s="2464"/>
      <c r="T18" s="2464"/>
      <c r="U18" s="2464"/>
      <c r="V18" s="2464"/>
      <c r="W18" s="2464"/>
      <c r="X18" s="2464"/>
      <c r="Y18" s="2464"/>
      <c r="Z18" s="2464"/>
      <c r="AA18" s="2464"/>
      <c r="AB18" s="2464"/>
      <c r="AC18" s="2464"/>
      <c r="AD18" s="2464"/>
      <c r="AE18" s="2464"/>
      <c r="AF18" s="2464"/>
      <c r="AG18" s="2464"/>
      <c r="AH18" s="2464"/>
      <c r="AI18" s="2464"/>
      <c r="AJ18" s="2464"/>
      <c r="AK18" s="2464"/>
      <c r="AL18" s="2464"/>
      <c r="AM18" s="2464"/>
      <c r="AN18" s="2464"/>
      <c r="AO18" s="2464"/>
      <c r="AP18" s="2464"/>
      <c r="AQ18" s="2464"/>
      <c r="AR18" s="1453"/>
      <c r="AS18" s="1453"/>
    </row>
    <row r="19" spans="1:45">
      <c r="A19" s="465"/>
      <c r="B19" s="496"/>
      <c r="C19" s="496"/>
      <c r="D19" s="3335" t="s">
        <v>3053</v>
      </c>
      <c r="E19" s="3330"/>
      <c r="F19" s="3330"/>
      <c r="G19" s="3330"/>
      <c r="H19" s="2519"/>
      <c r="I19" s="496"/>
      <c r="J19" s="496"/>
      <c r="K19" s="496"/>
      <c r="L19" s="496"/>
      <c r="M19" s="496"/>
      <c r="N19" s="496"/>
      <c r="O19" s="496"/>
      <c r="P19" s="496"/>
      <c r="Q19" s="496"/>
      <c r="R19" s="1405"/>
      <c r="S19" s="465"/>
    </row>
    <row r="20" spans="1:45" ht="16.5" thickBot="1">
      <c r="A20" s="1114" t="s">
        <v>518</v>
      </c>
      <c r="B20" s="669" t="e">
        <f ca="1">IF(D20="——",S22,S22-F20)</f>
        <v>#REF!</v>
      </c>
      <c r="C20" s="496"/>
      <c r="D20" s="3331" t="s">
        <v>3054</v>
      </c>
      <c r="E20" s="3332"/>
      <c r="F20" s="2422" t="e">
        <f ca="1">SUMIF(INDIRECT("'"&amp;H20&amp;"'"&amp;"!A:A"),"承租人权益价值",INDIRECT("'"&amp;H20&amp;"'"&amp;"!c:c"))</f>
        <v>#REF!</v>
      </c>
      <c r="G20" s="3333" t="s">
        <v>3041</v>
      </c>
      <c r="H20" s="3334"/>
      <c r="I20" s="496"/>
      <c r="J20" s="496"/>
      <c r="K20" s="496"/>
      <c r="L20" s="496"/>
      <c r="M20" s="496"/>
      <c r="N20" s="496"/>
      <c r="O20" s="496"/>
      <c r="P20" s="496"/>
      <c r="Q20" s="496"/>
      <c r="R20" s="1405"/>
      <c r="S20" s="465"/>
    </row>
    <row r="21" spans="1:45" ht="15.75">
      <c r="A21" s="1114" t="s">
        <v>519</v>
      </c>
      <c r="B21" s="669">
        <f>R22</f>
        <v>10000</v>
      </c>
      <c r="C21" s="496"/>
      <c r="D21" s="496"/>
      <c r="E21" s="496"/>
      <c r="F21" s="496"/>
      <c r="G21" s="496"/>
      <c r="H21" s="496"/>
      <c r="I21" s="496"/>
      <c r="J21" s="496"/>
      <c r="K21" s="496"/>
      <c r="L21" s="496"/>
      <c r="M21" s="496"/>
      <c r="N21" s="496"/>
      <c r="O21" s="496"/>
      <c r="P21" s="496"/>
      <c r="Q21" s="496"/>
      <c r="R21" s="1405"/>
      <c r="S21" s="465"/>
    </row>
    <row r="22" spans="1:45">
      <c r="A22" s="694" t="s">
        <v>520</v>
      </c>
      <c r="B22" s="311">
        <f>SUM(B24:B10000)</f>
        <v>100</v>
      </c>
      <c r="C22" s="3769" t="s">
        <v>168</v>
      </c>
      <c r="D22" s="3770"/>
      <c r="E22" s="3770"/>
      <c r="F22" s="3770"/>
      <c r="G22" s="3770"/>
      <c r="H22" s="3770"/>
      <c r="I22" s="3770"/>
      <c r="J22" s="3770"/>
      <c r="K22" s="3770"/>
      <c r="L22" s="3770"/>
      <c r="M22" s="3770"/>
      <c r="N22" s="3770"/>
      <c r="O22" s="3770"/>
      <c r="P22" s="3770"/>
      <c r="Q22" s="3771"/>
      <c r="R22" s="1115">
        <f>ROUND(S22*10000/B22,0)</f>
        <v>10000</v>
      </c>
      <c r="S22" s="311">
        <f>SUM(S24:S10000)</f>
        <v>100</v>
      </c>
    </row>
    <row r="23" spans="1:45" s="298" customFormat="1" ht="24">
      <c r="A23" s="297" t="s">
        <v>521</v>
      </c>
      <c r="B23" s="297" t="s">
        <v>522</v>
      </c>
      <c r="C23" s="297" t="s">
        <v>523</v>
      </c>
      <c r="D23" s="297" t="str">
        <f>B5</f>
        <v>修正项2</v>
      </c>
      <c r="E23" s="297" t="s">
        <v>523</v>
      </c>
      <c r="F23" s="297" t="str">
        <f>B7</f>
        <v>修正项3</v>
      </c>
      <c r="G23" s="297" t="s">
        <v>523</v>
      </c>
      <c r="H23" s="297" t="str">
        <f>B9</f>
        <v>修正项4</v>
      </c>
      <c r="I23" s="297" t="s">
        <v>523</v>
      </c>
      <c r="J23" s="297" t="str">
        <f>B11</f>
        <v>修正项5</v>
      </c>
      <c r="K23" s="297" t="s">
        <v>523</v>
      </c>
      <c r="L23" s="297" t="str">
        <f>B13</f>
        <v>修正项6</v>
      </c>
      <c r="M23" s="297" t="s">
        <v>523</v>
      </c>
      <c r="N23" s="297" t="str">
        <f>B15</f>
        <v>修正项7</v>
      </c>
      <c r="O23" s="297" t="s">
        <v>523</v>
      </c>
      <c r="P23" s="297" t="str">
        <f>B17</f>
        <v>楼层</v>
      </c>
      <c r="Q23" s="297" t="s">
        <v>523</v>
      </c>
      <c r="R23" s="1116" t="s">
        <v>524</v>
      </c>
      <c r="S23" s="297" t="s">
        <v>525</v>
      </c>
      <c r="T23" s="1456"/>
      <c r="U23" s="1456"/>
      <c r="V23" s="1456"/>
      <c r="W23" s="1456"/>
      <c r="X23" s="1456"/>
      <c r="Y23" s="1456"/>
      <c r="Z23" s="1456"/>
      <c r="AA23" s="1456"/>
      <c r="AB23" s="1456"/>
      <c r="AC23" s="1456"/>
      <c r="AD23" s="1456"/>
      <c r="AE23" s="1456"/>
      <c r="AF23" s="1456"/>
      <c r="AG23" s="1456"/>
      <c r="AH23" s="1456"/>
      <c r="AI23" s="1456"/>
      <c r="AJ23" s="1456"/>
      <c r="AK23" s="1456"/>
      <c r="AL23" s="1456"/>
      <c r="AM23" s="1456"/>
      <c r="AN23" s="1456"/>
      <c r="AO23" s="1456"/>
      <c r="AP23" s="1456"/>
      <c r="AQ23" s="1456"/>
      <c r="AR23" s="1456"/>
      <c r="AS23" s="1456"/>
    </row>
    <row r="24" spans="1:45" s="1121" customFormat="1">
      <c r="A24" s="1117" t="s">
        <v>526</v>
      </c>
      <c r="B24" s="1117">
        <v>100</v>
      </c>
      <c r="C24" s="1118">
        <v>1</v>
      </c>
      <c r="D24" s="1119"/>
      <c r="E24" s="1118">
        <v>1</v>
      </c>
      <c r="F24" s="1119"/>
      <c r="G24" s="1118">
        <v>1</v>
      </c>
      <c r="H24" s="1119"/>
      <c r="I24" s="1118">
        <v>1</v>
      </c>
      <c r="J24" s="1119"/>
      <c r="K24" s="1118">
        <v>1</v>
      </c>
      <c r="L24" s="1119"/>
      <c r="M24" s="1118">
        <v>1</v>
      </c>
      <c r="N24" s="1119"/>
      <c r="O24" s="1118">
        <v>1</v>
      </c>
      <c r="P24" s="1119"/>
      <c r="Q24" s="1118">
        <v>1</v>
      </c>
      <c r="R24" s="1120">
        <v>10000</v>
      </c>
      <c r="S24" s="1118">
        <f t="shared" ref="S24:S54" si="11">ROUND(R24*B24/10000,0)</f>
        <v>100</v>
      </c>
      <c r="T24" s="1457"/>
      <c r="U24" s="1457"/>
      <c r="V24" s="1457"/>
      <c r="W24" s="1457"/>
      <c r="X24" s="1457"/>
      <c r="Y24" s="1457"/>
      <c r="Z24" s="1457"/>
      <c r="AA24" s="1457"/>
      <c r="AB24" s="1457"/>
      <c r="AC24" s="1457"/>
      <c r="AD24" s="1457"/>
      <c r="AE24" s="1457"/>
      <c r="AF24" s="1457"/>
      <c r="AG24" s="1457"/>
      <c r="AH24" s="1457"/>
      <c r="AI24" s="1457"/>
      <c r="AJ24" s="1457"/>
      <c r="AK24" s="1457"/>
      <c r="AL24" s="1457"/>
      <c r="AM24" s="1457"/>
      <c r="AN24" s="1457"/>
      <c r="AO24" s="1457"/>
      <c r="AP24" s="1457"/>
      <c r="AQ24" s="1457"/>
      <c r="AR24" s="1457"/>
      <c r="AS24" s="1457"/>
    </row>
    <row r="25" spans="1:45">
      <c r="A25" s="487"/>
      <c r="B25" s="346"/>
      <c r="C25" s="311">
        <f>IF(B25="",1,(LOOKUP(B25,$3:$3,$4:$4)-LOOKUP($B$24,$3:$3,$4:$4)+100)/100)</f>
        <v>1</v>
      </c>
      <c r="D25" s="1119"/>
      <c r="E25" s="311">
        <f>(SUMIF($5:$5,D25,$6:$6)-SUMIF($5:$5,$D$24,$6:$6)+100)/100</f>
        <v>1</v>
      </c>
      <c r="F25" s="1119"/>
      <c r="G25" s="311">
        <f>(SUMIF($7:$7,F25,$8:$8)-SUMIF($7:$7,$F$24,$8:$8)+100)/100</f>
        <v>1</v>
      </c>
      <c r="H25" s="1119"/>
      <c r="I25" s="311">
        <f>(SUMIF($9:$9,H25,$10:$10)-SUMIF($9:$9,$H$24,$10:$10)+100)/100</f>
        <v>1</v>
      </c>
      <c r="J25" s="1119"/>
      <c r="K25" s="311">
        <f>(SUMIF($11:$11,J25,$12:$12)-SUMIF($11:$11,$J$24,$12:$12)+100)/100</f>
        <v>1</v>
      </c>
      <c r="L25" s="1119"/>
      <c r="M25" s="311">
        <f>(SUMIF($13:$13,L25,$14:$14)-SUMIF($13:$13,$L$24,$14:$14)+100)/100</f>
        <v>1</v>
      </c>
      <c r="N25" s="1119"/>
      <c r="O25" s="311">
        <f>(SUMIF($15:$15,N25,$16:$16)-SUMIF($15:$15,$N$24,$16:$16)+100)/100</f>
        <v>1</v>
      </c>
      <c r="P25" s="1119"/>
      <c r="Q25" s="311">
        <f>(SUMIF($17:$17,P25,$18:$18)-SUMIF($17:$17,$P$24,$18:$18)+100)/100</f>
        <v>1</v>
      </c>
      <c r="R25" s="1115">
        <f>IF(B25="",0,ROUND($R$24*C25*E25*G25*I25*K25*M25*O25*Q25,0))</f>
        <v>0</v>
      </c>
      <c r="S25" s="694">
        <f t="shared" si="11"/>
        <v>0</v>
      </c>
    </row>
    <row r="26" spans="1:45">
      <c r="A26" s="487"/>
      <c r="B26" s="346"/>
      <c r="C26" s="311">
        <f t="shared" ref="C26:C89" si="12">IF(B26="",1,(LOOKUP(B26,$3:$3,$4:$4)-LOOKUP($B$24,$3:$3,$4:$4)+100)/100)</f>
        <v>1</v>
      </c>
      <c r="D26" s="1119"/>
      <c r="E26" s="311">
        <f t="shared" ref="E26:E89" si="13">(SUMIF($5:$5,D26,$6:$6)-SUMIF($5:$5,$D$24,$6:$6)+100)/100</f>
        <v>1</v>
      </c>
      <c r="F26" s="1119"/>
      <c r="G26" s="311">
        <f t="shared" ref="G26:G89" si="14">(SUMIF($7:$7,F26,$8:$8)-SUMIF($7:$7,$F$24,$8:$8)+100)/100</f>
        <v>1</v>
      </c>
      <c r="H26" s="1119"/>
      <c r="I26" s="311">
        <f t="shared" ref="I26:I89" si="15">(SUMIF($9:$9,H26,$10:$10)-SUMIF($9:$9,$H$24,$10:$10)+100)/100</f>
        <v>1</v>
      </c>
      <c r="J26" s="1119"/>
      <c r="K26" s="311">
        <f t="shared" ref="K26:K89" si="16">(SUMIF($11:$11,J26,$12:$12)-SUMIF($11:$11,$J$24,$12:$12)+100)/100</f>
        <v>1</v>
      </c>
      <c r="L26" s="1119"/>
      <c r="M26" s="311">
        <f t="shared" ref="M26:M89" si="17">(SUMIF($13:$13,L26,$14:$14)-SUMIF($13:$13,$L$24,$14:$14)+100)/100</f>
        <v>1</v>
      </c>
      <c r="N26" s="1119"/>
      <c r="O26" s="311">
        <f t="shared" ref="O26:O89" si="18">(SUMIF($15:$15,N26,$16:$16)-SUMIF($15:$15,$N$24,$16:$16)+100)/100</f>
        <v>1</v>
      </c>
      <c r="P26" s="1119"/>
      <c r="Q26" s="311">
        <f t="shared" ref="Q26:Q89" si="19">(SUMIF($17:$17,P26,$18:$18)-SUMIF($17:$17,$P$24,$18:$18)+100)/100</f>
        <v>1</v>
      </c>
      <c r="R26" s="1115">
        <f t="shared" ref="R26:R89" si="20">IF(B26="",0,ROUND($R$24*C26*E26*G26*I26*K26*M26*O26*Q26,0))</f>
        <v>0</v>
      </c>
      <c r="S26" s="694">
        <f t="shared" si="11"/>
        <v>0</v>
      </c>
    </row>
    <row r="27" spans="1:45">
      <c r="A27" s="487"/>
      <c r="B27" s="346"/>
      <c r="C27" s="311">
        <f t="shared" si="12"/>
        <v>1</v>
      </c>
      <c r="D27" s="1119"/>
      <c r="E27" s="311">
        <f t="shared" si="13"/>
        <v>1</v>
      </c>
      <c r="F27" s="1119"/>
      <c r="G27" s="311">
        <f t="shared" si="14"/>
        <v>1</v>
      </c>
      <c r="H27" s="1119"/>
      <c r="I27" s="311">
        <f t="shared" si="15"/>
        <v>1</v>
      </c>
      <c r="J27" s="1119"/>
      <c r="K27" s="311">
        <f t="shared" si="16"/>
        <v>1</v>
      </c>
      <c r="L27" s="1119"/>
      <c r="M27" s="311">
        <f t="shared" si="17"/>
        <v>1</v>
      </c>
      <c r="N27" s="1119"/>
      <c r="O27" s="311">
        <f t="shared" si="18"/>
        <v>1</v>
      </c>
      <c r="P27" s="1119"/>
      <c r="Q27" s="311">
        <f t="shared" si="19"/>
        <v>1</v>
      </c>
      <c r="R27" s="1115">
        <f t="shared" si="20"/>
        <v>0</v>
      </c>
      <c r="S27" s="694">
        <f t="shared" si="11"/>
        <v>0</v>
      </c>
    </row>
    <row r="28" spans="1:45">
      <c r="A28" s="487"/>
      <c r="B28" s="346"/>
      <c r="C28" s="311">
        <f t="shared" si="12"/>
        <v>1</v>
      </c>
      <c r="D28" s="1119"/>
      <c r="E28" s="311">
        <f t="shared" si="13"/>
        <v>1</v>
      </c>
      <c r="F28" s="1119"/>
      <c r="G28" s="311">
        <f t="shared" si="14"/>
        <v>1</v>
      </c>
      <c r="H28" s="1119"/>
      <c r="I28" s="311">
        <f t="shared" si="15"/>
        <v>1</v>
      </c>
      <c r="J28" s="1119"/>
      <c r="K28" s="311">
        <f t="shared" si="16"/>
        <v>1</v>
      </c>
      <c r="L28" s="1119"/>
      <c r="M28" s="311">
        <f t="shared" si="17"/>
        <v>1</v>
      </c>
      <c r="N28" s="1119"/>
      <c r="O28" s="311">
        <f t="shared" si="18"/>
        <v>1</v>
      </c>
      <c r="P28" s="1119"/>
      <c r="Q28" s="311">
        <f t="shared" si="19"/>
        <v>1</v>
      </c>
      <c r="R28" s="1115">
        <f t="shared" si="20"/>
        <v>0</v>
      </c>
      <c r="S28" s="694">
        <f t="shared" si="11"/>
        <v>0</v>
      </c>
    </row>
    <row r="29" spans="1:45">
      <c r="A29" s="487"/>
      <c r="B29" s="346"/>
      <c r="C29" s="311">
        <f t="shared" si="12"/>
        <v>1</v>
      </c>
      <c r="D29" s="1119"/>
      <c r="E29" s="311">
        <f t="shared" si="13"/>
        <v>1</v>
      </c>
      <c r="F29" s="1119"/>
      <c r="G29" s="311">
        <f t="shared" si="14"/>
        <v>1</v>
      </c>
      <c r="H29" s="1119"/>
      <c r="I29" s="311">
        <f t="shared" si="15"/>
        <v>1</v>
      </c>
      <c r="J29" s="1119"/>
      <c r="K29" s="311">
        <f t="shared" si="16"/>
        <v>1</v>
      </c>
      <c r="L29" s="1119"/>
      <c r="M29" s="311">
        <f t="shared" si="17"/>
        <v>1</v>
      </c>
      <c r="N29" s="1119"/>
      <c r="O29" s="311">
        <f t="shared" si="18"/>
        <v>1</v>
      </c>
      <c r="P29" s="1119"/>
      <c r="Q29" s="311">
        <f t="shared" si="19"/>
        <v>1</v>
      </c>
      <c r="R29" s="1115">
        <f t="shared" si="20"/>
        <v>0</v>
      </c>
      <c r="S29" s="694">
        <f t="shared" si="11"/>
        <v>0</v>
      </c>
    </row>
    <row r="30" spans="1:45">
      <c r="A30" s="487"/>
      <c r="B30" s="346"/>
      <c r="C30" s="311">
        <f t="shared" si="12"/>
        <v>1</v>
      </c>
      <c r="D30" s="1119"/>
      <c r="E30" s="311">
        <f t="shared" si="13"/>
        <v>1</v>
      </c>
      <c r="F30" s="1119"/>
      <c r="G30" s="311">
        <f t="shared" si="14"/>
        <v>1</v>
      </c>
      <c r="H30" s="1119"/>
      <c r="I30" s="311">
        <f t="shared" si="15"/>
        <v>1</v>
      </c>
      <c r="J30" s="1119"/>
      <c r="K30" s="311">
        <f t="shared" si="16"/>
        <v>1</v>
      </c>
      <c r="L30" s="1119"/>
      <c r="M30" s="311">
        <f t="shared" si="17"/>
        <v>1</v>
      </c>
      <c r="N30" s="1119"/>
      <c r="O30" s="311">
        <f t="shared" si="18"/>
        <v>1</v>
      </c>
      <c r="P30" s="1119"/>
      <c r="Q30" s="311">
        <f t="shared" si="19"/>
        <v>1</v>
      </c>
      <c r="R30" s="1115">
        <f t="shared" si="20"/>
        <v>0</v>
      </c>
      <c r="S30" s="694">
        <f t="shared" si="11"/>
        <v>0</v>
      </c>
    </row>
    <row r="31" spans="1:45">
      <c r="A31" s="487"/>
      <c r="B31" s="346"/>
      <c r="C31" s="311">
        <f t="shared" si="12"/>
        <v>1</v>
      </c>
      <c r="D31" s="1119"/>
      <c r="E31" s="311">
        <f t="shared" si="13"/>
        <v>1</v>
      </c>
      <c r="F31" s="1119"/>
      <c r="G31" s="311">
        <f t="shared" si="14"/>
        <v>1</v>
      </c>
      <c r="H31" s="1119"/>
      <c r="I31" s="311">
        <f t="shared" si="15"/>
        <v>1</v>
      </c>
      <c r="J31" s="1119"/>
      <c r="K31" s="311">
        <f t="shared" si="16"/>
        <v>1</v>
      </c>
      <c r="L31" s="1119"/>
      <c r="M31" s="311">
        <f t="shared" si="17"/>
        <v>1</v>
      </c>
      <c r="N31" s="1119"/>
      <c r="O31" s="311">
        <f t="shared" si="18"/>
        <v>1</v>
      </c>
      <c r="P31" s="1119"/>
      <c r="Q31" s="311">
        <f t="shared" si="19"/>
        <v>1</v>
      </c>
      <c r="R31" s="1115">
        <f t="shared" si="20"/>
        <v>0</v>
      </c>
      <c r="S31" s="694">
        <f t="shared" si="11"/>
        <v>0</v>
      </c>
    </row>
    <row r="32" spans="1:45">
      <c r="A32" s="487"/>
      <c r="B32" s="346"/>
      <c r="C32" s="311">
        <f t="shared" si="12"/>
        <v>1</v>
      </c>
      <c r="D32" s="1119"/>
      <c r="E32" s="311">
        <f t="shared" si="13"/>
        <v>1</v>
      </c>
      <c r="F32" s="1119"/>
      <c r="G32" s="311">
        <f t="shared" si="14"/>
        <v>1</v>
      </c>
      <c r="H32" s="1119"/>
      <c r="I32" s="311">
        <f t="shared" si="15"/>
        <v>1</v>
      </c>
      <c r="J32" s="1119"/>
      <c r="K32" s="311">
        <f t="shared" si="16"/>
        <v>1</v>
      </c>
      <c r="L32" s="1119"/>
      <c r="M32" s="311">
        <f t="shared" si="17"/>
        <v>1</v>
      </c>
      <c r="N32" s="1119"/>
      <c r="O32" s="311">
        <f t="shared" si="18"/>
        <v>1</v>
      </c>
      <c r="P32" s="1119"/>
      <c r="Q32" s="311">
        <f t="shared" si="19"/>
        <v>1</v>
      </c>
      <c r="R32" s="1115">
        <f t="shared" si="20"/>
        <v>0</v>
      </c>
      <c r="S32" s="694">
        <f t="shared" si="11"/>
        <v>0</v>
      </c>
    </row>
    <row r="33" spans="1:19">
      <c r="A33" s="487"/>
      <c r="B33" s="346"/>
      <c r="C33" s="311">
        <f t="shared" si="12"/>
        <v>1</v>
      </c>
      <c r="D33" s="1119"/>
      <c r="E33" s="311">
        <f t="shared" si="13"/>
        <v>1</v>
      </c>
      <c r="F33" s="1119"/>
      <c r="G33" s="311">
        <f t="shared" si="14"/>
        <v>1</v>
      </c>
      <c r="H33" s="1119"/>
      <c r="I33" s="311">
        <f t="shared" si="15"/>
        <v>1</v>
      </c>
      <c r="J33" s="1119"/>
      <c r="K33" s="311">
        <f t="shared" si="16"/>
        <v>1</v>
      </c>
      <c r="L33" s="1119"/>
      <c r="M33" s="311">
        <f t="shared" si="17"/>
        <v>1</v>
      </c>
      <c r="N33" s="1119"/>
      <c r="O33" s="311">
        <f t="shared" si="18"/>
        <v>1</v>
      </c>
      <c r="P33" s="1119"/>
      <c r="Q33" s="311">
        <f t="shared" si="19"/>
        <v>1</v>
      </c>
      <c r="R33" s="1115">
        <f t="shared" si="20"/>
        <v>0</v>
      </c>
      <c r="S33" s="694">
        <f t="shared" si="11"/>
        <v>0</v>
      </c>
    </row>
    <row r="34" spans="1:19">
      <c r="A34" s="487"/>
      <c r="B34" s="346"/>
      <c r="C34" s="311">
        <f t="shared" si="12"/>
        <v>1</v>
      </c>
      <c r="D34" s="1119"/>
      <c r="E34" s="311">
        <f t="shared" si="13"/>
        <v>1</v>
      </c>
      <c r="F34" s="1119"/>
      <c r="G34" s="311">
        <f t="shared" si="14"/>
        <v>1</v>
      </c>
      <c r="H34" s="1119"/>
      <c r="I34" s="311">
        <f t="shared" si="15"/>
        <v>1</v>
      </c>
      <c r="J34" s="1119"/>
      <c r="K34" s="311">
        <f t="shared" si="16"/>
        <v>1</v>
      </c>
      <c r="L34" s="1119"/>
      <c r="M34" s="311">
        <f t="shared" si="17"/>
        <v>1</v>
      </c>
      <c r="N34" s="1119"/>
      <c r="O34" s="311">
        <f t="shared" si="18"/>
        <v>1</v>
      </c>
      <c r="P34" s="1119"/>
      <c r="Q34" s="311">
        <f t="shared" si="19"/>
        <v>1</v>
      </c>
      <c r="R34" s="1115">
        <f t="shared" si="20"/>
        <v>0</v>
      </c>
      <c r="S34" s="694">
        <f t="shared" si="11"/>
        <v>0</v>
      </c>
    </row>
    <row r="35" spans="1:19">
      <c r="A35" s="487"/>
      <c r="B35" s="346"/>
      <c r="C35" s="311">
        <f t="shared" si="12"/>
        <v>1</v>
      </c>
      <c r="D35" s="1119"/>
      <c r="E35" s="311">
        <f t="shared" si="13"/>
        <v>1</v>
      </c>
      <c r="F35" s="1119"/>
      <c r="G35" s="311">
        <f t="shared" si="14"/>
        <v>1</v>
      </c>
      <c r="H35" s="1119"/>
      <c r="I35" s="311">
        <f t="shared" si="15"/>
        <v>1</v>
      </c>
      <c r="J35" s="1119"/>
      <c r="K35" s="311">
        <f t="shared" si="16"/>
        <v>1</v>
      </c>
      <c r="L35" s="1119"/>
      <c r="M35" s="311">
        <f t="shared" si="17"/>
        <v>1</v>
      </c>
      <c r="N35" s="1119"/>
      <c r="O35" s="311">
        <f t="shared" si="18"/>
        <v>1</v>
      </c>
      <c r="P35" s="1119"/>
      <c r="Q35" s="311">
        <f t="shared" si="19"/>
        <v>1</v>
      </c>
      <c r="R35" s="1115">
        <f t="shared" si="20"/>
        <v>0</v>
      </c>
      <c r="S35" s="694">
        <f t="shared" si="11"/>
        <v>0</v>
      </c>
    </row>
    <row r="36" spans="1:19">
      <c r="A36" s="487"/>
      <c r="B36" s="346"/>
      <c r="C36" s="311">
        <f t="shared" si="12"/>
        <v>1</v>
      </c>
      <c r="D36" s="1119"/>
      <c r="E36" s="311">
        <f t="shared" si="13"/>
        <v>1</v>
      </c>
      <c r="F36" s="1119"/>
      <c r="G36" s="311">
        <f t="shared" si="14"/>
        <v>1</v>
      </c>
      <c r="H36" s="1119"/>
      <c r="I36" s="311">
        <f t="shared" si="15"/>
        <v>1</v>
      </c>
      <c r="J36" s="1119"/>
      <c r="K36" s="311">
        <f t="shared" si="16"/>
        <v>1</v>
      </c>
      <c r="L36" s="1119"/>
      <c r="M36" s="311">
        <f t="shared" si="17"/>
        <v>1</v>
      </c>
      <c r="N36" s="1119"/>
      <c r="O36" s="311">
        <f t="shared" si="18"/>
        <v>1</v>
      </c>
      <c r="P36" s="1119"/>
      <c r="Q36" s="311">
        <f t="shared" si="19"/>
        <v>1</v>
      </c>
      <c r="R36" s="1115">
        <f t="shared" si="20"/>
        <v>0</v>
      </c>
      <c r="S36" s="694">
        <f t="shared" si="11"/>
        <v>0</v>
      </c>
    </row>
    <row r="37" spans="1:19">
      <c r="A37" s="487"/>
      <c r="B37" s="346"/>
      <c r="C37" s="311">
        <f t="shared" si="12"/>
        <v>1</v>
      </c>
      <c r="D37" s="1119"/>
      <c r="E37" s="311">
        <f t="shared" si="13"/>
        <v>1</v>
      </c>
      <c r="F37" s="1119"/>
      <c r="G37" s="311">
        <f t="shared" si="14"/>
        <v>1</v>
      </c>
      <c r="H37" s="1119"/>
      <c r="I37" s="311">
        <f t="shared" si="15"/>
        <v>1</v>
      </c>
      <c r="J37" s="1119"/>
      <c r="K37" s="311">
        <f t="shared" si="16"/>
        <v>1</v>
      </c>
      <c r="L37" s="1119"/>
      <c r="M37" s="311">
        <f t="shared" si="17"/>
        <v>1</v>
      </c>
      <c r="N37" s="1119"/>
      <c r="O37" s="311">
        <f t="shared" si="18"/>
        <v>1</v>
      </c>
      <c r="P37" s="1119"/>
      <c r="Q37" s="311">
        <f t="shared" si="19"/>
        <v>1</v>
      </c>
      <c r="R37" s="1115">
        <f t="shared" si="20"/>
        <v>0</v>
      </c>
      <c r="S37" s="694">
        <f t="shared" si="11"/>
        <v>0</v>
      </c>
    </row>
    <row r="38" spans="1:19">
      <c r="A38" s="487"/>
      <c r="B38" s="346"/>
      <c r="C38" s="311">
        <f t="shared" si="12"/>
        <v>1</v>
      </c>
      <c r="D38" s="1119"/>
      <c r="E38" s="311">
        <f t="shared" si="13"/>
        <v>1</v>
      </c>
      <c r="F38" s="1119"/>
      <c r="G38" s="311">
        <f t="shared" si="14"/>
        <v>1</v>
      </c>
      <c r="H38" s="1119"/>
      <c r="I38" s="311">
        <f t="shared" si="15"/>
        <v>1</v>
      </c>
      <c r="J38" s="1119"/>
      <c r="K38" s="311">
        <f t="shared" si="16"/>
        <v>1</v>
      </c>
      <c r="L38" s="1119"/>
      <c r="M38" s="311">
        <f t="shared" si="17"/>
        <v>1</v>
      </c>
      <c r="N38" s="1119"/>
      <c r="O38" s="311">
        <f t="shared" si="18"/>
        <v>1</v>
      </c>
      <c r="P38" s="1119"/>
      <c r="Q38" s="311">
        <f t="shared" si="19"/>
        <v>1</v>
      </c>
      <c r="R38" s="1115">
        <f t="shared" si="20"/>
        <v>0</v>
      </c>
      <c r="S38" s="694">
        <f t="shared" si="11"/>
        <v>0</v>
      </c>
    </row>
    <row r="39" spans="1:19">
      <c r="A39" s="487"/>
      <c r="B39" s="346"/>
      <c r="C39" s="311">
        <f t="shared" si="12"/>
        <v>1</v>
      </c>
      <c r="D39" s="1119"/>
      <c r="E39" s="311">
        <f t="shared" si="13"/>
        <v>1</v>
      </c>
      <c r="F39" s="1119"/>
      <c r="G39" s="311">
        <f t="shared" si="14"/>
        <v>1</v>
      </c>
      <c r="H39" s="1119"/>
      <c r="I39" s="311">
        <f t="shared" si="15"/>
        <v>1</v>
      </c>
      <c r="J39" s="1119"/>
      <c r="K39" s="311">
        <f t="shared" si="16"/>
        <v>1</v>
      </c>
      <c r="L39" s="1119"/>
      <c r="M39" s="311">
        <f t="shared" si="17"/>
        <v>1</v>
      </c>
      <c r="N39" s="1119"/>
      <c r="O39" s="311">
        <f t="shared" si="18"/>
        <v>1</v>
      </c>
      <c r="P39" s="1119"/>
      <c r="Q39" s="311">
        <f t="shared" si="19"/>
        <v>1</v>
      </c>
      <c r="R39" s="1115">
        <f t="shared" si="20"/>
        <v>0</v>
      </c>
      <c r="S39" s="694">
        <f t="shared" si="11"/>
        <v>0</v>
      </c>
    </row>
    <row r="40" spans="1:19">
      <c r="A40" s="487"/>
      <c r="B40" s="346"/>
      <c r="C40" s="311">
        <f t="shared" si="12"/>
        <v>1</v>
      </c>
      <c r="D40" s="1119"/>
      <c r="E40" s="311">
        <f t="shared" si="13"/>
        <v>1</v>
      </c>
      <c r="F40" s="1119"/>
      <c r="G40" s="311">
        <f t="shared" si="14"/>
        <v>1</v>
      </c>
      <c r="H40" s="1119"/>
      <c r="I40" s="311">
        <f t="shared" si="15"/>
        <v>1</v>
      </c>
      <c r="J40" s="1119"/>
      <c r="K40" s="311">
        <f t="shared" si="16"/>
        <v>1</v>
      </c>
      <c r="L40" s="1119"/>
      <c r="M40" s="311">
        <f t="shared" si="17"/>
        <v>1</v>
      </c>
      <c r="N40" s="1119"/>
      <c r="O40" s="311">
        <f t="shared" si="18"/>
        <v>1</v>
      </c>
      <c r="P40" s="1119"/>
      <c r="Q40" s="311">
        <f t="shared" si="19"/>
        <v>1</v>
      </c>
      <c r="R40" s="1115">
        <f t="shared" si="20"/>
        <v>0</v>
      </c>
      <c r="S40" s="694">
        <f t="shared" si="11"/>
        <v>0</v>
      </c>
    </row>
    <row r="41" spans="1:19">
      <c r="A41" s="487"/>
      <c r="B41" s="346"/>
      <c r="C41" s="311">
        <f t="shared" si="12"/>
        <v>1</v>
      </c>
      <c r="D41" s="1119"/>
      <c r="E41" s="311">
        <f t="shared" si="13"/>
        <v>1</v>
      </c>
      <c r="F41" s="1119"/>
      <c r="G41" s="311">
        <f t="shared" si="14"/>
        <v>1</v>
      </c>
      <c r="H41" s="1119"/>
      <c r="I41" s="311">
        <f t="shared" si="15"/>
        <v>1</v>
      </c>
      <c r="J41" s="1119"/>
      <c r="K41" s="311">
        <f t="shared" si="16"/>
        <v>1</v>
      </c>
      <c r="L41" s="1119"/>
      <c r="M41" s="311">
        <f t="shared" si="17"/>
        <v>1</v>
      </c>
      <c r="N41" s="1119"/>
      <c r="O41" s="311">
        <f t="shared" si="18"/>
        <v>1</v>
      </c>
      <c r="P41" s="1119"/>
      <c r="Q41" s="311">
        <f t="shared" si="19"/>
        <v>1</v>
      </c>
      <c r="R41" s="1115">
        <f t="shared" si="20"/>
        <v>0</v>
      </c>
      <c r="S41" s="694">
        <f t="shared" si="11"/>
        <v>0</v>
      </c>
    </row>
    <row r="42" spans="1:19">
      <c r="A42" s="487"/>
      <c r="B42" s="346"/>
      <c r="C42" s="311">
        <f t="shared" si="12"/>
        <v>1</v>
      </c>
      <c r="D42" s="1119"/>
      <c r="E42" s="311">
        <f t="shared" si="13"/>
        <v>1</v>
      </c>
      <c r="F42" s="1119"/>
      <c r="G42" s="311">
        <f t="shared" si="14"/>
        <v>1</v>
      </c>
      <c r="H42" s="1119"/>
      <c r="I42" s="311">
        <f t="shared" si="15"/>
        <v>1</v>
      </c>
      <c r="J42" s="1119"/>
      <c r="K42" s="311">
        <f t="shared" si="16"/>
        <v>1</v>
      </c>
      <c r="L42" s="1119"/>
      <c r="M42" s="311">
        <f t="shared" si="17"/>
        <v>1</v>
      </c>
      <c r="N42" s="1119"/>
      <c r="O42" s="311">
        <f t="shared" si="18"/>
        <v>1</v>
      </c>
      <c r="P42" s="1119"/>
      <c r="Q42" s="311">
        <f t="shared" si="19"/>
        <v>1</v>
      </c>
      <c r="R42" s="1115">
        <f t="shared" si="20"/>
        <v>0</v>
      </c>
      <c r="S42" s="694">
        <f t="shared" si="11"/>
        <v>0</v>
      </c>
    </row>
    <row r="43" spans="1:19">
      <c r="A43" s="487"/>
      <c r="B43" s="346"/>
      <c r="C43" s="311">
        <f t="shared" si="12"/>
        <v>1</v>
      </c>
      <c r="D43" s="1119"/>
      <c r="E43" s="311">
        <f t="shared" si="13"/>
        <v>1</v>
      </c>
      <c r="F43" s="1119"/>
      <c r="G43" s="311">
        <f t="shared" si="14"/>
        <v>1</v>
      </c>
      <c r="H43" s="1119"/>
      <c r="I43" s="311">
        <f t="shared" si="15"/>
        <v>1</v>
      </c>
      <c r="J43" s="1119"/>
      <c r="K43" s="311">
        <f t="shared" si="16"/>
        <v>1</v>
      </c>
      <c r="L43" s="1119"/>
      <c r="M43" s="311">
        <f t="shared" si="17"/>
        <v>1</v>
      </c>
      <c r="N43" s="1119"/>
      <c r="O43" s="311">
        <f t="shared" si="18"/>
        <v>1</v>
      </c>
      <c r="P43" s="1119"/>
      <c r="Q43" s="311">
        <f t="shared" si="19"/>
        <v>1</v>
      </c>
      <c r="R43" s="1115">
        <f t="shared" si="20"/>
        <v>0</v>
      </c>
      <c r="S43" s="694">
        <f t="shared" si="11"/>
        <v>0</v>
      </c>
    </row>
    <row r="44" spans="1:19">
      <c r="A44" s="487"/>
      <c r="B44" s="346"/>
      <c r="C44" s="311">
        <f t="shared" si="12"/>
        <v>1</v>
      </c>
      <c r="D44" s="1119"/>
      <c r="E44" s="311">
        <f t="shared" si="13"/>
        <v>1</v>
      </c>
      <c r="F44" s="1119"/>
      <c r="G44" s="311">
        <f t="shared" si="14"/>
        <v>1</v>
      </c>
      <c r="H44" s="1119"/>
      <c r="I44" s="311">
        <f t="shared" si="15"/>
        <v>1</v>
      </c>
      <c r="J44" s="1119"/>
      <c r="K44" s="311">
        <f t="shared" si="16"/>
        <v>1</v>
      </c>
      <c r="L44" s="1119"/>
      <c r="M44" s="311">
        <f t="shared" si="17"/>
        <v>1</v>
      </c>
      <c r="N44" s="1119"/>
      <c r="O44" s="311">
        <f t="shared" si="18"/>
        <v>1</v>
      </c>
      <c r="P44" s="1119"/>
      <c r="Q44" s="311">
        <f t="shared" si="19"/>
        <v>1</v>
      </c>
      <c r="R44" s="1115">
        <f t="shared" si="20"/>
        <v>0</v>
      </c>
      <c r="S44" s="694">
        <f t="shared" si="11"/>
        <v>0</v>
      </c>
    </row>
    <row r="45" spans="1:19">
      <c r="A45" s="487"/>
      <c r="B45" s="346"/>
      <c r="C45" s="311">
        <f t="shared" si="12"/>
        <v>1</v>
      </c>
      <c r="D45" s="1119"/>
      <c r="E45" s="311">
        <f t="shared" si="13"/>
        <v>1</v>
      </c>
      <c r="F45" s="1119"/>
      <c r="G45" s="311">
        <f t="shared" si="14"/>
        <v>1</v>
      </c>
      <c r="H45" s="1119"/>
      <c r="I45" s="311">
        <f t="shared" si="15"/>
        <v>1</v>
      </c>
      <c r="J45" s="1119"/>
      <c r="K45" s="311">
        <f t="shared" si="16"/>
        <v>1</v>
      </c>
      <c r="L45" s="1119"/>
      <c r="M45" s="311">
        <f t="shared" si="17"/>
        <v>1</v>
      </c>
      <c r="N45" s="1119"/>
      <c r="O45" s="311">
        <f t="shared" si="18"/>
        <v>1</v>
      </c>
      <c r="P45" s="1119"/>
      <c r="Q45" s="311">
        <f t="shared" si="19"/>
        <v>1</v>
      </c>
      <c r="R45" s="1115">
        <f t="shared" si="20"/>
        <v>0</v>
      </c>
      <c r="S45" s="694">
        <f t="shared" si="11"/>
        <v>0</v>
      </c>
    </row>
    <row r="46" spans="1:19">
      <c r="A46" s="487"/>
      <c r="B46" s="346"/>
      <c r="C46" s="311">
        <f t="shared" si="12"/>
        <v>1</v>
      </c>
      <c r="D46" s="1119"/>
      <c r="E46" s="311">
        <f t="shared" si="13"/>
        <v>1</v>
      </c>
      <c r="F46" s="1119"/>
      <c r="G46" s="311">
        <f t="shared" si="14"/>
        <v>1</v>
      </c>
      <c r="H46" s="1119"/>
      <c r="I46" s="311">
        <f t="shared" si="15"/>
        <v>1</v>
      </c>
      <c r="J46" s="1119"/>
      <c r="K46" s="311">
        <f t="shared" si="16"/>
        <v>1</v>
      </c>
      <c r="L46" s="1119"/>
      <c r="M46" s="311">
        <f t="shared" si="17"/>
        <v>1</v>
      </c>
      <c r="N46" s="1119"/>
      <c r="O46" s="311">
        <f t="shared" si="18"/>
        <v>1</v>
      </c>
      <c r="P46" s="1119"/>
      <c r="Q46" s="311">
        <f t="shared" si="19"/>
        <v>1</v>
      </c>
      <c r="R46" s="1115">
        <f t="shared" si="20"/>
        <v>0</v>
      </c>
      <c r="S46" s="694">
        <f t="shared" si="11"/>
        <v>0</v>
      </c>
    </row>
    <row r="47" spans="1:19">
      <c r="A47" s="487"/>
      <c r="B47" s="346"/>
      <c r="C47" s="311">
        <f t="shared" si="12"/>
        <v>1</v>
      </c>
      <c r="D47" s="1119"/>
      <c r="E47" s="311">
        <f t="shared" si="13"/>
        <v>1</v>
      </c>
      <c r="F47" s="1119"/>
      <c r="G47" s="311">
        <f t="shared" si="14"/>
        <v>1</v>
      </c>
      <c r="H47" s="1119"/>
      <c r="I47" s="311">
        <f t="shared" si="15"/>
        <v>1</v>
      </c>
      <c r="J47" s="1119"/>
      <c r="K47" s="311">
        <f t="shared" si="16"/>
        <v>1</v>
      </c>
      <c r="L47" s="1119"/>
      <c r="M47" s="311">
        <f t="shared" si="17"/>
        <v>1</v>
      </c>
      <c r="N47" s="1119"/>
      <c r="O47" s="311">
        <f t="shared" si="18"/>
        <v>1</v>
      </c>
      <c r="P47" s="1119"/>
      <c r="Q47" s="311">
        <f t="shared" si="19"/>
        <v>1</v>
      </c>
      <c r="R47" s="1115">
        <f t="shared" si="20"/>
        <v>0</v>
      </c>
      <c r="S47" s="694">
        <f t="shared" si="11"/>
        <v>0</v>
      </c>
    </row>
    <row r="48" spans="1:19">
      <c r="A48" s="487"/>
      <c r="B48" s="346"/>
      <c r="C48" s="311">
        <f t="shared" si="12"/>
        <v>1</v>
      </c>
      <c r="D48" s="1119"/>
      <c r="E48" s="311">
        <f t="shared" si="13"/>
        <v>1</v>
      </c>
      <c r="F48" s="1119"/>
      <c r="G48" s="311">
        <f t="shared" si="14"/>
        <v>1</v>
      </c>
      <c r="H48" s="1119"/>
      <c r="I48" s="311">
        <f t="shared" si="15"/>
        <v>1</v>
      </c>
      <c r="J48" s="1119"/>
      <c r="K48" s="311">
        <f t="shared" si="16"/>
        <v>1</v>
      </c>
      <c r="L48" s="1119"/>
      <c r="M48" s="311">
        <f t="shared" si="17"/>
        <v>1</v>
      </c>
      <c r="N48" s="1119"/>
      <c r="O48" s="311">
        <f t="shared" si="18"/>
        <v>1</v>
      </c>
      <c r="P48" s="1119"/>
      <c r="Q48" s="311">
        <f t="shared" si="19"/>
        <v>1</v>
      </c>
      <c r="R48" s="1115">
        <f t="shared" si="20"/>
        <v>0</v>
      </c>
      <c r="S48" s="694">
        <f t="shared" si="11"/>
        <v>0</v>
      </c>
    </row>
    <row r="49" spans="1:19">
      <c r="A49" s="487"/>
      <c r="B49" s="346"/>
      <c r="C49" s="311">
        <f t="shared" si="12"/>
        <v>1</v>
      </c>
      <c r="D49" s="1119"/>
      <c r="E49" s="311">
        <f t="shared" si="13"/>
        <v>1</v>
      </c>
      <c r="F49" s="1119"/>
      <c r="G49" s="311">
        <f t="shared" si="14"/>
        <v>1</v>
      </c>
      <c r="H49" s="1119"/>
      <c r="I49" s="311">
        <f t="shared" si="15"/>
        <v>1</v>
      </c>
      <c r="J49" s="1119"/>
      <c r="K49" s="311">
        <f t="shared" si="16"/>
        <v>1</v>
      </c>
      <c r="L49" s="1119"/>
      <c r="M49" s="311">
        <f t="shared" si="17"/>
        <v>1</v>
      </c>
      <c r="N49" s="1119"/>
      <c r="O49" s="311">
        <f t="shared" si="18"/>
        <v>1</v>
      </c>
      <c r="P49" s="1119"/>
      <c r="Q49" s="311">
        <f t="shared" si="19"/>
        <v>1</v>
      </c>
      <c r="R49" s="1115">
        <f t="shared" si="20"/>
        <v>0</v>
      </c>
      <c r="S49" s="694">
        <f t="shared" si="11"/>
        <v>0</v>
      </c>
    </row>
    <row r="50" spans="1:19">
      <c r="A50" s="487"/>
      <c r="B50" s="346"/>
      <c r="C50" s="311">
        <f t="shared" si="12"/>
        <v>1</v>
      </c>
      <c r="D50" s="1119"/>
      <c r="E50" s="311">
        <f t="shared" si="13"/>
        <v>1</v>
      </c>
      <c r="F50" s="1119"/>
      <c r="G50" s="311">
        <f t="shared" si="14"/>
        <v>1</v>
      </c>
      <c r="H50" s="1119"/>
      <c r="I50" s="311">
        <f t="shared" si="15"/>
        <v>1</v>
      </c>
      <c r="J50" s="1119"/>
      <c r="K50" s="311">
        <f t="shared" si="16"/>
        <v>1</v>
      </c>
      <c r="L50" s="1119"/>
      <c r="M50" s="311">
        <f t="shared" si="17"/>
        <v>1</v>
      </c>
      <c r="N50" s="1119"/>
      <c r="O50" s="311">
        <f t="shared" si="18"/>
        <v>1</v>
      </c>
      <c r="P50" s="1119"/>
      <c r="Q50" s="311">
        <f t="shared" si="19"/>
        <v>1</v>
      </c>
      <c r="R50" s="1115">
        <f t="shared" si="20"/>
        <v>0</v>
      </c>
      <c r="S50" s="694">
        <f t="shared" si="11"/>
        <v>0</v>
      </c>
    </row>
    <row r="51" spans="1:19">
      <c r="A51" s="487"/>
      <c r="B51" s="346"/>
      <c r="C51" s="311">
        <f t="shared" si="12"/>
        <v>1</v>
      </c>
      <c r="D51" s="1119"/>
      <c r="E51" s="311">
        <f t="shared" si="13"/>
        <v>1</v>
      </c>
      <c r="F51" s="1119"/>
      <c r="G51" s="311">
        <f t="shared" si="14"/>
        <v>1</v>
      </c>
      <c r="H51" s="1119"/>
      <c r="I51" s="311">
        <f t="shared" si="15"/>
        <v>1</v>
      </c>
      <c r="J51" s="1119"/>
      <c r="K51" s="311">
        <f t="shared" si="16"/>
        <v>1</v>
      </c>
      <c r="L51" s="1119"/>
      <c r="M51" s="311">
        <f t="shared" si="17"/>
        <v>1</v>
      </c>
      <c r="N51" s="1119"/>
      <c r="O51" s="311">
        <f t="shared" si="18"/>
        <v>1</v>
      </c>
      <c r="P51" s="1119"/>
      <c r="Q51" s="311">
        <f t="shared" si="19"/>
        <v>1</v>
      </c>
      <c r="R51" s="1115">
        <f t="shared" si="20"/>
        <v>0</v>
      </c>
      <c r="S51" s="694">
        <f t="shared" si="11"/>
        <v>0</v>
      </c>
    </row>
    <row r="52" spans="1:19">
      <c r="A52" s="487"/>
      <c r="B52" s="346"/>
      <c r="C52" s="311">
        <f t="shared" si="12"/>
        <v>1</v>
      </c>
      <c r="D52" s="1119"/>
      <c r="E52" s="311">
        <f t="shared" si="13"/>
        <v>1</v>
      </c>
      <c r="F52" s="1119"/>
      <c r="G52" s="311">
        <f t="shared" si="14"/>
        <v>1</v>
      </c>
      <c r="H52" s="1119"/>
      <c r="I52" s="311">
        <f t="shared" si="15"/>
        <v>1</v>
      </c>
      <c r="J52" s="1119"/>
      <c r="K52" s="311">
        <f t="shared" si="16"/>
        <v>1</v>
      </c>
      <c r="L52" s="1119"/>
      <c r="M52" s="311">
        <f t="shared" si="17"/>
        <v>1</v>
      </c>
      <c r="N52" s="1119"/>
      <c r="O52" s="311">
        <f t="shared" si="18"/>
        <v>1</v>
      </c>
      <c r="P52" s="1119"/>
      <c r="Q52" s="311">
        <f t="shared" si="19"/>
        <v>1</v>
      </c>
      <c r="R52" s="1115">
        <f t="shared" si="20"/>
        <v>0</v>
      </c>
      <c r="S52" s="694">
        <f t="shared" si="11"/>
        <v>0</v>
      </c>
    </row>
    <row r="53" spans="1:19">
      <c r="A53" s="487"/>
      <c r="B53" s="346"/>
      <c r="C53" s="311">
        <f t="shared" si="12"/>
        <v>1</v>
      </c>
      <c r="D53" s="1119"/>
      <c r="E53" s="311">
        <f t="shared" si="13"/>
        <v>1</v>
      </c>
      <c r="F53" s="1119"/>
      <c r="G53" s="311">
        <f t="shared" si="14"/>
        <v>1</v>
      </c>
      <c r="H53" s="1119"/>
      <c r="I53" s="311">
        <f t="shared" si="15"/>
        <v>1</v>
      </c>
      <c r="J53" s="1119"/>
      <c r="K53" s="311">
        <f t="shared" si="16"/>
        <v>1</v>
      </c>
      <c r="L53" s="1119"/>
      <c r="M53" s="311">
        <f t="shared" si="17"/>
        <v>1</v>
      </c>
      <c r="N53" s="1119"/>
      <c r="O53" s="311">
        <f t="shared" si="18"/>
        <v>1</v>
      </c>
      <c r="P53" s="1119"/>
      <c r="Q53" s="311">
        <f t="shared" si="19"/>
        <v>1</v>
      </c>
      <c r="R53" s="1115">
        <f t="shared" si="20"/>
        <v>0</v>
      </c>
      <c r="S53" s="694">
        <f t="shared" si="11"/>
        <v>0</v>
      </c>
    </row>
    <row r="54" spans="1:19">
      <c r="A54" s="487"/>
      <c r="B54" s="346"/>
      <c r="C54" s="311">
        <f t="shared" si="12"/>
        <v>1</v>
      </c>
      <c r="D54" s="1119"/>
      <c r="E54" s="311">
        <f t="shared" si="13"/>
        <v>1</v>
      </c>
      <c r="F54" s="1119"/>
      <c r="G54" s="311">
        <f t="shared" si="14"/>
        <v>1</v>
      </c>
      <c r="H54" s="1119"/>
      <c r="I54" s="311">
        <f t="shared" si="15"/>
        <v>1</v>
      </c>
      <c r="J54" s="1119"/>
      <c r="K54" s="311">
        <f t="shared" si="16"/>
        <v>1</v>
      </c>
      <c r="L54" s="1119"/>
      <c r="M54" s="311">
        <f t="shared" si="17"/>
        <v>1</v>
      </c>
      <c r="N54" s="1119"/>
      <c r="O54" s="311">
        <f t="shared" si="18"/>
        <v>1</v>
      </c>
      <c r="P54" s="1119"/>
      <c r="Q54" s="311">
        <f t="shared" si="19"/>
        <v>1</v>
      </c>
      <c r="R54" s="1115">
        <f t="shared" si="20"/>
        <v>0</v>
      </c>
      <c r="S54" s="694">
        <f t="shared" si="11"/>
        <v>0</v>
      </c>
    </row>
    <row r="55" spans="1:19">
      <c r="A55" s="487"/>
      <c r="B55" s="346"/>
      <c r="C55" s="311">
        <f t="shared" si="12"/>
        <v>1</v>
      </c>
      <c r="D55" s="1119"/>
      <c r="E55" s="311">
        <f t="shared" si="13"/>
        <v>1</v>
      </c>
      <c r="F55" s="1119"/>
      <c r="G55" s="311">
        <f t="shared" si="14"/>
        <v>1</v>
      </c>
      <c r="H55" s="1119"/>
      <c r="I55" s="311">
        <f t="shared" si="15"/>
        <v>1</v>
      </c>
      <c r="J55" s="1119"/>
      <c r="K55" s="311">
        <f t="shared" si="16"/>
        <v>1</v>
      </c>
      <c r="L55" s="1119"/>
      <c r="M55" s="311">
        <f t="shared" si="17"/>
        <v>1</v>
      </c>
      <c r="N55" s="1119"/>
      <c r="O55" s="311">
        <f t="shared" si="18"/>
        <v>1</v>
      </c>
      <c r="P55" s="1119"/>
      <c r="Q55" s="311">
        <f t="shared" si="19"/>
        <v>1</v>
      </c>
      <c r="R55" s="1115">
        <f t="shared" si="20"/>
        <v>0</v>
      </c>
      <c r="S55" s="694">
        <f t="shared" ref="S55:S77" si="21">ROUND(R55*B55/10000,0)</f>
        <v>0</v>
      </c>
    </row>
    <row r="56" spans="1:19">
      <c r="A56" s="487"/>
      <c r="B56" s="346"/>
      <c r="C56" s="311">
        <f t="shared" si="12"/>
        <v>1</v>
      </c>
      <c r="D56" s="1119"/>
      <c r="E56" s="311">
        <f t="shared" si="13"/>
        <v>1</v>
      </c>
      <c r="F56" s="1119"/>
      <c r="G56" s="311">
        <f t="shared" si="14"/>
        <v>1</v>
      </c>
      <c r="H56" s="1119"/>
      <c r="I56" s="311">
        <f t="shared" si="15"/>
        <v>1</v>
      </c>
      <c r="J56" s="1119"/>
      <c r="K56" s="311">
        <f t="shared" si="16"/>
        <v>1</v>
      </c>
      <c r="L56" s="1119"/>
      <c r="M56" s="311">
        <f t="shared" si="17"/>
        <v>1</v>
      </c>
      <c r="N56" s="1119"/>
      <c r="O56" s="311">
        <f t="shared" si="18"/>
        <v>1</v>
      </c>
      <c r="P56" s="1119"/>
      <c r="Q56" s="311">
        <f t="shared" si="19"/>
        <v>1</v>
      </c>
      <c r="R56" s="1115">
        <f t="shared" si="20"/>
        <v>0</v>
      </c>
      <c r="S56" s="694">
        <f t="shared" si="21"/>
        <v>0</v>
      </c>
    </row>
    <row r="57" spans="1:19">
      <c r="A57" s="487"/>
      <c r="B57" s="346"/>
      <c r="C57" s="311">
        <f t="shared" si="12"/>
        <v>1</v>
      </c>
      <c r="D57" s="1119"/>
      <c r="E57" s="311">
        <f t="shared" si="13"/>
        <v>1</v>
      </c>
      <c r="F57" s="1119"/>
      <c r="G57" s="311">
        <f t="shared" si="14"/>
        <v>1</v>
      </c>
      <c r="H57" s="1119"/>
      <c r="I57" s="311">
        <f t="shared" si="15"/>
        <v>1</v>
      </c>
      <c r="J57" s="1119"/>
      <c r="K57" s="311">
        <f t="shared" si="16"/>
        <v>1</v>
      </c>
      <c r="L57" s="1119"/>
      <c r="M57" s="311">
        <f t="shared" si="17"/>
        <v>1</v>
      </c>
      <c r="N57" s="1119"/>
      <c r="O57" s="311">
        <f t="shared" si="18"/>
        <v>1</v>
      </c>
      <c r="P57" s="1119"/>
      <c r="Q57" s="311">
        <f t="shared" si="19"/>
        <v>1</v>
      </c>
      <c r="R57" s="1115">
        <f t="shared" si="20"/>
        <v>0</v>
      </c>
      <c r="S57" s="694">
        <f t="shared" si="21"/>
        <v>0</v>
      </c>
    </row>
    <row r="58" spans="1:19">
      <c r="A58" s="487"/>
      <c r="B58" s="346"/>
      <c r="C58" s="311">
        <f t="shared" si="12"/>
        <v>1</v>
      </c>
      <c r="D58" s="1119"/>
      <c r="E58" s="311">
        <f t="shared" si="13"/>
        <v>1</v>
      </c>
      <c r="F58" s="1119"/>
      <c r="G58" s="311">
        <f t="shared" si="14"/>
        <v>1</v>
      </c>
      <c r="H58" s="1119"/>
      <c r="I58" s="311">
        <f t="shared" si="15"/>
        <v>1</v>
      </c>
      <c r="J58" s="1119"/>
      <c r="K58" s="311">
        <f t="shared" si="16"/>
        <v>1</v>
      </c>
      <c r="L58" s="1119"/>
      <c r="M58" s="311">
        <f t="shared" si="17"/>
        <v>1</v>
      </c>
      <c r="N58" s="1119"/>
      <c r="O58" s="311">
        <f t="shared" si="18"/>
        <v>1</v>
      </c>
      <c r="P58" s="1119"/>
      <c r="Q58" s="311">
        <f t="shared" si="19"/>
        <v>1</v>
      </c>
      <c r="R58" s="1115">
        <f t="shared" si="20"/>
        <v>0</v>
      </c>
      <c r="S58" s="694">
        <f t="shared" si="21"/>
        <v>0</v>
      </c>
    </row>
    <row r="59" spans="1:19">
      <c r="A59" s="487"/>
      <c r="B59" s="346"/>
      <c r="C59" s="311">
        <f t="shared" si="12"/>
        <v>1</v>
      </c>
      <c r="D59" s="1119"/>
      <c r="E59" s="311">
        <f t="shared" si="13"/>
        <v>1</v>
      </c>
      <c r="F59" s="1119"/>
      <c r="G59" s="311">
        <f t="shared" si="14"/>
        <v>1</v>
      </c>
      <c r="H59" s="1119"/>
      <c r="I59" s="311">
        <f t="shared" si="15"/>
        <v>1</v>
      </c>
      <c r="J59" s="1119"/>
      <c r="K59" s="311">
        <f t="shared" si="16"/>
        <v>1</v>
      </c>
      <c r="L59" s="1119"/>
      <c r="M59" s="311">
        <f t="shared" si="17"/>
        <v>1</v>
      </c>
      <c r="N59" s="1119"/>
      <c r="O59" s="311">
        <f t="shared" si="18"/>
        <v>1</v>
      </c>
      <c r="P59" s="1119"/>
      <c r="Q59" s="311">
        <f t="shared" si="19"/>
        <v>1</v>
      </c>
      <c r="R59" s="1115">
        <f t="shared" si="20"/>
        <v>0</v>
      </c>
      <c r="S59" s="694">
        <f t="shared" si="21"/>
        <v>0</v>
      </c>
    </row>
    <row r="60" spans="1:19">
      <c r="A60" s="487"/>
      <c r="B60" s="346"/>
      <c r="C60" s="311">
        <f t="shared" si="12"/>
        <v>1</v>
      </c>
      <c r="D60" s="1119"/>
      <c r="E60" s="311">
        <f t="shared" si="13"/>
        <v>1</v>
      </c>
      <c r="F60" s="1119"/>
      <c r="G60" s="311">
        <f t="shared" si="14"/>
        <v>1</v>
      </c>
      <c r="H60" s="1119"/>
      <c r="I60" s="311">
        <f t="shared" si="15"/>
        <v>1</v>
      </c>
      <c r="J60" s="1119"/>
      <c r="K60" s="311">
        <f t="shared" si="16"/>
        <v>1</v>
      </c>
      <c r="L60" s="1119"/>
      <c r="M60" s="311">
        <f t="shared" si="17"/>
        <v>1</v>
      </c>
      <c r="N60" s="1119"/>
      <c r="O60" s="311">
        <f t="shared" si="18"/>
        <v>1</v>
      </c>
      <c r="P60" s="1119"/>
      <c r="Q60" s="311">
        <f t="shared" si="19"/>
        <v>1</v>
      </c>
      <c r="R60" s="1115">
        <f t="shared" si="20"/>
        <v>0</v>
      </c>
      <c r="S60" s="694">
        <f t="shared" si="21"/>
        <v>0</v>
      </c>
    </row>
    <row r="61" spans="1:19">
      <c r="A61" s="487"/>
      <c r="B61" s="346"/>
      <c r="C61" s="311">
        <f t="shared" si="12"/>
        <v>1</v>
      </c>
      <c r="D61" s="1119"/>
      <c r="E61" s="311">
        <f t="shared" si="13"/>
        <v>1</v>
      </c>
      <c r="F61" s="1119"/>
      <c r="G61" s="311">
        <f t="shared" si="14"/>
        <v>1</v>
      </c>
      <c r="H61" s="1119"/>
      <c r="I61" s="311">
        <f t="shared" si="15"/>
        <v>1</v>
      </c>
      <c r="J61" s="1119"/>
      <c r="K61" s="311">
        <f t="shared" si="16"/>
        <v>1</v>
      </c>
      <c r="L61" s="1119"/>
      <c r="M61" s="311">
        <f t="shared" si="17"/>
        <v>1</v>
      </c>
      <c r="N61" s="1119"/>
      <c r="O61" s="311">
        <f t="shared" si="18"/>
        <v>1</v>
      </c>
      <c r="P61" s="1119"/>
      <c r="Q61" s="311">
        <f t="shared" si="19"/>
        <v>1</v>
      </c>
      <c r="R61" s="1115">
        <f t="shared" si="20"/>
        <v>0</v>
      </c>
      <c r="S61" s="694">
        <f t="shared" si="21"/>
        <v>0</v>
      </c>
    </row>
    <row r="62" spans="1:19">
      <c r="A62" s="487"/>
      <c r="B62" s="346"/>
      <c r="C62" s="311">
        <f t="shared" si="12"/>
        <v>1</v>
      </c>
      <c r="D62" s="1119"/>
      <c r="E62" s="311">
        <f t="shared" si="13"/>
        <v>1</v>
      </c>
      <c r="F62" s="1119"/>
      <c r="G62" s="311">
        <f t="shared" si="14"/>
        <v>1</v>
      </c>
      <c r="H62" s="1119"/>
      <c r="I62" s="311">
        <f t="shared" si="15"/>
        <v>1</v>
      </c>
      <c r="J62" s="1119"/>
      <c r="K62" s="311">
        <f t="shared" si="16"/>
        <v>1</v>
      </c>
      <c r="L62" s="1119"/>
      <c r="M62" s="311">
        <f t="shared" si="17"/>
        <v>1</v>
      </c>
      <c r="N62" s="1119"/>
      <c r="O62" s="311">
        <f t="shared" si="18"/>
        <v>1</v>
      </c>
      <c r="P62" s="1119"/>
      <c r="Q62" s="311">
        <f t="shared" si="19"/>
        <v>1</v>
      </c>
      <c r="R62" s="1115">
        <f t="shared" si="20"/>
        <v>0</v>
      </c>
      <c r="S62" s="694">
        <f t="shared" si="21"/>
        <v>0</v>
      </c>
    </row>
    <row r="63" spans="1:19">
      <c r="A63" s="487"/>
      <c r="B63" s="346"/>
      <c r="C63" s="311">
        <f t="shared" si="12"/>
        <v>1</v>
      </c>
      <c r="D63" s="1119"/>
      <c r="E63" s="311">
        <f t="shared" si="13"/>
        <v>1</v>
      </c>
      <c r="F63" s="1119"/>
      <c r="G63" s="311">
        <f t="shared" si="14"/>
        <v>1</v>
      </c>
      <c r="H63" s="1119"/>
      <c r="I63" s="311">
        <f t="shared" si="15"/>
        <v>1</v>
      </c>
      <c r="J63" s="1119"/>
      <c r="K63" s="311">
        <f t="shared" si="16"/>
        <v>1</v>
      </c>
      <c r="L63" s="1119"/>
      <c r="M63" s="311">
        <f t="shared" si="17"/>
        <v>1</v>
      </c>
      <c r="N63" s="1119"/>
      <c r="O63" s="311">
        <f t="shared" si="18"/>
        <v>1</v>
      </c>
      <c r="P63" s="1119"/>
      <c r="Q63" s="311">
        <f t="shared" si="19"/>
        <v>1</v>
      </c>
      <c r="R63" s="1115">
        <f t="shared" si="20"/>
        <v>0</v>
      </c>
      <c r="S63" s="694">
        <f t="shared" si="21"/>
        <v>0</v>
      </c>
    </row>
    <row r="64" spans="1:19">
      <c r="A64" s="487"/>
      <c r="B64" s="346"/>
      <c r="C64" s="311">
        <f t="shared" si="12"/>
        <v>1</v>
      </c>
      <c r="D64" s="1119"/>
      <c r="E64" s="311">
        <f t="shared" si="13"/>
        <v>1</v>
      </c>
      <c r="F64" s="1119"/>
      <c r="G64" s="311">
        <f t="shared" si="14"/>
        <v>1</v>
      </c>
      <c r="H64" s="1119"/>
      <c r="I64" s="311">
        <f t="shared" si="15"/>
        <v>1</v>
      </c>
      <c r="J64" s="1119"/>
      <c r="K64" s="311">
        <f t="shared" si="16"/>
        <v>1</v>
      </c>
      <c r="L64" s="1119"/>
      <c r="M64" s="311">
        <f t="shared" si="17"/>
        <v>1</v>
      </c>
      <c r="N64" s="1119"/>
      <c r="O64" s="311">
        <f t="shared" si="18"/>
        <v>1</v>
      </c>
      <c r="P64" s="1119"/>
      <c r="Q64" s="311">
        <f t="shared" si="19"/>
        <v>1</v>
      </c>
      <c r="R64" s="1115">
        <f t="shared" si="20"/>
        <v>0</v>
      </c>
      <c r="S64" s="694">
        <f t="shared" si="21"/>
        <v>0</v>
      </c>
    </row>
    <row r="65" spans="1:19">
      <c r="A65" s="487"/>
      <c r="B65" s="346"/>
      <c r="C65" s="311">
        <f t="shared" si="12"/>
        <v>1</v>
      </c>
      <c r="D65" s="1119"/>
      <c r="E65" s="311">
        <f t="shared" si="13"/>
        <v>1</v>
      </c>
      <c r="F65" s="1119"/>
      <c r="G65" s="311">
        <f t="shared" si="14"/>
        <v>1</v>
      </c>
      <c r="H65" s="1119"/>
      <c r="I65" s="311">
        <f t="shared" si="15"/>
        <v>1</v>
      </c>
      <c r="J65" s="1119"/>
      <c r="K65" s="311">
        <f t="shared" si="16"/>
        <v>1</v>
      </c>
      <c r="L65" s="1119"/>
      <c r="M65" s="311">
        <f t="shared" si="17"/>
        <v>1</v>
      </c>
      <c r="N65" s="1119"/>
      <c r="O65" s="311">
        <f t="shared" si="18"/>
        <v>1</v>
      </c>
      <c r="P65" s="1119"/>
      <c r="Q65" s="311">
        <f t="shared" si="19"/>
        <v>1</v>
      </c>
      <c r="R65" s="1115">
        <f t="shared" si="20"/>
        <v>0</v>
      </c>
      <c r="S65" s="694">
        <f t="shared" si="21"/>
        <v>0</v>
      </c>
    </row>
    <row r="66" spans="1:19">
      <c r="A66" s="487"/>
      <c r="B66" s="346"/>
      <c r="C66" s="311">
        <f t="shared" si="12"/>
        <v>1</v>
      </c>
      <c r="D66" s="1119"/>
      <c r="E66" s="311">
        <f t="shared" si="13"/>
        <v>1</v>
      </c>
      <c r="F66" s="1119"/>
      <c r="G66" s="311">
        <f t="shared" si="14"/>
        <v>1</v>
      </c>
      <c r="H66" s="1119"/>
      <c r="I66" s="311">
        <f t="shared" si="15"/>
        <v>1</v>
      </c>
      <c r="J66" s="1119"/>
      <c r="K66" s="311">
        <f t="shared" si="16"/>
        <v>1</v>
      </c>
      <c r="L66" s="1119"/>
      <c r="M66" s="311">
        <f t="shared" si="17"/>
        <v>1</v>
      </c>
      <c r="N66" s="1119"/>
      <c r="O66" s="311">
        <f t="shared" si="18"/>
        <v>1</v>
      </c>
      <c r="P66" s="1119"/>
      <c r="Q66" s="311">
        <f t="shared" si="19"/>
        <v>1</v>
      </c>
      <c r="R66" s="1115">
        <f t="shared" si="20"/>
        <v>0</v>
      </c>
      <c r="S66" s="694">
        <f t="shared" si="21"/>
        <v>0</v>
      </c>
    </row>
    <row r="67" spans="1:19">
      <c r="A67" s="487"/>
      <c r="B67" s="346"/>
      <c r="C67" s="311">
        <f t="shared" si="12"/>
        <v>1</v>
      </c>
      <c r="D67" s="1119"/>
      <c r="E67" s="311">
        <f t="shared" si="13"/>
        <v>1</v>
      </c>
      <c r="F67" s="1119"/>
      <c r="G67" s="311">
        <f t="shared" si="14"/>
        <v>1</v>
      </c>
      <c r="H67" s="1119"/>
      <c r="I67" s="311">
        <f t="shared" si="15"/>
        <v>1</v>
      </c>
      <c r="J67" s="1119"/>
      <c r="K67" s="311">
        <f t="shared" si="16"/>
        <v>1</v>
      </c>
      <c r="L67" s="1119"/>
      <c r="M67" s="311">
        <f t="shared" si="17"/>
        <v>1</v>
      </c>
      <c r="N67" s="1119"/>
      <c r="O67" s="311">
        <f t="shared" si="18"/>
        <v>1</v>
      </c>
      <c r="P67" s="1119"/>
      <c r="Q67" s="311">
        <f t="shared" si="19"/>
        <v>1</v>
      </c>
      <c r="R67" s="1115">
        <f t="shared" si="20"/>
        <v>0</v>
      </c>
      <c r="S67" s="694">
        <f t="shared" si="21"/>
        <v>0</v>
      </c>
    </row>
    <row r="68" spans="1:19">
      <c r="A68" s="487"/>
      <c r="B68" s="346"/>
      <c r="C68" s="311">
        <f t="shared" si="12"/>
        <v>1</v>
      </c>
      <c r="D68" s="1119"/>
      <c r="E68" s="311">
        <f t="shared" si="13"/>
        <v>1</v>
      </c>
      <c r="F68" s="1119"/>
      <c r="G68" s="311">
        <f t="shared" si="14"/>
        <v>1</v>
      </c>
      <c r="H68" s="1119"/>
      <c r="I68" s="311">
        <f t="shared" si="15"/>
        <v>1</v>
      </c>
      <c r="J68" s="1119"/>
      <c r="K68" s="311">
        <f t="shared" si="16"/>
        <v>1</v>
      </c>
      <c r="L68" s="1119"/>
      <c r="M68" s="311">
        <f t="shared" si="17"/>
        <v>1</v>
      </c>
      <c r="N68" s="1119"/>
      <c r="O68" s="311">
        <f t="shared" si="18"/>
        <v>1</v>
      </c>
      <c r="P68" s="1119"/>
      <c r="Q68" s="311">
        <f t="shared" si="19"/>
        <v>1</v>
      </c>
      <c r="R68" s="1115">
        <f t="shared" si="20"/>
        <v>0</v>
      </c>
      <c r="S68" s="694">
        <f t="shared" si="21"/>
        <v>0</v>
      </c>
    </row>
    <row r="69" spans="1:19">
      <c r="A69" s="487"/>
      <c r="B69" s="346"/>
      <c r="C69" s="311">
        <f t="shared" si="12"/>
        <v>1</v>
      </c>
      <c r="D69" s="1119"/>
      <c r="E69" s="311">
        <f t="shared" si="13"/>
        <v>1</v>
      </c>
      <c r="F69" s="1119"/>
      <c r="G69" s="311">
        <f t="shared" si="14"/>
        <v>1</v>
      </c>
      <c r="H69" s="1119"/>
      <c r="I69" s="311">
        <f t="shared" si="15"/>
        <v>1</v>
      </c>
      <c r="J69" s="1119"/>
      <c r="K69" s="311">
        <f t="shared" si="16"/>
        <v>1</v>
      </c>
      <c r="L69" s="1119"/>
      <c r="M69" s="311">
        <f t="shared" si="17"/>
        <v>1</v>
      </c>
      <c r="N69" s="1119"/>
      <c r="O69" s="311">
        <f t="shared" si="18"/>
        <v>1</v>
      </c>
      <c r="P69" s="1119"/>
      <c r="Q69" s="311">
        <f t="shared" si="19"/>
        <v>1</v>
      </c>
      <c r="R69" s="1115">
        <f t="shared" si="20"/>
        <v>0</v>
      </c>
      <c r="S69" s="694">
        <f t="shared" si="21"/>
        <v>0</v>
      </c>
    </row>
    <row r="70" spans="1:19">
      <c r="A70" s="487"/>
      <c r="B70" s="346"/>
      <c r="C70" s="311">
        <f t="shared" si="12"/>
        <v>1</v>
      </c>
      <c r="D70" s="1119"/>
      <c r="E70" s="311">
        <f t="shared" si="13"/>
        <v>1</v>
      </c>
      <c r="F70" s="1119"/>
      <c r="G70" s="311">
        <f t="shared" si="14"/>
        <v>1</v>
      </c>
      <c r="H70" s="1119"/>
      <c r="I70" s="311">
        <f t="shared" si="15"/>
        <v>1</v>
      </c>
      <c r="J70" s="1119"/>
      <c r="K70" s="311">
        <f t="shared" si="16"/>
        <v>1</v>
      </c>
      <c r="L70" s="1119"/>
      <c r="M70" s="311">
        <f t="shared" si="17"/>
        <v>1</v>
      </c>
      <c r="N70" s="1119"/>
      <c r="O70" s="311">
        <f t="shared" si="18"/>
        <v>1</v>
      </c>
      <c r="P70" s="1119"/>
      <c r="Q70" s="311">
        <f t="shared" si="19"/>
        <v>1</v>
      </c>
      <c r="R70" s="1115">
        <f t="shared" si="20"/>
        <v>0</v>
      </c>
      <c r="S70" s="694">
        <f t="shared" si="21"/>
        <v>0</v>
      </c>
    </row>
    <row r="71" spans="1:19">
      <c r="A71" s="487"/>
      <c r="B71" s="346"/>
      <c r="C71" s="311">
        <f t="shared" si="12"/>
        <v>1</v>
      </c>
      <c r="D71" s="1119"/>
      <c r="E71" s="311">
        <f t="shared" si="13"/>
        <v>1</v>
      </c>
      <c r="F71" s="1119"/>
      <c r="G71" s="311">
        <f t="shared" si="14"/>
        <v>1</v>
      </c>
      <c r="H71" s="1119"/>
      <c r="I71" s="311">
        <f t="shared" si="15"/>
        <v>1</v>
      </c>
      <c r="J71" s="1119"/>
      <c r="K71" s="311">
        <f t="shared" si="16"/>
        <v>1</v>
      </c>
      <c r="L71" s="1119"/>
      <c r="M71" s="311">
        <f t="shared" si="17"/>
        <v>1</v>
      </c>
      <c r="N71" s="1119"/>
      <c r="O71" s="311">
        <f t="shared" si="18"/>
        <v>1</v>
      </c>
      <c r="P71" s="1119"/>
      <c r="Q71" s="311">
        <f t="shared" si="19"/>
        <v>1</v>
      </c>
      <c r="R71" s="1115">
        <f t="shared" si="20"/>
        <v>0</v>
      </c>
      <c r="S71" s="694">
        <f t="shared" si="21"/>
        <v>0</v>
      </c>
    </row>
    <row r="72" spans="1:19">
      <c r="A72" s="487"/>
      <c r="B72" s="346"/>
      <c r="C72" s="311">
        <f t="shared" si="12"/>
        <v>1</v>
      </c>
      <c r="D72" s="1119"/>
      <c r="E72" s="311">
        <f t="shared" si="13"/>
        <v>1</v>
      </c>
      <c r="F72" s="1119"/>
      <c r="G72" s="311">
        <f t="shared" si="14"/>
        <v>1</v>
      </c>
      <c r="H72" s="1119"/>
      <c r="I72" s="311">
        <f t="shared" si="15"/>
        <v>1</v>
      </c>
      <c r="J72" s="1119"/>
      <c r="K72" s="311">
        <f t="shared" si="16"/>
        <v>1</v>
      </c>
      <c r="L72" s="1119"/>
      <c r="M72" s="311">
        <f t="shared" si="17"/>
        <v>1</v>
      </c>
      <c r="N72" s="1119"/>
      <c r="O72" s="311">
        <f t="shared" si="18"/>
        <v>1</v>
      </c>
      <c r="P72" s="1119"/>
      <c r="Q72" s="311">
        <f t="shared" si="19"/>
        <v>1</v>
      </c>
      <c r="R72" s="1115">
        <f t="shared" si="20"/>
        <v>0</v>
      </c>
      <c r="S72" s="694">
        <f t="shared" si="21"/>
        <v>0</v>
      </c>
    </row>
    <row r="73" spans="1:19">
      <c r="A73" s="487"/>
      <c r="B73" s="346"/>
      <c r="C73" s="311">
        <f t="shared" si="12"/>
        <v>1</v>
      </c>
      <c r="D73" s="1119"/>
      <c r="E73" s="311">
        <f t="shared" si="13"/>
        <v>1</v>
      </c>
      <c r="F73" s="1119"/>
      <c r="G73" s="311">
        <f t="shared" si="14"/>
        <v>1</v>
      </c>
      <c r="H73" s="1119"/>
      <c r="I73" s="311">
        <f t="shared" si="15"/>
        <v>1</v>
      </c>
      <c r="J73" s="1119"/>
      <c r="K73" s="311">
        <f t="shared" si="16"/>
        <v>1</v>
      </c>
      <c r="L73" s="1119"/>
      <c r="M73" s="311">
        <f t="shared" si="17"/>
        <v>1</v>
      </c>
      <c r="N73" s="1119"/>
      <c r="O73" s="311">
        <f t="shared" si="18"/>
        <v>1</v>
      </c>
      <c r="P73" s="1119"/>
      <c r="Q73" s="311">
        <f t="shared" si="19"/>
        <v>1</v>
      </c>
      <c r="R73" s="1115">
        <f t="shared" si="20"/>
        <v>0</v>
      </c>
      <c r="S73" s="694">
        <f t="shared" si="21"/>
        <v>0</v>
      </c>
    </row>
    <row r="74" spans="1:19">
      <c r="A74" s="487"/>
      <c r="B74" s="346"/>
      <c r="C74" s="311">
        <f t="shared" si="12"/>
        <v>1</v>
      </c>
      <c r="D74" s="1119"/>
      <c r="E74" s="311">
        <f t="shared" si="13"/>
        <v>1</v>
      </c>
      <c r="F74" s="1119"/>
      <c r="G74" s="311">
        <f t="shared" si="14"/>
        <v>1</v>
      </c>
      <c r="H74" s="1119"/>
      <c r="I74" s="311">
        <f t="shared" si="15"/>
        <v>1</v>
      </c>
      <c r="J74" s="1119"/>
      <c r="K74" s="311">
        <f t="shared" si="16"/>
        <v>1</v>
      </c>
      <c r="L74" s="1119"/>
      <c r="M74" s="311">
        <f t="shared" si="17"/>
        <v>1</v>
      </c>
      <c r="N74" s="1119"/>
      <c r="O74" s="311">
        <f t="shared" si="18"/>
        <v>1</v>
      </c>
      <c r="P74" s="1119"/>
      <c r="Q74" s="311">
        <f t="shared" si="19"/>
        <v>1</v>
      </c>
      <c r="R74" s="1115">
        <f t="shared" si="20"/>
        <v>0</v>
      </c>
      <c r="S74" s="694">
        <f t="shared" si="21"/>
        <v>0</v>
      </c>
    </row>
    <row r="75" spans="1:19">
      <c r="A75" s="487"/>
      <c r="B75" s="346"/>
      <c r="C75" s="311">
        <f t="shared" si="12"/>
        <v>1</v>
      </c>
      <c r="D75" s="1119"/>
      <c r="E75" s="311">
        <f t="shared" si="13"/>
        <v>1</v>
      </c>
      <c r="F75" s="1119"/>
      <c r="G75" s="311">
        <f t="shared" si="14"/>
        <v>1</v>
      </c>
      <c r="H75" s="1119"/>
      <c r="I75" s="311">
        <f t="shared" si="15"/>
        <v>1</v>
      </c>
      <c r="J75" s="1119"/>
      <c r="K75" s="311">
        <f t="shared" si="16"/>
        <v>1</v>
      </c>
      <c r="L75" s="1119"/>
      <c r="M75" s="311">
        <f t="shared" si="17"/>
        <v>1</v>
      </c>
      <c r="N75" s="1119"/>
      <c r="O75" s="311">
        <f t="shared" si="18"/>
        <v>1</v>
      </c>
      <c r="P75" s="1119"/>
      <c r="Q75" s="311">
        <f t="shared" si="19"/>
        <v>1</v>
      </c>
      <c r="R75" s="1115">
        <f t="shared" si="20"/>
        <v>0</v>
      </c>
      <c r="S75" s="694">
        <f t="shared" si="21"/>
        <v>0</v>
      </c>
    </row>
    <row r="76" spans="1:19">
      <c r="A76" s="487"/>
      <c r="B76" s="346"/>
      <c r="C76" s="311">
        <f t="shared" si="12"/>
        <v>1</v>
      </c>
      <c r="D76" s="1119"/>
      <c r="E76" s="311">
        <f t="shared" si="13"/>
        <v>1</v>
      </c>
      <c r="F76" s="1119"/>
      <c r="G76" s="311">
        <f t="shared" si="14"/>
        <v>1</v>
      </c>
      <c r="H76" s="1119"/>
      <c r="I76" s="311">
        <f t="shared" si="15"/>
        <v>1</v>
      </c>
      <c r="J76" s="1119"/>
      <c r="K76" s="311">
        <f t="shared" si="16"/>
        <v>1</v>
      </c>
      <c r="L76" s="1119"/>
      <c r="M76" s="311">
        <f t="shared" si="17"/>
        <v>1</v>
      </c>
      <c r="N76" s="1119"/>
      <c r="O76" s="311">
        <f t="shared" si="18"/>
        <v>1</v>
      </c>
      <c r="P76" s="1119"/>
      <c r="Q76" s="311">
        <f t="shared" si="19"/>
        <v>1</v>
      </c>
      <c r="R76" s="1115">
        <f t="shared" si="20"/>
        <v>0</v>
      </c>
      <c r="S76" s="694">
        <f t="shared" si="21"/>
        <v>0</v>
      </c>
    </row>
    <row r="77" spans="1:19">
      <c r="A77" s="487"/>
      <c r="B77" s="346"/>
      <c r="C77" s="311">
        <f t="shared" si="12"/>
        <v>1</v>
      </c>
      <c r="D77" s="1119"/>
      <c r="E77" s="311">
        <f t="shared" si="13"/>
        <v>1</v>
      </c>
      <c r="F77" s="1119"/>
      <c r="G77" s="311">
        <f t="shared" si="14"/>
        <v>1</v>
      </c>
      <c r="H77" s="1119"/>
      <c r="I77" s="311">
        <f t="shared" si="15"/>
        <v>1</v>
      </c>
      <c r="J77" s="1119"/>
      <c r="K77" s="311">
        <f t="shared" si="16"/>
        <v>1</v>
      </c>
      <c r="L77" s="1119"/>
      <c r="M77" s="311">
        <f t="shared" si="17"/>
        <v>1</v>
      </c>
      <c r="N77" s="1119"/>
      <c r="O77" s="311">
        <f t="shared" si="18"/>
        <v>1</v>
      </c>
      <c r="P77" s="1119"/>
      <c r="Q77" s="311">
        <f t="shared" si="19"/>
        <v>1</v>
      </c>
      <c r="R77" s="1115">
        <f t="shared" si="20"/>
        <v>0</v>
      </c>
      <c r="S77" s="694">
        <f t="shared" si="21"/>
        <v>0</v>
      </c>
    </row>
    <row r="78" spans="1:19">
      <c r="A78" s="487"/>
      <c r="B78" s="346"/>
      <c r="C78" s="311">
        <f t="shared" si="12"/>
        <v>1</v>
      </c>
      <c r="D78" s="1119"/>
      <c r="E78" s="311">
        <f t="shared" si="13"/>
        <v>1</v>
      </c>
      <c r="F78" s="1119"/>
      <c r="G78" s="311">
        <f t="shared" si="14"/>
        <v>1</v>
      </c>
      <c r="H78" s="1119"/>
      <c r="I78" s="311">
        <f t="shared" si="15"/>
        <v>1</v>
      </c>
      <c r="J78" s="1119"/>
      <c r="K78" s="311">
        <f t="shared" si="16"/>
        <v>1</v>
      </c>
      <c r="L78" s="1119"/>
      <c r="M78" s="311">
        <f t="shared" si="17"/>
        <v>1</v>
      </c>
      <c r="N78" s="1119"/>
      <c r="O78" s="311">
        <f t="shared" si="18"/>
        <v>1</v>
      </c>
      <c r="P78" s="1119"/>
      <c r="Q78" s="311">
        <f t="shared" si="19"/>
        <v>1</v>
      </c>
      <c r="R78" s="1115">
        <f t="shared" si="20"/>
        <v>0</v>
      </c>
      <c r="S78" s="694">
        <f t="shared" ref="S78:S122" si="22">ROUND(R78*B78/10000,0)</f>
        <v>0</v>
      </c>
    </row>
    <row r="79" spans="1:19">
      <c r="A79" s="487"/>
      <c r="B79" s="346"/>
      <c r="C79" s="311">
        <f t="shared" si="12"/>
        <v>1</v>
      </c>
      <c r="D79" s="1119"/>
      <c r="E79" s="311">
        <f t="shared" si="13"/>
        <v>1</v>
      </c>
      <c r="F79" s="1119"/>
      <c r="G79" s="311">
        <f t="shared" si="14"/>
        <v>1</v>
      </c>
      <c r="H79" s="1119"/>
      <c r="I79" s="311">
        <f t="shared" si="15"/>
        <v>1</v>
      </c>
      <c r="J79" s="1119"/>
      <c r="K79" s="311">
        <f t="shared" si="16"/>
        <v>1</v>
      </c>
      <c r="L79" s="1119"/>
      <c r="M79" s="311">
        <f t="shared" si="17"/>
        <v>1</v>
      </c>
      <c r="N79" s="1119"/>
      <c r="O79" s="311">
        <f t="shared" si="18"/>
        <v>1</v>
      </c>
      <c r="P79" s="1119"/>
      <c r="Q79" s="311">
        <f t="shared" si="19"/>
        <v>1</v>
      </c>
      <c r="R79" s="1115">
        <f t="shared" si="20"/>
        <v>0</v>
      </c>
      <c r="S79" s="694">
        <f t="shared" si="22"/>
        <v>0</v>
      </c>
    </row>
    <row r="80" spans="1:19">
      <c r="A80" s="487"/>
      <c r="B80" s="346"/>
      <c r="C80" s="311">
        <f t="shared" si="12"/>
        <v>1</v>
      </c>
      <c r="D80" s="1119"/>
      <c r="E80" s="311">
        <f t="shared" si="13"/>
        <v>1</v>
      </c>
      <c r="F80" s="1119"/>
      <c r="G80" s="311">
        <f t="shared" si="14"/>
        <v>1</v>
      </c>
      <c r="H80" s="1119"/>
      <c r="I80" s="311">
        <f t="shared" si="15"/>
        <v>1</v>
      </c>
      <c r="J80" s="1119"/>
      <c r="K80" s="311">
        <f t="shared" si="16"/>
        <v>1</v>
      </c>
      <c r="L80" s="1119"/>
      <c r="M80" s="311">
        <f t="shared" si="17"/>
        <v>1</v>
      </c>
      <c r="N80" s="1119"/>
      <c r="O80" s="311">
        <f t="shared" si="18"/>
        <v>1</v>
      </c>
      <c r="P80" s="1119"/>
      <c r="Q80" s="311">
        <f t="shared" si="19"/>
        <v>1</v>
      </c>
      <c r="R80" s="1115">
        <f t="shared" si="20"/>
        <v>0</v>
      </c>
      <c r="S80" s="694">
        <f t="shared" si="22"/>
        <v>0</v>
      </c>
    </row>
    <row r="81" spans="1:19">
      <c r="A81" s="487"/>
      <c r="B81" s="346"/>
      <c r="C81" s="311">
        <f t="shared" si="12"/>
        <v>1</v>
      </c>
      <c r="D81" s="1119"/>
      <c r="E81" s="311">
        <f t="shared" si="13"/>
        <v>1</v>
      </c>
      <c r="F81" s="1119"/>
      <c r="G81" s="311">
        <f t="shared" si="14"/>
        <v>1</v>
      </c>
      <c r="H81" s="1119"/>
      <c r="I81" s="311">
        <f t="shared" si="15"/>
        <v>1</v>
      </c>
      <c r="J81" s="1119"/>
      <c r="K81" s="311">
        <f t="shared" si="16"/>
        <v>1</v>
      </c>
      <c r="L81" s="1119"/>
      <c r="M81" s="311">
        <f t="shared" si="17"/>
        <v>1</v>
      </c>
      <c r="N81" s="1119"/>
      <c r="O81" s="311">
        <f t="shared" si="18"/>
        <v>1</v>
      </c>
      <c r="P81" s="1119"/>
      <c r="Q81" s="311">
        <f t="shared" si="19"/>
        <v>1</v>
      </c>
      <c r="R81" s="1115">
        <f t="shared" si="20"/>
        <v>0</v>
      </c>
      <c r="S81" s="694">
        <f t="shared" si="22"/>
        <v>0</v>
      </c>
    </row>
    <row r="82" spans="1:19">
      <c r="A82" s="487"/>
      <c r="B82" s="346"/>
      <c r="C82" s="311">
        <f t="shared" si="12"/>
        <v>1</v>
      </c>
      <c r="D82" s="1119"/>
      <c r="E82" s="311">
        <f t="shared" si="13"/>
        <v>1</v>
      </c>
      <c r="F82" s="1119"/>
      <c r="G82" s="311">
        <f t="shared" si="14"/>
        <v>1</v>
      </c>
      <c r="H82" s="1119"/>
      <c r="I82" s="311">
        <f t="shared" si="15"/>
        <v>1</v>
      </c>
      <c r="J82" s="1119"/>
      <c r="K82" s="311">
        <f t="shared" si="16"/>
        <v>1</v>
      </c>
      <c r="L82" s="1119"/>
      <c r="M82" s="311">
        <f t="shared" si="17"/>
        <v>1</v>
      </c>
      <c r="N82" s="1119"/>
      <c r="O82" s="311">
        <f t="shared" si="18"/>
        <v>1</v>
      </c>
      <c r="P82" s="1119"/>
      <c r="Q82" s="311">
        <f t="shared" si="19"/>
        <v>1</v>
      </c>
      <c r="R82" s="1115">
        <f t="shared" si="20"/>
        <v>0</v>
      </c>
      <c r="S82" s="694">
        <f t="shared" si="22"/>
        <v>0</v>
      </c>
    </row>
    <row r="83" spans="1:19">
      <c r="A83" s="487"/>
      <c r="B83" s="346"/>
      <c r="C83" s="311">
        <f t="shared" si="12"/>
        <v>1</v>
      </c>
      <c r="D83" s="1119"/>
      <c r="E83" s="311">
        <f t="shared" si="13"/>
        <v>1</v>
      </c>
      <c r="F83" s="1119"/>
      <c r="G83" s="311">
        <f t="shared" si="14"/>
        <v>1</v>
      </c>
      <c r="H83" s="1119"/>
      <c r="I83" s="311">
        <f t="shared" si="15"/>
        <v>1</v>
      </c>
      <c r="J83" s="1119"/>
      <c r="K83" s="311">
        <f t="shared" si="16"/>
        <v>1</v>
      </c>
      <c r="L83" s="1119"/>
      <c r="M83" s="311">
        <f t="shared" si="17"/>
        <v>1</v>
      </c>
      <c r="N83" s="1119"/>
      <c r="O83" s="311">
        <f t="shared" si="18"/>
        <v>1</v>
      </c>
      <c r="P83" s="1119"/>
      <c r="Q83" s="311">
        <f t="shared" si="19"/>
        <v>1</v>
      </c>
      <c r="R83" s="1115">
        <f t="shared" si="20"/>
        <v>0</v>
      </c>
      <c r="S83" s="694">
        <f t="shared" si="22"/>
        <v>0</v>
      </c>
    </row>
    <row r="84" spans="1:19">
      <c r="A84" s="487"/>
      <c r="B84" s="346"/>
      <c r="C84" s="311">
        <f t="shared" si="12"/>
        <v>1</v>
      </c>
      <c r="D84" s="1119"/>
      <c r="E84" s="311">
        <f t="shared" si="13"/>
        <v>1</v>
      </c>
      <c r="F84" s="1119"/>
      <c r="G84" s="311">
        <f t="shared" si="14"/>
        <v>1</v>
      </c>
      <c r="H84" s="1119"/>
      <c r="I84" s="311">
        <f t="shared" si="15"/>
        <v>1</v>
      </c>
      <c r="J84" s="1119"/>
      <c r="K84" s="311">
        <f t="shared" si="16"/>
        <v>1</v>
      </c>
      <c r="L84" s="1119"/>
      <c r="M84" s="311">
        <f t="shared" si="17"/>
        <v>1</v>
      </c>
      <c r="N84" s="1119"/>
      <c r="O84" s="311">
        <f t="shared" si="18"/>
        <v>1</v>
      </c>
      <c r="P84" s="1119"/>
      <c r="Q84" s="311">
        <f t="shared" si="19"/>
        <v>1</v>
      </c>
      <c r="R84" s="1115">
        <f t="shared" si="20"/>
        <v>0</v>
      </c>
      <c r="S84" s="694">
        <f t="shared" si="22"/>
        <v>0</v>
      </c>
    </row>
    <row r="85" spans="1:19">
      <c r="A85" s="487"/>
      <c r="B85" s="346"/>
      <c r="C85" s="311">
        <f t="shared" si="12"/>
        <v>1</v>
      </c>
      <c r="D85" s="1119"/>
      <c r="E85" s="311">
        <f t="shared" si="13"/>
        <v>1</v>
      </c>
      <c r="F85" s="1119"/>
      <c r="G85" s="311">
        <f t="shared" si="14"/>
        <v>1</v>
      </c>
      <c r="H85" s="1119"/>
      <c r="I85" s="311">
        <f t="shared" si="15"/>
        <v>1</v>
      </c>
      <c r="J85" s="1119"/>
      <c r="K85" s="311">
        <f t="shared" si="16"/>
        <v>1</v>
      </c>
      <c r="L85" s="1119"/>
      <c r="M85" s="311">
        <f t="shared" si="17"/>
        <v>1</v>
      </c>
      <c r="N85" s="1119"/>
      <c r="O85" s="311">
        <f t="shared" si="18"/>
        <v>1</v>
      </c>
      <c r="P85" s="1119"/>
      <c r="Q85" s="311">
        <f t="shared" si="19"/>
        <v>1</v>
      </c>
      <c r="R85" s="1115">
        <f t="shared" si="20"/>
        <v>0</v>
      </c>
      <c r="S85" s="694">
        <f t="shared" si="22"/>
        <v>0</v>
      </c>
    </row>
    <row r="86" spans="1:19">
      <c r="A86" s="487"/>
      <c r="B86" s="346"/>
      <c r="C86" s="311">
        <f t="shared" si="12"/>
        <v>1</v>
      </c>
      <c r="D86" s="1119"/>
      <c r="E86" s="311">
        <f t="shared" si="13"/>
        <v>1</v>
      </c>
      <c r="F86" s="1119"/>
      <c r="G86" s="311">
        <f t="shared" si="14"/>
        <v>1</v>
      </c>
      <c r="H86" s="1119"/>
      <c r="I86" s="311">
        <f t="shared" si="15"/>
        <v>1</v>
      </c>
      <c r="J86" s="1119"/>
      <c r="K86" s="311">
        <f t="shared" si="16"/>
        <v>1</v>
      </c>
      <c r="L86" s="1119"/>
      <c r="M86" s="311">
        <f t="shared" si="17"/>
        <v>1</v>
      </c>
      <c r="N86" s="1119"/>
      <c r="O86" s="311">
        <f t="shared" si="18"/>
        <v>1</v>
      </c>
      <c r="P86" s="1119"/>
      <c r="Q86" s="311">
        <f t="shared" si="19"/>
        <v>1</v>
      </c>
      <c r="R86" s="1115">
        <f t="shared" si="20"/>
        <v>0</v>
      </c>
      <c r="S86" s="694">
        <f t="shared" si="22"/>
        <v>0</v>
      </c>
    </row>
    <row r="87" spans="1:19">
      <c r="A87" s="487"/>
      <c r="B87" s="346"/>
      <c r="C87" s="311">
        <f t="shared" si="12"/>
        <v>1</v>
      </c>
      <c r="D87" s="1119"/>
      <c r="E87" s="311">
        <f t="shared" si="13"/>
        <v>1</v>
      </c>
      <c r="F87" s="1119"/>
      <c r="G87" s="311">
        <f t="shared" si="14"/>
        <v>1</v>
      </c>
      <c r="H87" s="1119"/>
      <c r="I87" s="311">
        <f t="shared" si="15"/>
        <v>1</v>
      </c>
      <c r="J87" s="1119"/>
      <c r="K87" s="311">
        <f t="shared" si="16"/>
        <v>1</v>
      </c>
      <c r="L87" s="1119"/>
      <c r="M87" s="311">
        <f t="shared" si="17"/>
        <v>1</v>
      </c>
      <c r="N87" s="1119"/>
      <c r="O87" s="311">
        <f t="shared" si="18"/>
        <v>1</v>
      </c>
      <c r="P87" s="1119"/>
      <c r="Q87" s="311">
        <f t="shared" si="19"/>
        <v>1</v>
      </c>
      <c r="R87" s="1115">
        <f t="shared" si="20"/>
        <v>0</v>
      </c>
      <c r="S87" s="694">
        <f t="shared" si="22"/>
        <v>0</v>
      </c>
    </row>
    <row r="88" spans="1:19">
      <c r="A88" s="487"/>
      <c r="B88" s="346"/>
      <c r="C88" s="311">
        <f t="shared" si="12"/>
        <v>1</v>
      </c>
      <c r="D88" s="1119"/>
      <c r="E88" s="311">
        <f t="shared" si="13"/>
        <v>1</v>
      </c>
      <c r="F88" s="1119"/>
      <c r="G88" s="311">
        <f t="shared" si="14"/>
        <v>1</v>
      </c>
      <c r="H88" s="1119"/>
      <c r="I88" s="311">
        <f t="shared" si="15"/>
        <v>1</v>
      </c>
      <c r="J88" s="1119"/>
      <c r="K88" s="311">
        <f t="shared" si="16"/>
        <v>1</v>
      </c>
      <c r="L88" s="1119"/>
      <c r="M88" s="311">
        <f t="shared" si="17"/>
        <v>1</v>
      </c>
      <c r="N88" s="1119"/>
      <c r="O88" s="311">
        <f t="shared" si="18"/>
        <v>1</v>
      </c>
      <c r="P88" s="1119"/>
      <c r="Q88" s="311">
        <f t="shared" si="19"/>
        <v>1</v>
      </c>
      <c r="R88" s="1115">
        <f t="shared" si="20"/>
        <v>0</v>
      </c>
      <c r="S88" s="694">
        <f t="shared" si="22"/>
        <v>0</v>
      </c>
    </row>
    <row r="89" spans="1:19">
      <c r="A89" s="487"/>
      <c r="B89" s="346"/>
      <c r="C89" s="311">
        <f t="shared" si="12"/>
        <v>1</v>
      </c>
      <c r="D89" s="1119"/>
      <c r="E89" s="311">
        <f t="shared" si="13"/>
        <v>1</v>
      </c>
      <c r="F89" s="1119"/>
      <c r="G89" s="311">
        <f t="shared" si="14"/>
        <v>1</v>
      </c>
      <c r="H89" s="1119"/>
      <c r="I89" s="311">
        <f t="shared" si="15"/>
        <v>1</v>
      </c>
      <c r="J89" s="1119"/>
      <c r="K89" s="311">
        <f t="shared" si="16"/>
        <v>1</v>
      </c>
      <c r="L89" s="1119"/>
      <c r="M89" s="311">
        <f t="shared" si="17"/>
        <v>1</v>
      </c>
      <c r="N89" s="1119"/>
      <c r="O89" s="311">
        <f t="shared" si="18"/>
        <v>1</v>
      </c>
      <c r="P89" s="1119"/>
      <c r="Q89" s="311">
        <f t="shared" si="19"/>
        <v>1</v>
      </c>
      <c r="R89" s="1115">
        <f t="shared" si="20"/>
        <v>0</v>
      </c>
      <c r="S89" s="694">
        <f t="shared" si="22"/>
        <v>0</v>
      </c>
    </row>
    <row r="90" spans="1:19">
      <c r="A90" s="487"/>
      <c r="B90" s="346"/>
      <c r="C90" s="311">
        <f t="shared" ref="C90:C153" si="23">IF(B90="",1,(LOOKUP(B90,$3:$3,$4:$4)-LOOKUP($B$24,$3:$3,$4:$4)+100)/100)</f>
        <v>1</v>
      </c>
      <c r="D90" s="1119"/>
      <c r="E90" s="311">
        <f t="shared" ref="E90:E153" si="24">(SUMIF($5:$5,D90,$6:$6)-SUMIF($5:$5,$D$24,$6:$6)+100)/100</f>
        <v>1</v>
      </c>
      <c r="F90" s="1119"/>
      <c r="G90" s="311">
        <f t="shared" ref="G90:G153" si="25">(SUMIF($7:$7,F90,$8:$8)-SUMIF($7:$7,$F$24,$8:$8)+100)/100</f>
        <v>1</v>
      </c>
      <c r="H90" s="1119"/>
      <c r="I90" s="311">
        <f t="shared" ref="I90:I153" si="26">(SUMIF($9:$9,H90,$10:$10)-SUMIF($9:$9,$H$24,$10:$10)+100)/100</f>
        <v>1</v>
      </c>
      <c r="J90" s="1119"/>
      <c r="K90" s="311">
        <f t="shared" ref="K90:K153" si="27">(SUMIF($11:$11,J90,$12:$12)-SUMIF($11:$11,$J$24,$12:$12)+100)/100</f>
        <v>1</v>
      </c>
      <c r="L90" s="1119"/>
      <c r="M90" s="311">
        <f t="shared" ref="M90:M153" si="28">(SUMIF($13:$13,L90,$14:$14)-SUMIF($13:$13,$L$24,$14:$14)+100)/100</f>
        <v>1</v>
      </c>
      <c r="N90" s="1119"/>
      <c r="O90" s="311">
        <f t="shared" ref="O90:O153" si="29">(SUMIF($15:$15,N90,$16:$16)-SUMIF($15:$15,$N$24,$16:$16)+100)/100</f>
        <v>1</v>
      </c>
      <c r="P90" s="1119"/>
      <c r="Q90" s="311">
        <f t="shared" ref="Q90:Q153" si="30">(SUMIF($17:$17,P90,$18:$18)-SUMIF($17:$17,$P$24,$18:$18)+100)/100</f>
        <v>1</v>
      </c>
      <c r="R90" s="1115">
        <f t="shared" ref="R90:R153" si="31">IF(B90="",0,ROUND($R$24*C90*E90*G90*I90*K90*M90*O90*Q90,0))</f>
        <v>0</v>
      </c>
      <c r="S90" s="694">
        <f t="shared" si="22"/>
        <v>0</v>
      </c>
    </row>
    <row r="91" spans="1:19">
      <c r="A91" s="487"/>
      <c r="B91" s="346"/>
      <c r="C91" s="311">
        <f t="shared" si="23"/>
        <v>1</v>
      </c>
      <c r="D91" s="1119"/>
      <c r="E91" s="311">
        <f t="shared" si="24"/>
        <v>1</v>
      </c>
      <c r="F91" s="1119"/>
      <c r="G91" s="311">
        <f t="shared" si="25"/>
        <v>1</v>
      </c>
      <c r="H91" s="1119"/>
      <c r="I91" s="311">
        <f t="shared" si="26"/>
        <v>1</v>
      </c>
      <c r="J91" s="1119"/>
      <c r="K91" s="311">
        <f t="shared" si="27"/>
        <v>1</v>
      </c>
      <c r="L91" s="1119"/>
      <c r="M91" s="311">
        <f t="shared" si="28"/>
        <v>1</v>
      </c>
      <c r="N91" s="1119"/>
      <c r="O91" s="311">
        <f t="shared" si="29"/>
        <v>1</v>
      </c>
      <c r="P91" s="1119"/>
      <c r="Q91" s="311">
        <f t="shared" si="30"/>
        <v>1</v>
      </c>
      <c r="R91" s="1115">
        <f t="shared" si="31"/>
        <v>0</v>
      </c>
      <c r="S91" s="694">
        <f t="shared" si="22"/>
        <v>0</v>
      </c>
    </row>
    <row r="92" spans="1:19">
      <c r="A92" s="487"/>
      <c r="B92" s="346"/>
      <c r="C92" s="311">
        <f t="shared" si="23"/>
        <v>1</v>
      </c>
      <c r="D92" s="1119"/>
      <c r="E92" s="311">
        <f t="shared" si="24"/>
        <v>1</v>
      </c>
      <c r="F92" s="1119"/>
      <c r="G92" s="311">
        <f t="shared" si="25"/>
        <v>1</v>
      </c>
      <c r="H92" s="1119"/>
      <c r="I92" s="311">
        <f t="shared" si="26"/>
        <v>1</v>
      </c>
      <c r="J92" s="1119"/>
      <c r="K92" s="311">
        <f t="shared" si="27"/>
        <v>1</v>
      </c>
      <c r="L92" s="1119"/>
      <c r="M92" s="311">
        <f t="shared" si="28"/>
        <v>1</v>
      </c>
      <c r="N92" s="1119"/>
      <c r="O92" s="311">
        <f t="shared" si="29"/>
        <v>1</v>
      </c>
      <c r="P92" s="1119"/>
      <c r="Q92" s="311">
        <f t="shared" si="30"/>
        <v>1</v>
      </c>
      <c r="R92" s="1115">
        <f t="shared" si="31"/>
        <v>0</v>
      </c>
      <c r="S92" s="694">
        <f t="shared" si="22"/>
        <v>0</v>
      </c>
    </row>
    <row r="93" spans="1:19">
      <c r="A93" s="487"/>
      <c r="B93" s="346"/>
      <c r="C93" s="311">
        <f t="shared" si="23"/>
        <v>1</v>
      </c>
      <c r="D93" s="1119"/>
      <c r="E93" s="311">
        <f t="shared" si="24"/>
        <v>1</v>
      </c>
      <c r="F93" s="1119"/>
      <c r="G93" s="311">
        <f t="shared" si="25"/>
        <v>1</v>
      </c>
      <c r="H93" s="1119"/>
      <c r="I93" s="311">
        <f t="shared" si="26"/>
        <v>1</v>
      </c>
      <c r="J93" s="1119"/>
      <c r="K93" s="311">
        <f t="shared" si="27"/>
        <v>1</v>
      </c>
      <c r="L93" s="1119"/>
      <c r="M93" s="311">
        <f t="shared" si="28"/>
        <v>1</v>
      </c>
      <c r="N93" s="1119"/>
      <c r="O93" s="311">
        <f t="shared" si="29"/>
        <v>1</v>
      </c>
      <c r="P93" s="1119"/>
      <c r="Q93" s="311">
        <f t="shared" si="30"/>
        <v>1</v>
      </c>
      <c r="R93" s="1115">
        <f t="shared" si="31"/>
        <v>0</v>
      </c>
      <c r="S93" s="694">
        <f t="shared" si="22"/>
        <v>0</v>
      </c>
    </row>
    <row r="94" spans="1:19">
      <c r="A94" s="487"/>
      <c r="B94" s="346"/>
      <c r="C94" s="311">
        <f t="shared" si="23"/>
        <v>1</v>
      </c>
      <c r="D94" s="1119"/>
      <c r="E94" s="311">
        <f t="shared" si="24"/>
        <v>1</v>
      </c>
      <c r="F94" s="1119"/>
      <c r="G94" s="311">
        <f t="shared" si="25"/>
        <v>1</v>
      </c>
      <c r="H94" s="1119"/>
      <c r="I94" s="311">
        <f t="shared" si="26"/>
        <v>1</v>
      </c>
      <c r="J94" s="1119"/>
      <c r="K94" s="311">
        <f t="shared" si="27"/>
        <v>1</v>
      </c>
      <c r="L94" s="1119"/>
      <c r="M94" s="311">
        <f t="shared" si="28"/>
        <v>1</v>
      </c>
      <c r="N94" s="1119"/>
      <c r="O94" s="311">
        <f t="shared" si="29"/>
        <v>1</v>
      </c>
      <c r="P94" s="1119"/>
      <c r="Q94" s="311">
        <f t="shared" si="30"/>
        <v>1</v>
      </c>
      <c r="R94" s="1115">
        <f t="shared" si="31"/>
        <v>0</v>
      </c>
      <c r="S94" s="694">
        <f t="shared" si="22"/>
        <v>0</v>
      </c>
    </row>
    <row r="95" spans="1:19">
      <c r="A95" s="487"/>
      <c r="B95" s="346"/>
      <c r="C95" s="311">
        <f t="shared" si="23"/>
        <v>1</v>
      </c>
      <c r="D95" s="1119"/>
      <c r="E95" s="311">
        <f t="shared" si="24"/>
        <v>1</v>
      </c>
      <c r="F95" s="1119"/>
      <c r="G95" s="311">
        <f t="shared" si="25"/>
        <v>1</v>
      </c>
      <c r="H95" s="1119"/>
      <c r="I95" s="311">
        <f t="shared" si="26"/>
        <v>1</v>
      </c>
      <c r="J95" s="1119"/>
      <c r="K95" s="311">
        <f t="shared" si="27"/>
        <v>1</v>
      </c>
      <c r="L95" s="1119"/>
      <c r="M95" s="311">
        <f t="shared" si="28"/>
        <v>1</v>
      </c>
      <c r="N95" s="1119"/>
      <c r="O95" s="311">
        <f t="shared" si="29"/>
        <v>1</v>
      </c>
      <c r="P95" s="1119"/>
      <c r="Q95" s="311">
        <f t="shared" si="30"/>
        <v>1</v>
      </c>
      <c r="R95" s="1115">
        <f t="shared" si="31"/>
        <v>0</v>
      </c>
      <c r="S95" s="694">
        <f t="shared" si="22"/>
        <v>0</v>
      </c>
    </row>
    <row r="96" spans="1:19">
      <c r="A96" s="487"/>
      <c r="B96" s="346"/>
      <c r="C96" s="311">
        <f t="shared" si="23"/>
        <v>1</v>
      </c>
      <c r="D96" s="1119"/>
      <c r="E96" s="311">
        <f t="shared" si="24"/>
        <v>1</v>
      </c>
      <c r="F96" s="1119"/>
      <c r="G96" s="311">
        <f t="shared" si="25"/>
        <v>1</v>
      </c>
      <c r="H96" s="1119"/>
      <c r="I96" s="311">
        <f t="shared" si="26"/>
        <v>1</v>
      </c>
      <c r="J96" s="1119"/>
      <c r="K96" s="311">
        <f t="shared" si="27"/>
        <v>1</v>
      </c>
      <c r="L96" s="1119"/>
      <c r="M96" s="311">
        <f t="shared" si="28"/>
        <v>1</v>
      </c>
      <c r="N96" s="1119"/>
      <c r="O96" s="311">
        <f t="shared" si="29"/>
        <v>1</v>
      </c>
      <c r="P96" s="1119"/>
      <c r="Q96" s="311">
        <f t="shared" si="30"/>
        <v>1</v>
      </c>
      <c r="R96" s="1115">
        <f t="shared" si="31"/>
        <v>0</v>
      </c>
      <c r="S96" s="694">
        <f t="shared" si="22"/>
        <v>0</v>
      </c>
    </row>
    <row r="97" spans="1:19">
      <c r="A97" s="487"/>
      <c r="B97" s="346"/>
      <c r="C97" s="311">
        <f t="shared" si="23"/>
        <v>1</v>
      </c>
      <c r="D97" s="1119"/>
      <c r="E97" s="311">
        <f t="shared" si="24"/>
        <v>1</v>
      </c>
      <c r="F97" s="1119"/>
      <c r="G97" s="311">
        <f t="shared" si="25"/>
        <v>1</v>
      </c>
      <c r="H97" s="1119"/>
      <c r="I97" s="311">
        <f t="shared" si="26"/>
        <v>1</v>
      </c>
      <c r="J97" s="1119"/>
      <c r="K97" s="311">
        <f t="shared" si="27"/>
        <v>1</v>
      </c>
      <c r="L97" s="1119"/>
      <c r="M97" s="311">
        <f t="shared" si="28"/>
        <v>1</v>
      </c>
      <c r="N97" s="1119"/>
      <c r="O97" s="311">
        <f t="shared" si="29"/>
        <v>1</v>
      </c>
      <c r="P97" s="1119"/>
      <c r="Q97" s="311">
        <f t="shared" si="30"/>
        <v>1</v>
      </c>
      <c r="R97" s="1115">
        <f t="shared" si="31"/>
        <v>0</v>
      </c>
      <c r="S97" s="694">
        <f t="shared" si="22"/>
        <v>0</v>
      </c>
    </row>
    <row r="98" spans="1:19">
      <c r="A98" s="487"/>
      <c r="B98" s="346"/>
      <c r="C98" s="311">
        <f t="shared" si="23"/>
        <v>1</v>
      </c>
      <c r="D98" s="1119"/>
      <c r="E98" s="311">
        <f t="shared" si="24"/>
        <v>1</v>
      </c>
      <c r="F98" s="1119"/>
      <c r="G98" s="311">
        <f t="shared" si="25"/>
        <v>1</v>
      </c>
      <c r="H98" s="1119"/>
      <c r="I98" s="311">
        <f t="shared" si="26"/>
        <v>1</v>
      </c>
      <c r="J98" s="1119"/>
      <c r="K98" s="311">
        <f t="shared" si="27"/>
        <v>1</v>
      </c>
      <c r="L98" s="1119"/>
      <c r="M98" s="311">
        <f t="shared" si="28"/>
        <v>1</v>
      </c>
      <c r="N98" s="1119"/>
      <c r="O98" s="311">
        <f t="shared" si="29"/>
        <v>1</v>
      </c>
      <c r="P98" s="1119"/>
      <c r="Q98" s="311">
        <f t="shared" si="30"/>
        <v>1</v>
      </c>
      <c r="R98" s="1115">
        <f t="shared" si="31"/>
        <v>0</v>
      </c>
      <c r="S98" s="694">
        <f t="shared" si="22"/>
        <v>0</v>
      </c>
    </row>
    <row r="99" spans="1:19">
      <c r="A99" s="487"/>
      <c r="B99" s="346"/>
      <c r="C99" s="311">
        <f t="shared" si="23"/>
        <v>1</v>
      </c>
      <c r="D99" s="1119"/>
      <c r="E99" s="311">
        <f t="shared" si="24"/>
        <v>1</v>
      </c>
      <c r="F99" s="1119"/>
      <c r="G99" s="311">
        <f t="shared" si="25"/>
        <v>1</v>
      </c>
      <c r="H99" s="1119"/>
      <c r="I99" s="311">
        <f t="shared" si="26"/>
        <v>1</v>
      </c>
      <c r="J99" s="1119"/>
      <c r="K99" s="311">
        <f t="shared" si="27"/>
        <v>1</v>
      </c>
      <c r="L99" s="1119"/>
      <c r="M99" s="311">
        <f t="shared" si="28"/>
        <v>1</v>
      </c>
      <c r="N99" s="1119"/>
      <c r="O99" s="311">
        <f t="shared" si="29"/>
        <v>1</v>
      </c>
      <c r="P99" s="1119"/>
      <c r="Q99" s="311">
        <f t="shared" si="30"/>
        <v>1</v>
      </c>
      <c r="R99" s="1115">
        <f t="shared" si="31"/>
        <v>0</v>
      </c>
      <c r="S99" s="694">
        <f t="shared" si="22"/>
        <v>0</v>
      </c>
    </row>
    <row r="100" spans="1:19">
      <c r="A100" s="487"/>
      <c r="B100" s="346"/>
      <c r="C100" s="311">
        <f t="shared" si="23"/>
        <v>1</v>
      </c>
      <c r="D100" s="1119"/>
      <c r="E100" s="311">
        <f t="shared" si="24"/>
        <v>1</v>
      </c>
      <c r="F100" s="1119"/>
      <c r="G100" s="311">
        <f t="shared" si="25"/>
        <v>1</v>
      </c>
      <c r="H100" s="1119"/>
      <c r="I100" s="311">
        <f t="shared" si="26"/>
        <v>1</v>
      </c>
      <c r="J100" s="1119"/>
      <c r="K100" s="311">
        <f t="shared" si="27"/>
        <v>1</v>
      </c>
      <c r="L100" s="1119"/>
      <c r="M100" s="311">
        <f t="shared" si="28"/>
        <v>1</v>
      </c>
      <c r="N100" s="1119"/>
      <c r="O100" s="311">
        <f t="shared" si="29"/>
        <v>1</v>
      </c>
      <c r="P100" s="1119"/>
      <c r="Q100" s="311">
        <f t="shared" si="30"/>
        <v>1</v>
      </c>
      <c r="R100" s="1115">
        <f t="shared" si="31"/>
        <v>0</v>
      </c>
      <c r="S100" s="694">
        <f t="shared" si="22"/>
        <v>0</v>
      </c>
    </row>
    <row r="101" spans="1:19">
      <c r="A101" s="487"/>
      <c r="B101" s="346"/>
      <c r="C101" s="311">
        <f t="shared" si="23"/>
        <v>1</v>
      </c>
      <c r="D101" s="1119"/>
      <c r="E101" s="311">
        <f t="shared" si="24"/>
        <v>1</v>
      </c>
      <c r="F101" s="1119"/>
      <c r="G101" s="311">
        <f t="shared" si="25"/>
        <v>1</v>
      </c>
      <c r="H101" s="1119"/>
      <c r="I101" s="311">
        <f t="shared" si="26"/>
        <v>1</v>
      </c>
      <c r="J101" s="1119"/>
      <c r="K101" s="311">
        <f t="shared" si="27"/>
        <v>1</v>
      </c>
      <c r="L101" s="1119"/>
      <c r="M101" s="311">
        <f t="shared" si="28"/>
        <v>1</v>
      </c>
      <c r="N101" s="1119"/>
      <c r="O101" s="311">
        <f t="shared" si="29"/>
        <v>1</v>
      </c>
      <c r="P101" s="1119"/>
      <c r="Q101" s="311">
        <f t="shared" si="30"/>
        <v>1</v>
      </c>
      <c r="R101" s="1115">
        <f t="shared" si="31"/>
        <v>0</v>
      </c>
      <c r="S101" s="694">
        <f t="shared" si="22"/>
        <v>0</v>
      </c>
    </row>
    <row r="102" spans="1:19">
      <c r="A102" s="487"/>
      <c r="B102" s="346"/>
      <c r="C102" s="311">
        <f t="shared" si="23"/>
        <v>1</v>
      </c>
      <c r="D102" s="1119"/>
      <c r="E102" s="311">
        <f t="shared" si="24"/>
        <v>1</v>
      </c>
      <c r="F102" s="1119"/>
      <c r="G102" s="311">
        <f t="shared" si="25"/>
        <v>1</v>
      </c>
      <c r="H102" s="1119"/>
      <c r="I102" s="311">
        <f t="shared" si="26"/>
        <v>1</v>
      </c>
      <c r="J102" s="1119"/>
      <c r="K102" s="311">
        <f t="shared" si="27"/>
        <v>1</v>
      </c>
      <c r="L102" s="1119"/>
      <c r="M102" s="311">
        <f t="shared" si="28"/>
        <v>1</v>
      </c>
      <c r="N102" s="1119"/>
      <c r="O102" s="311">
        <f t="shared" si="29"/>
        <v>1</v>
      </c>
      <c r="P102" s="1119"/>
      <c r="Q102" s="311">
        <f t="shared" si="30"/>
        <v>1</v>
      </c>
      <c r="R102" s="1115">
        <f t="shared" si="31"/>
        <v>0</v>
      </c>
      <c r="S102" s="694">
        <f t="shared" si="22"/>
        <v>0</v>
      </c>
    </row>
    <row r="103" spans="1:19">
      <c r="A103" s="487"/>
      <c r="B103" s="346"/>
      <c r="C103" s="311">
        <f t="shared" si="23"/>
        <v>1</v>
      </c>
      <c r="D103" s="1119"/>
      <c r="E103" s="311">
        <f t="shared" si="24"/>
        <v>1</v>
      </c>
      <c r="F103" s="1119"/>
      <c r="G103" s="311">
        <f t="shared" si="25"/>
        <v>1</v>
      </c>
      <c r="H103" s="1119"/>
      <c r="I103" s="311">
        <f t="shared" si="26"/>
        <v>1</v>
      </c>
      <c r="J103" s="1119"/>
      <c r="K103" s="311">
        <f t="shared" si="27"/>
        <v>1</v>
      </c>
      <c r="L103" s="1119"/>
      <c r="M103" s="311">
        <f t="shared" si="28"/>
        <v>1</v>
      </c>
      <c r="N103" s="1119"/>
      <c r="O103" s="311">
        <f t="shared" si="29"/>
        <v>1</v>
      </c>
      <c r="P103" s="1119"/>
      <c r="Q103" s="311">
        <f t="shared" si="30"/>
        <v>1</v>
      </c>
      <c r="R103" s="1115">
        <f t="shared" si="31"/>
        <v>0</v>
      </c>
      <c r="S103" s="694">
        <f t="shared" si="22"/>
        <v>0</v>
      </c>
    </row>
    <row r="104" spans="1:19">
      <c r="A104" s="487"/>
      <c r="B104" s="346"/>
      <c r="C104" s="311">
        <f t="shared" si="23"/>
        <v>1</v>
      </c>
      <c r="D104" s="1119"/>
      <c r="E104" s="311">
        <f t="shared" si="24"/>
        <v>1</v>
      </c>
      <c r="F104" s="1119"/>
      <c r="G104" s="311">
        <f t="shared" si="25"/>
        <v>1</v>
      </c>
      <c r="H104" s="1119"/>
      <c r="I104" s="311">
        <f t="shared" si="26"/>
        <v>1</v>
      </c>
      <c r="J104" s="1119"/>
      <c r="K104" s="311">
        <f t="shared" si="27"/>
        <v>1</v>
      </c>
      <c r="L104" s="1119"/>
      <c r="M104" s="311">
        <f t="shared" si="28"/>
        <v>1</v>
      </c>
      <c r="N104" s="1119"/>
      <c r="O104" s="311">
        <f t="shared" si="29"/>
        <v>1</v>
      </c>
      <c r="P104" s="1119"/>
      <c r="Q104" s="311">
        <f t="shared" si="30"/>
        <v>1</v>
      </c>
      <c r="R104" s="1115">
        <f t="shared" si="31"/>
        <v>0</v>
      </c>
      <c r="S104" s="694">
        <f t="shared" si="22"/>
        <v>0</v>
      </c>
    </row>
    <row r="105" spans="1:19">
      <c r="A105" s="487"/>
      <c r="B105" s="346"/>
      <c r="C105" s="311">
        <f t="shared" si="23"/>
        <v>1</v>
      </c>
      <c r="D105" s="1119"/>
      <c r="E105" s="311">
        <f t="shared" si="24"/>
        <v>1</v>
      </c>
      <c r="F105" s="1119"/>
      <c r="G105" s="311">
        <f t="shared" si="25"/>
        <v>1</v>
      </c>
      <c r="H105" s="1119"/>
      <c r="I105" s="311">
        <f t="shared" si="26"/>
        <v>1</v>
      </c>
      <c r="J105" s="1119"/>
      <c r="K105" s="311">
        <f t="shared" si="27"/>
        <v>1</v>
      </c>
      <c r="L105" s="1119"/>
      <c r="M105" s="311">
        <f t="shared" si="28"/>
        <v>1</v>
      </c>
      <c r="N105" s="1119"/>
      <c r="O105" s="311">
        <f t="shared" si="29"/>
        <v>1</v>
      </c>
      <c r="P105" s="1119"/>
      <c r="Q105" s="311">
        <f t="shared" si="30"/>
        <v>1</v>
      </c>
      <c r="R105" s="1115">
        <f t="shared" si="31"/>
        <v>0</v>
      </c>
      <c r="S105" s="694">
        <f t="shared" si="22"/>
        <v>0</v>
      </c>
    </row>
    <row r="106" spans="1:19">
      <c r="A106" s="487"/>
      <c r="B106" s="346"/>
      <c r="C106" s="311">
        <f t="shared" si="23"/>
        <v>1</v>
      </c>
      <c r="D106" s="1119"/>
      <c r="E106" s="311">
        <f t="shared" si="24"/>
        <v>1</v>
      </c>
      <c r="F106" s="1119"/>
      <c r="G106" s="311">
        <f t="shared" si="25"/>
        <v>1</v>
      </c>
      <c r="H106" s="1119"/>
      <c r="I106" s="311">
        <f t="shared" si="26"/>
        <v>1</v>
      </c>
      <c r="J106" s="1119"/>
      <c r="K106" s="311">
        <f t="shared" si="27"/>
        <v>1</v>
      </c>
      <c r="L106" s="1119"/>
      <c r="M106" s="311">
        <f t="shared" si="28"/>
        <v>1</v>
      </c>
      <c r="N106" s="1119"/>
      <c r="O106" s="311">
        <f t="shared" si="29"/>
        <v>1</v>
      </c>
      <c r="P106" s="1119"/>
      <c r="Q106" s="311">
        <f t="shared" si="30"/>
        <v>1</v>
      </c>
      <c r="R106" s="1115">
        <f t="shared" si="31"/>
        <v>0</v>
      </c>
      <c r="S106" s="694">
        <f t="shared" si="22"/>
        <v>0</v>
      </c>
    </row>
    <row r="107" spans="1:19">
      <c r="A107" s="487"/>
      <c r="B107" s="346"/>
      <c r="C107" s="311">
        <f t="shared" si="23"/>
        <v>1</v>
      </c>
      <c r="D107" s="1119"/>
      <c r="E107" s="311">
        <f t="shared" si="24"/>
        <v>1</v>
      </c>
      <c r="F107" s="1119"/>
      <c r="G107" s="311">
        <f t="shared" si="25"/>
        <v>1</v>
      </c>
      <c r="H107" s="1119"/>
      <c r="I107" s="311">
        <f t="shared" si="26"/>
        <v>1</v>
      </c>
      <c r="J107" s="1119"/>
      <c r="K107" s="311">
        <f t="shared" si="27"/>
        <v>1</v>
      </c>
      <c r="L107" s="1119"/>
      <c r="M107" s="311">
        <f t="shared" si="28"/>
        <v>1</v>
      </c>
      <c r="N107" s="1119"/>
      <c r="O107" s="311">
        <f t="shared" si="29"/>
        <v>1</v>
      </c>
      <c r="P107" s="1119"/>
      <c r="Q107" s="311">
        <f t="shared" si="30"/>
        <v>1</v>
      </c>
      <c r="R107" s="1115">
        <f t="shared" si="31"/>
        <v>0</v>
      </c>
      <c r="S107" s="694">
        <f t="shared" si="22"/>
        <v>0</v>
      </c>
    </row>
    <row r="108" spans="1:19">
      <c r="A108" s="487"/>
      <c r="B108" s="346"/>
      <c r="C108" s="311">
        <f t="shared" si="23"/>
        <v>1</v>
      </c>
      <c r="D108" s="1119"/>
      <c r="E108" s="311">
        <f t="shared" si="24"/>
        <v>1</v>
      </c>
      <c r="F108" s="1119"/>
      <c r="G108" s="311">
        <f t="shared" si="25"/>
        <v>1</v>
      </c>
      <c r="H108" s="1119"/>
      <c r="I108" s="311">
        <f t="shared" si="26"/>
        <v>1</v>
      </c>
      <c r="J108" s="1119"/>
      <c r="K108" s="311">
        <f t="shared" si="27"/>
        <v>1</v>
      </c>
      <c r="L108" s="1119"/>
      <c r="M108" s="311">
        <f t="shared" si="28"/>
        <v>1</v>
      </c>
      <c r="N108" s="1119"/>
      <c r="O108" s="311">
        <f t="shared" si="29"/>
        <v>1</v>
      </c>
      <c r="P108" s="1119"/>
      <c r="Q108" s="311">
        <f t="shared" si="30"/>
        <v>1</v>
      </c>
      <c r="R108" s="1115">
        <f t="shared" si="31"/>
        <v>0</v>
      </c>
      <c r="S108" s="694">
        <f t="shared" si="22"/>
        <v>0</v>
      </c>
    </row>
    <row r="109" spans="1:19">
      <c r="A109" s="487"/>
      <c r="B109" s="346"/>
      <c r="C109" s="311">
        <f t="shared" si="23"/>
        <v>1</v>
      </c>
      <c r="D109" s="1119"/>
      <c r="E109" s="311">
        <f t="shared" si="24"/>
        <v>1</v>
      </c>
      <c r="F109" s="1119"/>
      <c r="G109" s="311">
        <f t="shared" si="25"/>
        <v>1</v>
      </c>
      <c r="H109" s="1119"/>
      <c r="I109" s="311">
        <f t="shared" si="26"/>
        <v>1</v>
      </c>
      <c r="J109" s="1119"/>
      <c r="K109" s="311">
        <f t="shared" si="27"/>
        <v>1</v>
      </c>
      <c r="L109" s="1119"/>
      <c r="M109" s="311">
        <f t="shared" si="28"/>
        <v>1</v>
      </c>
      <c r="N109" s="1119"/>
      <c r="O109" s="311">
        <f t="shared" si="29"/>
        <v>1</v>
      </c>
      <c r="P109" s="1119"/>
      <c r="Q109" s="311">
        <f t="shared" si="30"/>
        <v>1</v>
      </c>
      <c r="R109" s="1115">
        <f t="shared" si="31"/>
        <v>0</v>
      </c>
      <c r="S109" s="694">
        <f t="shared" si="22"/>
        <v>0</v>
      </c>
    </row>
    <row r="110" spans="1:19">
      <c r="A110" s="487"/>
      <c r="B110" s="346"/>
      <c r="C110" s="311">
        <f t="shared" si="23"/>
        <v>1</v>
      </c>
      <c r="D110" s="1119"/>
      <c r="E110" s="311">
        <f t="shared" si="24"/>
        <v>1</v>
      </c>
      <c r="F110" s="1119"/>
      <c r="G110" s="311">
        <f t="shared" si="25"/>
        <v>1</v>
      </c>
      <c r="H110" s="1119"/>
      <c r="I110" s="311">
        <f t="shared" si="26"/>
        <v>1</v>
      </c>
      <c r="J110" s="1119"/>
      <c r="K110" s="311">
        <f t="shared" si="27"/>
        <v>1</v>
      </c>
      <c r="L110" s="1119"/>
      <c r="M110" s="311">
        <f t="shared" si="28"/>
        <v>1</v>
      </c>
      <c r="N110" s="1119"/>
      <c r="O110" s="311">
        <f t="shared" si="29"/>
        <v>1</v>
      </c>
      <c r="P110" s="1119"/>
      <c r="Q110" s="311">
        <f t="shared" si="30"/>
        <v>1</v>
      </c>
      <c r="R110" s="1115">
        <f t="shared" si="31"/>
        <v>0</v>
      </c>
      <c r="S110" s="694">
        <f t="shared" si="22"/>
        <v>0</v>
      </c>
    </row>
    <row r="111" spans="1:19">
      <c r="A111" s="487"/>
      <c r="B111" s="346"/>
      <c r="C111" s="311">
        <f t="shared" si="23"/>
        <v>1</v>
      </c>
      <c r="D111" s="1119"/>
      <c r="E111" s="311">
        <f t="shared" si="24"/>
        <v>1</v>
      </c>
      <c r="F111" s="1119"/>
      <c r="G111" s="311">
        <f t="shared" si="25"/>
        <v>1</v>
      </c>
      <c r="H111" s="1119"/>
      <c r="I111" s="311">
        <f t="shared" si="26"/>
        <v>1</v>
      </c>
      <c r="J111" s="1119"/>
      <c r="K111" s="311">
        <f t="shared" si="27"/>
        <v>1</v>
      </c>
      <c r="L111" s="1119"/>
      <c r="M111" s="311">
        <f t="shared" si="28"/>
        <v>1</v>
      </c>
      <c r="N111" s="1119"/>
      <c r="O111" s="311">
        <f t="shared" si="29"/>
        <v>1</v>
      </c>
      <c r="P111" s="1119"/>
      <c r="Q111" s="311">
        <f t="shared" si="30"/>
        <v>1</v>
      </c>
      <c r="R111" s="1115">
        <f t="shared" si="31"/>
        <v>0</v>
      </c>
      <c r="S111" s="694">
        <f t="shared" si="22"/>
        <v>0</v>
      </c>
    </row>
    <row r="112" spans="1:19">
      <c r="A112" s="487"/>
      <c r="B112" s="346"/>
      <c r="C112" s="311">
        <f t="shared" si="23"/>
        <v>1</v>
      </c>
      <c r="D112" s="1119"/>
      <c r="E112" s="311">
        <f t="shared" si="24"/>
        <v>1</v>
      </c>
      <c r="F112" s="1119"/>
      <c r="G112" s="311">
        <f t="shared" si="25"/>
        <v>1</v>
      </c>
      <c r="H112" s="1119"/>
      <c r="I112" s="311">
        <f t="shared" si="26"/>
        <v>1</v>
      </c>
      <c r="J112" s="1119"/>
      <c r="K112" s="311">
        <f t="shared" si="27"/>
        <v>1</v>
      </c>
      <c r="L112" s="1119"/>
      <c r="M112" s="311">
        <f t="shared" si="28"/>
        <v>1</v>
      </c>
      <c r="N112" s="1119"/>
      <c r="O112" s="311">
        <f t="shared" si="29"/>
        <v>1</v>
      </c>
      <c r="P112" s="1119"/>
      <c r="Q112" s="311">
        <f t="shared" si="30"/>
        <v>1</v>
      </c>
      <c r="R112" s="1115">
        <f t="shared" si="31"/>
        <v>0</v>
      </c>
      <c r="S112" s="694">
        <f t="shared" si="22"/>
        <v>0</v>
      </c>
    </row>
    <row r="113" spans="1:19">
      <c r="A113" s="487"/>
      <c r="B113" s="346"/>
      <c r="C113" s="311">
        <f t="shared" si="23"/>
        <v>1</v>
      </c>
      <c r="D113" s="1119"/>
      <c r="E113" s="311">
        <f t="shared" si="24"/>
        <v>1</v>
      </c>
      <c r="F113" s="1119"/>
      <c r="G113" s="311">
        <f t="shared" si="25"/>
        <v>1</v>
      </c>
      <c r="H113" s="1119"/>
      <c r="I113" s="311">
        <f t="shared" si="26"/>
        <v>1</v>
      </c>
      <c r="J113" s="1119"/>
      <c r="K113" s="311">
        <f t="shared" si="27"/>
        <v>1</v>
      </c>
      <c r="L113" s="1119"/>
      <c r="M113" s="311">
        <f t="shared" si="28"/>
        <v>1</v>
      </c>
      <c r="N113" s="1119"/>
      <c r="O113" s="311">
        <f t="shared" si="29"/>
        <v>1</v>
      </c>
      <c r="P113" s="1119"/>
      <c r="Q113" s="311">
        <f t="shared" si="30"/>
        <v>1</v>
      </c>
      <c r="R113" s="1115">
        <f t="shared" si="31"/>
        <v>0</v>
      </c>
      <c r="S113" s="694">
        <f t="shared" si="22"/>
        <v>0</v>
      </c>
    </row>
    <row r="114" spans="1:19">
      <c r="A114" s="487"/>
      <c r="B114" s="346"/>
      <c r="C114" s="311">
        <f t="shared" si="23"/>
        <v>1</v>
      </c>
      <c r="D114" s="1119"/>
      <c r="E114" s="311">
        <f t="shared" si="24"/>
        <v>1</v>
      </c>
      <c r="F114" s="1119"/>
      <c r="G114" s="311">
        <f t="shared" si="25"/>
        <v>1</v>
      </c>
      <c r="H114" s="1119"/>
      <c r="I114" s="311">
        <f t="shared" si="26"/>
        <v>1</v>
      </c>
      <c r="J114" s="1119"/>
      <c r="K114" s="311">
        <f t="shared" si="27"/>
        <v>1</v>
      </c>
      <c r="L114" s="1119"/>
      <c r="M114" s="311">
        <f t="shared" si="28"/>
        <v>1</v>
      </c>
      <c r="N114" s="1119"/>
      <c r="O114" s="311">
        <f t="shared" si="29"/>
        <v>1</v>
      </c>
      <c r="P114" s="1119"/>
      <c r="Q114" s="311">
        <f t="shared" si="30"/>
        <v>1</v>
      </c>
      <c r="R114" s="1115">
        <f t="shared" si="31"/>
        <v>0</v>
      </c>
      <c r="S114" s="694">
        <f t="shared" si="22"/>
        <v>0</v>
      </c>
    </row>
    <row r="115" spans="1:19">
      <c r="A115" s="487"/>
      <c r="B115" s="346"/>
      <c r="C115" s="311">
        <f t="shared" si="23"/>
        <v>1</v>
      </c>
      <c r="D115" s="1119"/>
      <c r="E115" s="311">
        <f t="shared" si="24"/>
        <v>1</v>
      </c>
      <c r="F115" s="1119"/>
      <c r="G115" s="311">
        <f t="shared" si="25"/>
        <v>1</v>
      </c>
      <c r="H115" s="1119"/>
      <c r="I115" s="311">
        <f t="shared" si="26"/>
        <v>1</v>
      </c>
      <c r="J115" s="1119"/>
      <c r="K115" s="311">
        <f t="shared" si="27"/>
        <v>1</v>
      </c>
      <c r="L115" s="1119"/>
      <c r="M115" s="311">
        <f t="shared" si="28"/>
        <v>1</v>
      </c>
      <c r="N115" s="1119"/>
      <c r="O115" s="311">
        <f t="shared" si="29"/>
        <v>1</v>
      </c>
      <c r="P115" s="1119"/>
      <c r="Q115" s="311">
        <f t="shared" si="30"/>
        <v>1</v>
      </c>
      <c r="R115" s="1115">
        <f t="shared" si="31"/>
        <v>0</v>
      </c>
      <c r="S115" s="694">
        <f t="shared" si="22"/>
        <v>0</v>
      </c>
    </row>
    <row r="116" spans="1:19">
      <c r="A116" s="487"/>
      <c r="B116" s="346"/>
      <c r="C116" s="311">
        <f t="shared" si="23"/>
        <v>1</v>
      </c>
      <c r="D116" s="1119"/>
      <c r="E116" s="311">
        <f t="shared" si="24"/>
        <v>1</v>
      </c>
      <c r="F116" s="1119"/>
      <c r="G116" s="311">
        <f t="shared" si="25"/>
        <v>1</v>
      </c>
      <c r="H116" s="1119"/>
      <c r="I116" s="311">
        <f t="shared" si="26"/>
        <v>1</v>
      </c>
      <c r="J116" s="1119"/>
      <c r="K116" s="311">
        <f t="shared" si="27"/>
        <v>1</v>
      </c>
      <c r="L116" s="1119"/>
      <c r="M116" s="311">
        <f t="shared" si="28"/>
        <v>1</v>
      </c>
      <c r="N116" s="1119"/>
      <c r="O116" s="311">
        <f t="shared" si="29"/>
        <v>1</v>
      </c>
      <c r="P116" s="1119"/>
      <c r="Q116" s="311">
        <f t="shared" si="30"/>
        <v>1</v>
      </c>
      <c r="R116" s="1115">
        <f t="shared" si="31"/>
        <v>0</v>
      </c>
      <c r="S116" s="694">
        <f t="shared" si="22"/>
        <v>0</v>
      </c>
    </row>
    <row r="117" spans="1:19">
      <c r="A117" s="487"/>
      <c r="B117" s="346"/>
      <c r="C117" s="311">
        <f t="shared" si="23"/>
        <v>1</v>
      </c>
      <c r="D117" s="1119"/>
      <c r="E117" s="311">
        <f t="shared" si="24"/>
        <v>1</v>
      </c>
      <c r="F117" s="1119"/>
      <c r="G117" s="311">
        <f t="shared" si="25"/>
        <v>1</v>
      </c>
      <c r="H117" s="1119"/>
      <c r="I117" s="311">
        <f t="shared" si="26"/>
        <v>1</v>
      </c>
      <c r="J117" s="1119"/>
      <c r="K117" s="311">
        <f t="shared" si="27"/>
        <v>1</v>
      </c>
      <c r="L117" s="1119"/>
      <c r="M117" s="311">
        <f t="shared" si="28"/>
        <v>1</v>
      </c>
      <c r="N117" s="1119"/>
      <c r="O117" s="311">
        <f t="shared" si="29"/>
        <v>1</v>
      </c>
      <c r="P117" s="1119"/>
      <c r="Q117" s="311">
        <f t="shared" si="30"/>
        <v>1</v>
      </c>
      <c r="R117" s="1115">
        <f t="shared" si="31"/>
        <v>0</v>
      </c>
      <c r="S117" s="694">
        <f t="shared" si="22"/>
        <v>0</v>
      </c>
    </row>
    <row r="118" spans="1:19">
      <c r="A118" s="487"/>
      <c r="B118" s="346"/>
      <c r="C118" s="311">
        <f t="shared" si="23"/>
        <v>1</v>
      </c>
      <c r="D118" s="1119"/>
      <c r="E118" s="311">
        <f t="shared" si="24"/>
        <v>1</v>
      </c>
      <c r="F118" s="1119"/>
      <c r="G118" s="311">
        <f t="shared" si="25"/>
        <v>1</v>
      </c>
      <c r="H118" s="1119"/>
      <c r="I118" s="311">
        <f t="shared" si="26"/>
        <v>1</v>
      </c>
      <c r="J118" s="1119"/>
      <c r="K118" s="311">
        <f t="shared" si="27"/>
        <v>1</v>
      </c>
      <c r="L118" s="1119"/>
      <c r="M118" s="311">
        <f t="shared" si="28"/>
        <v>1</v>
      </c>
      <c r="N118" s="1119"/>
      <c r="O118" s="311">
        <f t="shared" si="29"/>
        <v>1</v>
      </c>
      <c r="P118" s="1119"/>
      <c r="Q118" s="311">
        <f t="shared" si="30"/>
        <v>1</v>
      </c>
      <c r="R118" s="1115">
        <f t="shared" si="31"/>
        <v>0</v>
      </c>
      <c r="S118" s="694">
        <f t="shared" si="22"/>
        <v>0</v>
      </c>
    </row>
    <row r="119" spans="1:19">
      <c r="A119" s="487"/>
      <c r="B119" s="346"/>
      <c r="C119" s="311">
        <f t="shared" si="23"/>
        <v>1</v>
      </c>
      <c r="D119" s="1119"/>
      <c r="E119" s="311">
        <f t="shared" si="24"/>
        <v>1</v>
      </c>
      <c r="F119" s="1119"/>
      <c r="G119" s="311">
        <f t="shared" si="25"/>
        <v>1</v>
      </c>
      <c r="H119" s="1119"/>
      <c r="I119" s="311">
        <f t="shared" si="26"/>
        <v>1</v>
      </c>
      <c r="J119" s="1119"/>
      <c r="K119" s="311">
        <f t="shared" si="27"/>
        <v>1</v>
      </c>
      <c r="L119" s="1119"/>
      <c r="M119" s="311">
        <f t="shared" si="28"/>
        <v>1</v>
      </c>
      <c r="N119" s="1119"/>
      <c r="O119" s="311">
        <f t="shared" si="29"/>
        <v>1</v>
      </c>
      <c r="P119" s="1119"/>
      <c r="Q119" s="311">
        <f t="shared" si="30"/>
        <v>1</v>
      </c>
      <c r="R119" s="1115">
        <f t="shared" si="31"/>
        <v>0</v>
      </c>
      <c r="S119" s="694">
        <f t="shared" si="22"/>
        <v>0</v>
      </c>
    </row>
    <row r="120" spans="1:19">
      <c r="A120" s="487"/>
      <c r="B120" s="346"/>
      <c r="C120" s="311">
        <f t="shared" si="23"/>
        <v>1</v>
      </c>
      <c r="D120" s="1119"/>
      <c r="E120" s="311">
        <f t="shared" si="24"/>
        <v>1</v>
      </c>
      <c r="F120" s="1119"/>
      <c r="G120" s="311">
        <f t="shared" si="25"/>
        <v>1</v>
      </c>
      <c r="H120" s="1119"/>
      <c r="I120" s="311">
        <f t="shared" si="26"/>
        <v>1</v>
      </c>
      <c r="J120" s="1119"/>
      <c r="K120" s="311">
        <f t="shared" si="27"/>
        <v>1</v>
      </c>
      <c r="L120" s="1119"/>
      <c r="M120" s="311">
        <f t="shared" si="28"/>
        <v>1</v>
      </c>
      <c r="N120" s="1119"/>
      <c r="O120" s="311">
        <f t="shared" si="29"/>
        <v>1</v>
      </c>
      <c r="P120" s="1119"/>
      <c r="Q120" s="311">
        <f t="shared" si="30"/>
        <v>1</v>
      </c>
      <c r="R120" s="1115">
        <f t="shared" si="31"/>
        <v>0</v>
      </c>
      <c r="S120" s="694">
        <f t="shared" si="22"/>
        <v>0</v>
      </c>
    </row>
    <row r="121" spans="1:19">
      <c r="A121" s="487"/>
      <c r="B121" s="346"/>
      <c r="C121" s="311">
        <f t="shared" si="23"/>
        <v>1</v>
      </c>
      <c r="D121" s="1119"/>
      <c r="E121" s="311">
        <f t="shared" si="24"/>
        <v>1</v>
      </c>
      <c r="F121" s="1119"/>
      <c r="G121" s="311">
        <f t="shared" si="25"/>
        <v>1</v>
      </c>
      <c r="H121" s="1119"/>
      <c r="I121" s="311">
        <f t="shared" si="26"/>
        <v>1</v>
      </c>
      <c r="J121" s="1119"/>
      <c r="K121" s="311">
        <f t="shared" si="27"/>
        <v>1</v>
      </c>
      <c r="L121" s="1119"/>
      <c r="M121" s="311">
        <f t="shared" si="28"/>
        <v>1</v>
      </c>
      <c r="N121" s="1119"/>
      <c r="O121" s="311">
        <f t="shared" si="29"/>
        <v>1</v>
      </c>
      <c r="P121" s="1119"/>
      <c r="Q121" s="311">
        <f t="shared" si="30"/>
        <v>1</v>
      </c>
      <c r="R121" s="1115">
        <f t="shared" si="31"/>
        <v>0</v>
      </c>
      <c r="S121" s="694">
        <f t="shared" si="22"/>
        <v>0</v>
      </c>
    </row>
    <row r="122" spans="1:19">
      <c r="A122" s="487"/>
      <c r="B122" s="346"/>
      <c r="C122" s="311">
        <f t="shared" si="23"/>
        <v>1</v>
      </c>
      <c r="D122" s="1119"/>
      <c r="E122" s="311">
        <f t="shared" si="24"/>
        <v>1</v>
      </c>
      <c r="F122" s="1119"/>
      <c r="G122" s="311">
        <f t="shared" si="25"/>
        <v>1</v>
      </c>
      <c r="H122" s="1119"/>
      <c r="I122" s="311">
        <f t="shared" si="26"/>
        <v>1</v>
      </c>
      <c r="J122" s="1119"/>
      <c r="K122" s="311">
        <f t="shared" si="27"/>
        <v>1</v>
      </c>
      <c r="L122" s="1119"/>
      <c r="M122" s="311">
        <f t="shared" si="28"/>
        <v>1</v>
      </c>
      <c r="N122" s="1119"/>
      <c r="O122" s="311">
        <f t="shared" si="29"/>
        <v>1</v>
      </c>
      <c r="P122" s="1119"/>
      <c r="Q122" s="311">
        <f t="shared" si="30"/>
        <v>1</v>
      </c>
      <c r="R122" s="1115">
        <f t="shared" si="31"/>
        <v>0</v>
      </c>
      <c r="S122" s="694">
        <f t="shared" si="22"/>
        <v>0</v>
      </c>
    </row>
    <row r="123" spans="1:19">
      <c r="A123" s="487"/>
      <c r="B123" s="346"/>
      <c r="C123" s="311">
        <f t="shared" si="23"/>
        <v>1</v>
      </c>
      <c r="D123" s="1119"/>
      <c r="E123" s="311">
        <f t="shared" si="24"/>
        <v>1</v>
      </c>
      <c r="F123" s="1119"/>
      <c r="G123" s="311">
        <f t="shared" si="25"/>
        <v>1</v>
      </c>
      <c r="H123" s="1119"/>
      <c r="I123" s="311">
        <f t="shared" si="26"/>
        <v>1</v>
      </c>
      <c r="J123" s="1119"/>
      <c r="K123" s="311">
        <f t="shared" si="27"/>
        <v>1</v>
      </c>
      <c r="L123" s="1119"/>
      <c r="M123" s="311">
        <f t="shared" si="28"/>
        <v>1</v>
      </c>
      <c r="N123" s="1119"/>
      <c r="O123" s="311">
        <f t="shared" si="29"/>
        <v>1</v>
      </c>
      <c r="P123" s="1119"/>
      <c r="Q123" s="311">
        <f t="shared" si="30"/>
        <v>1</v>
      </c>
      <c r="R123" s="1115">
        <f t="shared" si="31"/>
        <v>0</v>
      </c>
      <c r="S123" s="694">
        <f t="shared" ref="S123:S186" si="32">ROUND(R123*B123/10000,0)</f>
        <v>0</v>
      </c>
    </row>
    <row r="124" spans="1:19">
      <c r="A124" s="487"/>
      <c r="B124" s="346"/>
      <c r="C124" s="311">
        <f t="shared" si="23"/>
        <v>1</v>
      </c>
      <c r="D124" s="1119"/>
      <c r="E124" s="311">
        <f t="shared" si="24"/>
        <v>1</v>
      </c>
      <c r="F124" s="1119"/>
      <c r="G124" s="311">
        <f t="shared" si="25"/>
        <v>1</v>
      </c>
      <c r="H124" s="1119"/>
      <c r="I124" s="311">
        <f t="shared" si="26"/>
        <v>1</v>
      </c>
      <c r="J124" s="1119"/>
      <c r="K124" s="311">
        <f t="shared" si="27"/>
        <v>1</v>
      </c>
      <c r="L124" s="1119"/>
      <c r="M124" s="311">
        <f t="shared" si="28"/>
        <v>1</v>
      </c>
      <c r="N124" s="1119"/>
      <c r="O124" s="311">
        <f t="shared" si="29"/>
        <v>1</v>
      </c>
      <c r="P124" s="1119"/>
      <c r="Q124" s="311">
        <f t="shared" si="30"/>
        <v>1</v>
      </c>
      <c r="R124" s="1115">
        <f t="shared" si="31"/>
        <v>0</v>
      </c>
      <c r="S124" s="694">
        <f t="shared" si="32"/>
        <v>0</v>
      </c>
    </row>
    <row r="125" spans="1:19">
      <c r="A125" s="487"/>
      <c r="B125" s="346"/>
      <c r="C125" s="311">
        <f t="shared" si="23"/>
        <v>1</v>
      </c>
      <c r="D125" s="1119"/>
      <c r="E125" s="311">
        <f t="shared" si="24"/>
        <v>1</v>
      </c>
      <c r="F125" s="1119"/>
      <c r="G125" s="311">
        <f t="shared" si="25"/>
        <v>1</v>
      </c>
      <c r="H125" s="1119"/>
      <c r="I125" s="311">
        <f t="shared" si="26"/>
        <v>1</v>
      </c>
      <c r="J125" s="1119"/>
      <c r="K125" s="311">
        <f t="shared" si="27"/>
        <v>1</v>
      </c>
      <c r="L125" s="1119"/>
      <c r="M125" s="311">
        <f t="shared" si="28"/>
        <v>1</v>
      </c>
      <c r="N125" s="1119"/>
      <c r="O125" s="311">
        <f t="shared" si="29"/>
        <v>1</v>
      </c>
      <c r="P125" s="1119"/>
      <c r="Q125" s="311">
        <f t="shared" si="30"/>
        <v>1</v>
      </c>
      <c r="R125" s="1115">
        <f t="shared" si="31"/>
        <v>0</v>
      </c>
      <c r="S125" s="694">
        <f t="shared" si="32"/>
        <v>0</v>
      </c>
    </row>
    <row r="126" spans="1:19">
      <c r="A126" s="487"/>
      <c r="B126" s="346"/>
      <c r="C126" s="311">
        <f t="shared" si="23"/>
        <v>1</v>
      </c>
      <c r="D126" s="1119"/>
      <c r="E126" s="311">
        <f t="shared" si="24"/>
        <v>1</v>
      </c>
      <c r="F126" s="1119"/>
      <c r="G126" s="311">
        <f t="shared" si="25"/>
        <v>1</v>
      </c>
      <c r="H126" s="1119"/>
      <c r="I126" s="311">
        <f t="shared" si="26"/>
        <v>1</v>
      </c>
      <c r="J126" s="1119"/>
      <c r="K126" s="311">
        <f t="shared" si="27"/>
        <v>1</v>
      </c>
      <c r="L126" s="1119"/>
      <c r="M126" s="311">
        <f t="shared" si="28"/>
        <v>1</v>
      </c>
      <c r="N126" s="1119"/>
      <c r="O126" s="311">
        <f t="shared" si="29"/>
        <v>1</v>
      </c>
      <c r="P126" s="1119"/>
      <c r="Q126" s="311">
        <f t="shared" si="30"/>
        <v>1</v>
      </c>
      <c r="R126" s="1115">
        <f t="shared" si="31"/>
        <v>0</v>
      </c>
      <c r="S126" s="694">
        <f t="shared" si="32"/>
        <v>0</v>
      </c>
    </row>
    <row r="127" spans="1:19">
      <c r="A127" s="487"/>
      <c r="B127" s="346"/>
      <c r="C127" s="311">
        <f t="shared" si="23"/>
        <v>1</v>
      </c>
      <c r="D127" s="1119"/>
      <c r="E127" s="311">
        <f t="shared" si="24"/>
        <v>1</v>
      </c>
      <c r="F127" s="1119"/>
      <c r="G127" s="311">
        <f t="shared" si="25"/>
        <v>1</v>
      </c>
      <c r="H127" s="1119"/>
      <c r="I127" s="311">
        <f t="shared" si="26"/>
        <v>1</v>
      </c>
      <c r="J127" s="1119"/>
      <c r="K127" s="311">
        <f t="shared" si="27"/>
        <v>1</v>
      </c>
      <c r="L127" s="1119"/>
      <c r="M127" s="311">
        <f t="shared" si="28"/>
        <v>1</v>
      </c>
      <c r="N127" s="1119"/>
      <c r="O127" s="311">
        <f t="shared" si="29"/>
        <v>1</v>
      </c>
      <c r="P127" s="1119"/>
      <c r="Q127" s="311">
        <f t="shared" si="30"/>
        <v>1</v>
      </c>
      <c r="R127" s="1115">
        <f t="shared" si="31"/>
        <v>0</v>
      </c>
      <c r="S127" s="694">
        <f t="shared" si="32"/>
        <v>0</v>
      </c>
    </row>
    <row r="128" spans="1:19">
      <c r="A128" s="487"/>
      <c r="B128" s="346"/>
      <c r="C128" s="311">
        <f t="shared" si="23"/>
        <v>1</v>
      </c>
      <c r="D128" s="1119"/>
      <c r="E128" s="311">
        <f t="shared" si="24"/>
        <v>1</v>
      </c>
      <c r="F128" s="1119"/>
      <c r="G128" s="311">
        <f t="shared" si="25"/>
        <v>1</v>
      </c>
      <c r="H128" s="1119"/>
      <c r="I128" s="311">
        <f t="shared" si="26"/>
        <v>1</v>
      </c>
      <c r="J128" s="1119"/>
      <c r="K128" s="311">
        <f t="shared" si="27"/>
        <v>1</v>
      </c>
      <c r="L128" s="1119"/>
      <c r="M128" s="311">
        <f t="shared" si="28"/>
        <v>1</v>
      </c>
      <c r="N128" s="1119"/>
      <c r="O128" s="311">
        <f t="shared" si="29"/>
        <v>1</v>
      </c>
      <c r="P128" s="1119"/>
      <c r="Q128" s="311">
        <f t="shared" si="30"/>
        <v>1</v>
      </c>
      <c r="R128" s="1115">
        <f t="shared" si="31"/>
        <v>0</v>
      </c>
      <c r="S128" s="694">
        <f t="shared" si="32"/>
        <v>0</v>
      </c>
    </row>
    <row r="129" spans="1:19">
      <c r="A129" s="487"/>
      <c r="B129" s="346"/>
      <c r="C129" s="311">
        <f t="shared" si="23"/>
        <v>1</v>
      </c>
      <c r="D129" s="1119"/>
      <c r="E129" s="311">
        <f t="shared" si="24"/>
        <v>1</v>
      </c>
      <c r="F129" s="1119"/>
      <c r="G129" s="311">
        <f t="shared" si="25"/>
        <v>1</v>
      </c>
      <c r="H129" s="1119"/>
      <c r="I129" s="311">
        <f t="shared" si="26"/>
        <v>1</v>
      </c>
      <c r="J129" s="1119"/>
      <c r="K129" s="311">
        <f t="shared" si="27"/>
        <v>1</v>
      </c>
      <c r="L129" s="1119"/>
      <c r="M129" s="311">
        <f t="shared" si="28"/>
        <v>1</v>
      </c>
      <c r="N129" s="1119"/>
      <c r="O129" s="311">
        <f t="shared" si="29"/>
        <v>1</v>
      </c>
      <c r="P129" s="1119"/>
      <c r="Q129" s="311">
        <f t="shared" si="30"/>
        <v>1</v>
      </c>
      <c r="R129" s="1115">
        <f t="shared" si="31"/>
        <v>0</v>
      </c>
      <c r="S129" s="694">
        <f t="shared" si="32"/>
        <v>0</v>
      </c>
    </row>
    <row r="130" spans="1:19">
      <c r="A130" s="487"/>
      <c r="B130" s="346"/>
      <c r="C130" s="311">
        <f t="shared" si="23"/>
        <v>1</v>
      </c>
      <c r="D130" s="1119"/>
      <c r="E130" s="311">
        <f t="shared" si="24"/>
        <v>1</v>
      </c>
      <c r="F130" s="1119"/>
      <c r="G130" s="311">
        <f t="shared" si="25"/>
        <v>1</v>
      </c>
      <c r="H130" s="1119"/>
      <c r="I130" s="311">
        <f t="shared" si="26"/>
        <v>1</v>
      </c>
      <c r="J130" s="1119"/>
      <c r="K130" s="311">
        <f t="shared" si="27"/>
        <v>1</v>
      </c>
      <c r="L130" s="1119"/>
      <c r="M130" s="311">
        <f t="shared" si="28"/>
        <v>1</v>
      </c>
      <c r="N130" s="1119"/>
      <c r="O130" s="311">
        <f t="shared" si="29"/>
        <v>1</v>
      </c>
      <c r="P130" s="1119"/>
      <c r="Q130" s="311">
        <f t="shared" si="30"/>
        <v>1</v>
      </c>
      <c r="R130" s="1115">
        <f t="shared" si="31"/>
        <v>0</v>
      </c>
      <c r="S130" s="694">
        <f t="shared" si="32"/>
        <v>0</v>
      </c>
    </row>
    <row r="131" spans="1:19">
      <c r="A131" s="487"/>
      <c r="B131" s="346"/>
      <c r="C131" s="311">
        <f t="shared" si="23"/>
        <v>1</v>
      </c>
      <c r="D131" s="1119"/>
      <c r="E131" s="311">
        <f t="shared" si="24"/>
        <v>1</v>
      </c>
      <c r="F131" s="1119"/>
      <c r="G131" s="311">
        <f t="shared" si="25"/>
        <v>1</v>
      </c>
      <c r="H131" s="1119"/>
      <c r="I131" s="311">
        <f t="shared" si="26"/>
        <v>1</v>
      </c>
      <c r="J131" s="1119"/>
      <c r="K131" s="311">
        <f t="shared" si="27"/>
        <v>1</v>
      </c>
      <c r="L131" s="1119"/>
      <c r="M131" s="311">
        <f t="shared" si="28"/>
        <v>1</v>
      </c>
      <c r="N131" s="1119"/>
      <c r="O131" s="311">
        <f t="shared" si="29"/>
        <v>1</v>
      </c>
      <c r="P131" s="1119"/>
      <c r="Q131" s="311">
        <f t="shared" si="30"/>
        <v>1</v>
      </c>
      <c r="R131" s="1115">
        <f t="shared" si="31"/>
        <v>0</v>
      </c>
      <c r="S131" s="694">
        <f t="shared" si="32"/>
        <v>0</v>
      </c>
    </row>
    <row r="132" spans="1:19">
      <c r="A132" s="487"/>
      <c r="B132" s="346"/>
      <c r="C132" s="311">
        <f t="shared" si="23"/>
        <v>1</v>
      </c>
      <c r="D132" s="1119"/>
      <c r="E132" s="311">
        <f t="shared" si="24"/>
        <v>1</v>
      </c>
      <c r="F132" s="1119"/>
      <c r="G132" s="311">
        <f t="shared" si="25"/>
        <v>1</v>
      </c>
      <c r="H132" s="1119"/>
      <c r="I132" s="311">
        <f t="shared" si="26"/>
        <v>1</v>
      </c>
      <c r="J132" s="1119"/>
      <c r="K132" s="311">
        <f t="shared" si="27"/>
        <v>1</v>
      </c>
      <c r="L132" s="1119"/>
      <c r="M132" s="311">
        <f t="shared" si="28"/>
        <v>1</v>
      </c>
      <c r="N132" s="1119"/>
      <c r="O132" s="311">
        <f t="shared" si="29"/>
        <v>1</v>
      </c>
      <c r="P132" s="1119"/>
      <c r="Q132" s="311">
        <f t="shared" si="30"/>
        <v>1</v>
      </c>
      <c r="R132" s="1115">
        <f t="shared" si="31"/>
        <v>0</v>
      </c>
      <c r="S132" s="694">
        <f t="shared" si="32"/>
        <v>0</v>
      </c>
    </row>
    <row r="133" spans="1:19">
      <c r="A133" s="487"/>
      <c r="B133" s="346"/>
      <c r="C133" s="311">
        <f t="shared" si="23"/>
        <v>1</v>
      </c>
      <c r="D133" s="1119"/>
      <c r="E133" s="311">
        <f t="shared" si="24"/>
        <v>1</v>
      </c>
      <c r="F133" s="1119"/>
      <c r="G133" s="311">
        <f t="shared" si="25"/>
        <v>1</v>
      </c>
      <c r="H133" s="1119"/>
      <c r="I133" s="311">
        <f t="shared" si="26"/>
        <v>1</v>
      </c>
      <c r="J133" s="1119"/>
      <c r="K133" s="311">
        <f t="shared" si="27"/>
        <v>1</v>
      </c>
      <c r="L133" s="1119"/>
      <c r="M133" s="311">
        <f t="shared" si="28"/>
        <v>1</v>
      </c>
      <c r="N133" s="1119"/>
      <c r="O133" s="311">
        <f t="shared" si="29"/>
        <v>1</v>
      </c>
      <c r="P133" s="1119"/>
      <c r="Q133" s="311">
        <f t="shared" si="30"/>
        <v>1</v>
      </c>
      <c r="R133" s="1115">
        <f t="shared" si="31"/>
        <v>0</v>
      </c>
      <c r="S133" s="694">
        <f t="shared" si="32"/>
        <v>0</v>
      </c>
    </row>
    <row r="134" spans="1:19">
      <c r="A134" s="487"/>
      <c r="B134" s="346"/>
      <c r="C134" s="311">
        <f t="shared" si="23"/>
        <v>1</v>
      </c>
      <c r="D134" s="1119"/>
      <c r="E134" s="311">
        <f t="shared" si="24"/>
        <v>1</v>
      </c>
      <c r="F134" s="1119"/>
      <c r="G134" s="311">
        <f t="shared" si="25"/>
        <v>1</v>
      </c>
      <c r="H134" s="1119"/>
      <c r="I134" s="311">
        <f t="shared" si="26"/>
        <v>1</v>
      </c>
      <c r="J134" s="1119"/>
      <c r="K134" s="311">
        <f t="shared" si="27"/>
        <v>1</v>
      </c>
      <c r="L134" s="1119"/>
      <c r="M134" s="311">
        <f t="shared" si="28"/>
        <v>1</v>
      </c>
      <c r="N134" s="1119"/>
      <c r="O134" s="311">
        <f t="shared" si="29"/>
        <v>1</v>
      </c>
      <c r="P134" s="1119"/>
      <c r="Q134" s="311">
        <f t="shared" si="30"/>
        <v>1</v>
      </c>
      <c r="R134" s="1115">
        <f t="shared" si="31"/>
        <v>0</v>
      </c>
      <c r="S134" s="694">
        <f t="shared" si="32"/>
        <v>0</v>
      </c>
    </row>
    <row r="135" spans="1:19">
      <c r="A135" s="487"/>
      <c r="B135" s="346"/>
      <c r="C135" s="311">
        <f t="shared" si="23"/>
        <v>1</v>
      </c>
      <c r="D135" s="1119"/>
      <c r="E135" s="311">
        <f t="shared" si="24"/>
        <v>1</v>
      </c>
      <c r="F135" s="1119"/>
      <c r="G135" s="311">
        <f t="shared" si="25"/>
        <v>1</v>
      </c>
      <c r="H135" s="1119"/>
      <c r="I135" s="311">
        <f t="shared" si="26"/>
        <v>1</v>
      </c>
      <c r="J135" s="1119"/>
      <c r="K135" s="311">
        <f t="shared" si="27"/>
        <v>1</v>
      </c>
      <c r="L135" s="1119"/>
      <c r="M135" s="311">
        <f t="shared" si="28"/>
        <v>1</v>
      </c>
      <c r="N135" s="1119"/>
      <c r="O135" s="311">
        <f t="shared" si="29"/>
        <v>1</v>
      </c>
      <c r="P135" s="1119"/>
      <c r="Q135" s="311">
        <f t="shared" si="30"/>
        <v>1</v>
      </c>
      <c r="R135" s="1115">
        <f t="shared" si="31"/>
        <v>0</v>
      </c>
      <c r="S135" s="694">
        <f t="shared" si="32"/>
        <v>0</v>
      </c>
    </row>
    <row r="136" spans="1:19">
      <c r="A136" s="487"/>
      <c r="B136" s="346"/>
      <c r="C136" s="311">
        <f t="shared" si="23"/>
        <v>1</v>
      </c>
      <c r="D136" s="1119"/>
      <c r="E136" s="311">
        <f t="shared" si="24"/>
        <v>1</v>
      </c>
      <c r="F136" s="1119"/>
      <c r="G136" s="311">
        <f t="shared" si="25"/>
        <v>1</v>
      </c>
      <c r="H136" s="1119"/>
      <c r="I136" s="311">
        <f t="shared" si="26"/>
        <v>1</v>
      </c>
      <c r="J136" s="1119"/>
      <c r="K136" s="311">
        <f t="shared" si="27"/>
        <v>1</v>
      </c>
      <c r="L136" s="1119"/>
      <c r="M136" s="311">
        <f t="shared" si="28"/>
        <v>1</v>
      </c>
      <c r="N136" s="1119"/>
      <c r="O136" s="311">
        <f t="shared" si="29"/>
        <v>1</v>
      </c>
      <c r="P136" s="1119"/>
      <c r="Q136" s="311">
        <f t="shared" si="30"/>
        <v>1</v>
      </c>
      <c r="R136" s="1115">
        <f t="shared" si="31"/>
        <v>0</v>
      </c>
      <c r="S136" s="694">
        <f t="shared" si="32"/>
        <v>0</v>
      </c>
    </row>
    <row r="137" spans="1:19">
      <c r="A137" s="487"/>
      <c r="B137" s="346"/>
      <c r="C137" s="311">
        <f t="shared" si="23"/>
        <v>1</v>
      </c>
      <c r="D137" s="1119"/>
      <c r="E137" s="311">
        <f t="shared" si="24"/>
        <v>1</v>
      </c>
      <c r="F137" s="1119"/>
      <c r="G137" s="311">
        <f t="shared" si="25"/>
        <v>1</v>
      </c>
      <c r="H137" s="1119"/>
      <c r="I137" s="311">
        <f t="shared" si="26"/>
        <v>1</v>
      </c>
      <c r="J137" s="1119"/>
      <c r="K137" s="311">
        <f t="shared" si="27"/>
        <v>1</v>
      </c>
      <c r="L137" s="1119"/>
      <c r="M137" s="311">
        <f t="shared" si="28"/>
        <v>1</v>
      </c>
      <c r="N137" s="1119"/>
      <c r="O137" s="311">
        <f t="shared" si="29"/>
        <v>1</v>
      </c>
      <c r="P137" s="1119"/>
      <c r="Q137" s="311">
        <f t="shared" si="30"/>
        <v>1</v>
      </c>
      <c r="R137" s="1115">
        <f t="shared" si="31"/>
        <v>0</v>
      </c>
      <c r="S137" s="694">
        <f t="shared" si="32"/>
        <v>0</v>
      </c>
    </row>
    <row r="138" spans="1:19">
      <c r="A138" s="487"/>
      <c r="B138" s="346"/>
      <c r="C138" s="311">
        <f t="shared" si="23"/>
        <v>1</v>
      </c>
      <c r="D138" s="1119"/>
      <c r="E138" s="311">
        <f t="shared" si="24"/>
        <v>1</v>
      </c>
      <c r="F138" s="1119"/>
      <c r="G138" s="311">
        <f t="shared" si="25"/>
        <v>1</v>
      </c>
      <c r="H138" s="1119"/>
      <c r="I138" s="311">
        <f t="shared" si="26"/>
        <v>1</v>
      </c>
      <c r="J138" s="1119"/>
      <c r="K138" s="311">
        <f t="shared" si="27"/>
        <v>1</v>
      </c>
      <c r="L138" s="1119"/>
      <c r="M138" s="311">
        <f t="shared" si="28"/>
        <v>1</v>
      </c>
      <c r="N138" s="1119"/>
      <c r="O138" s="311">
        <f t="shared" si="29"/>
        <v>1</v>
      </c>
      <c r="P138" s="1119"/>
      <c r="Q138" s="311">
        <f t="shared" si="30"/>
        <v>1</v>
      </c>
      <c r="R138" s="1115">
        <f t="shared" si="31"/>
        <v>0</v>
      </c>
      <c r="S138" s="694">
        <f t="shared" si="32"/>
        <v>0</v>
      </c>
    </row>
    <row r="139" spans="1:19">
      <c r="A139" s="487"/>
      <c r="B139" s="346"/>
      <c r="C139" s="311">
        <f t="shared" si="23"/>
        <v>1</v>
      </c>
      <c r="D139" s="1119"/>
      <c r="E139" s="311">
        <f t="shared" si="24"/>
        <v>1</v>
      </c>
      <c r="F139" s="1119"/>
      <c r="G139" s="311">
        <f t="shared" si="25"/>
        <v>1</v>
      </c>
      <c r="H139" s="1119"/>
      <c r="I139" s="311">
        <f t="shared" si="26"/>
        <v>1</v>
      </c>
      <c r="J139" s="1119"/>
      <c r="K139" s="311">
        <f t="shared" si="27"/>
        <v>1</v>
      </c>
      <c r="L139" s="1119"/>
      <c r="M139" s="311">
        <f t="shared" si="28"/>
        <v>1</v>
      </c>
      <c r="N139" s="1119"/>
      <c r="O139" s="311">
        <f t="shared" si="29"/>
        <v>1</v>
      </c>
      <c r="P139" s="1119"/>
      <c r="Q139" s="311">
        <f t="shared" si="30"/>
        <v>1</v>
      </c>
      <c r="R139" s="1115">
        <f t="shared" si="31"/>
        <v>0</v>
      </c>
      <c r="S139" s="694">
        <f t="shared" si="32"/>
        <v>0</v>
      </c>
    </row>
    <row r="140" spans="1:19">
      <c r="A140" s="487"/>
      <c r="B140" s="346"/>
      <c r="C140" s="311">
        <f t="shared" si="23"/>
        <v>1</v>
      </c>
      <c r="D140" s="1119"/>
      <c r="E140" s="311">
        <f t="shared" si="24"/>
        <v>1</v>
      </c>
      <c r="F140" s="1119"/>
      <c r="G140" s="311">
        <f t="shared" si="25"/>
        <v>1</v>
      </c>
      <c r="H140" s="1119"/>
      <c r="I140" s="311">
        <f t="shared" si="26"/>
        <v>1</v>
      </c>
      <c r="J140" s="1119"/>
      <c r="K140" s="311">
        <f t="shared" si="27"/>
        <v>1</v>
      </c>
      <c r="L140" s="1119"/>
      <c r="M140" s="311">
        <f t="shared" si="28"/>
        <v>1</v>
      </c>
      <c r="N140" s="1119"/>
      <c r="O140" s="311">
        <f t="shared" si="29"/>
        <v>1</v>
      </c>
      <c r="P140" s="1119"/>
      <c r="Q140" s="311">
        <f t="shared" si="30"/>
        <v>1</v>
      </c>
      <c r="R140" s="1115">
        <f t="shared" si="31"/>
        <v>0</v>
      </c>
      <c r="S140" s="694">
        <f t="shared" si="32"/>
        <v>0</v>
      </c>
    </row>
    <row r="141" spans="1:19">
      <c r="A141" s="487"/>
      <c r="B141" s="346"/>
      <c r="C141" s="311">
        <f t="shared" si="23"/>
        <v>1</v>
      </c>
      <c r="D141" s="1119"/>
      <c r="E141" s="311">
        <f t="shared" si="24"/>
        <v>1</v>
      </c>
      <c r="F141" s="1119"/>
      <c r="G141" s="311">
        <f t="shared" si="25"/>
        <v>1</v>
      </c>
      <c r="H141" s="1119"/>
      <c r="I141" s="311">
        <f t="shared" si="26"/>
        <v>1</v>
      </c>
      <c r="J141" s="1119"/>
      <c r="K141" s="311">
        <f t="shared" si="27"/>
        <v>1</v>
      </c>
      <c r="L141" s="1119"/>
      <c r="M141" s="311">
        <f t="shared" si="28"/>
        <v>1</v>
      </c>
      <c r="N141" s="1119"/>
      <c r="O141" s="311">
        <f t="shared" si="29"/>
        <v>1</v>
      </c>
      <c r="P141" s="1119"/>
      <c r="Q141" s="311">
        <f t="shared" si="30"/>
        <v>1</v>
      </c>
      <c r="R141" s="1115">
        <f t="shared" si="31"/>
        <v>0</v>
      </c>
      <c r="S141" s="694">
        <f t="shared" si="32"/>
        <v>0</v>
      </c>
    </row>
    <row r="142" spans="1:19">
      <c r="A142" s="487"/>
      <c r="B142" s="346"/>
      <c r="C142" s="311">
        <f t="shared" si="23"/>
        <v>1</v>
      </c>
      <c r="D142" s="1119"/>
      <c r="E142" s="311">
        <f t="shared" si="24"/>
        <v>1</v>
      </c>
      <c r="F142" s="1119"/>
      <c r="G142" s="311">
        <f t="shared" si="25"/>
        <v>1</v>
      </c>
      <c r="H142" s="1119"/>
      <c r="I142" s="311">
        <f t="shared" si="26"/>
        <v>1</v>
      </c>
      <c r="J142" s="1119"/>
      <c r="K142" s="311">
        <f t="shared" si="27"/>
        <v>1</v>
      </c>
      <c r="L142" s="1119"/>
      <c r="M142" s="311">
        <f t="shared" si="28"/>
        <v>1</v>
      </c>
      <c r="N142" s="1119"/>
      <c r="O142" s="311">
        <f t="shared" si="29"/>
        <v>1</v>
      </c>
      <c r="P142" s="1119"/>
      <c r="Q142" s="311">
        <f t="shared" si="30"/>
        <v>1</v>
      </c>
      <c r="R142" s="1115">
        <f t="shared" si="31"/>
        <v>0</v>
      </c>
      <c r="S142" s="694">
        <f t="shared" si="32"/>
        <v>0</v>
      </c>
    </row>
    <row r="143" spans="1:19">
      <c r="A143" s="487"/>
      <c r="B143" s="346"/>
      <c r="C143" s="311">
        <f t="shared" si="23"/>
        <v>1</v>
      </c>
      <c r="D143" s="1119"/>
      <c r="E143" s="311">
        <f t="shared" si="24"/>
        <v>1</v>
      </c>
      <c r="F143" s="1119"/>
      <c r="G143" s="311">
        <f t="shared" si="25"/>
        <v>1</v>
      </c>
      <c r="H143" s="1119"/>
      <c r="I143" s="311">
        <f t="shared" si="26"/>
        <v>1</v>
      </c>
      <c r="J143" s="1119"/>
      <c r="K143" s="311">
        <f t="shared" si="27"/>
        <v>1</v>
      </c>
      <c r="L143" s="1119"/>
      <c r="M143" s="311">
        <f t="shared" si="28"/>
        <v>1</v>
      </c>
      <c r="N143" s="1119"/>
      <c r="O143" s="311">
        <f t="shared" si="29"/>
        <v>1</v>
      </c>
      <c r="P143" s="1119"/>
      <c r="Q143" s="311">
        <f t="shared" si="30"/>
        <v>1</v>
      </c>
      <c r="R143" s="1115">
        <f t="shared" si="31"/>
        <v>0</v>
      </c>
      <c r="S143" s="694">
        <f t="shared" si="32"/>
        <v>0</v>
      </c>
    </row>
    <row r="144" spans="1:19">
      <c r="A144" s="487"/>
      <c r="B144" s="346"/>
      <c r="C144" s="311">
        <f t="shared" si="23"/>
        <v>1</v>
      </c>
      <c r="D144" s="1119"/>
      <c r="E144" s="311">
        <f t="shared" si="24"/>
        <v>1</v>
      </c>
      <c r="F144" s="1119"/>
      <c r="G144" s="311">
        <f t="shared" si="25"/>
        <v>1</v>
      </c>
      <c r="H144" s="1119"/>
      <c r="I144" s="311">
        <f t="shared" si="26"/>
        <v>1</v>
      </c>
      <c r="J144" s="1119"/>
      <c r="K144" s="311">
        <f t="shared" si="27"/>
        <v>1</v>
      </c>
      <c r="L144" s="1119"/>
      <c r="M144" s="311">
        <f t="shared" si="28"/>
        <v>1</v>
      </c>
      <c r="N144" s="1119"/>
      <c r="O144" s="311">
        <f t="shared" si="29"/>
        <v>1</v>
      </c>
      <c r="P144" s="1119"/>
      <c r="Q144" s="311">
        <f t="shared" si="30"/>
        <v>1</v>
      </c>
      <c r="R144" s="1115">
        <f t="shared" si="31"/>
        <v>0</v>
      </c>
      <c r="S144" s="694">
        <f t="shared" si="32"/>
        <v>0</v>
      </c>
    </row>
    <row r="145" spans="1:19">
      <c r="A145" s="487"/>
      <c r="B145" s="346"/>
      <c r="C145" s="311">
        <f t="shared" si="23"/>
        <v>1</v>
      </c>
      <c r="D145" s="1119"/>
      <c r="E145" s="311">
        <f t="shared" si="24"/>
        <v>1</v>
      </c>
      <c r="F145" s="1119"/>
      <c r="G145" s="311">
        <f t="shared" si="25"/>
        <v>1</v>
      </c>
      <c r="H145" s="1119"/>
      <c r="I145" s="311">
        <f t="shared" si="26"/>
        <v>1</v>
      </c>
      <c r="J145" s="1119"/>
      <c r="K145" s="311">
        <f t="shared" si="27"/>
        <v>1</v>
      </c>
      <c r="L145" s="1119"/>
      <c r="M145" s="311">
        <f t="shared" si="28"/>
        <v>1</v>
      </c>
      <c r="N145" s="1119"/>
      <c r="O145" s="311">
        <f t="shared" si="29"/>
        <v>1</v>
      </c>
      <c r="P145" s="1119"/>
      <c r="Q145" s="311">
        <f t="shared" si="30"/>
        <v>1</v>
      </c>
      <c r="R145" s="1115">
        <f t="shared" si="31"/>
        <v>0</v>
      </c>
      <c r="S145" s="694">
        <f t="shared" si="32"/>
        <v>0</v>
      </c>
    </row>
    <row r="146" spans="1:19">
      <c r="A146" s="487"/>
      <c r="B146" s="346"/>
      <c r="C146" s="311">
        <f t="shared" si="23"/>
        <v>1</v>
      </c>
      <c r="D146" s="1119"/>
      <c r="E146" s="311">
        <f t="shared" si="24"/>
        <v>1</v>
      </c>
      <c r="F146" s="1119"/>
      <c r="G146" s="311">
        <f t="shared" si="25"/>
        <v>1</v>
      </c>
      <c r="H146" s="1119"/>
      <c r="I146" s="311">
        <f t="shared" si="26"/>
        <v>1</v>
      </c>
      <c r="J146" s="1119"/>
      <c r="K146" s="311">
        <f t="shared" si="27"/>
        <v>1</v>
      </c>
      <c r="L146" s="1119"/>
      <c r="M146" s="311">
        <f t="shared" si="28"/>
        <v>1</v>
      </c>
      <c r="N146" s="1119"/>
      <c r="O146" s="311">
        <f t="shared" si="29"/>
        <v>1</v>
      </c>
      <c r="P146" s="1119"/>
      <c r="Q146" s="311">
        <f t="shared" si="30"/>
        <v>1</v>
      </c>
      <c r="R146" s="1115">
        <f t="shared" si="31"/>
        <v>0</v>
      </c>
      <c r="S146" s="694">
        <f t="shared" si="32"/>
        <v>0</v>
      </c>
    </row>
    <row r="147" spans="1:19">
      <c r="A147" s="487"/>
      <c r="B147" s="346"/>
      <c r="C147" s="311">
        <f t="shared" si="23"/>
        <v>1</v>
      </c>
      <c r="D147" s="1119"/>
      <c r="E147" s="311">
        <f t="shared" si="24"/>
        <v>1</v>
      </c>
      <c r="F147" s="1119"/>
      <c r="G147" s="311">
        <f t="shared" si="25"/>
        <v>1</v>
      </c>
      <c r="H147" s="1119"/>
      <c r="I147" s="311">
        <f t="shared" si="26"/>
        <v>1</v>
      </c>
      <c r="J147" s="1119"/>
      <c r="K147" s="311">
        <f t="shared" si="27"/>
        <v>1</v>
      </c>
      <c r="L147" s="1119"/>
      <c r="M147" s="311">
        <f t="shared" si="28"/>
        <v>1</v>
      </c>
      <c r="N147" s="1119"/>
      <c r="O147" s="311">
        <f t="shared" si="29"/>
        <v>1</v>
      </c>
      <c r="P147" s="1119"/>
      <c r="Q147" s="311">
        <f t="shared" si="30"/>
        <v>1</v>
      </c>
      <c r="R147" s="1115">
        <f t="shared" si="31"/>
        <v>0</v>
      </c>
      <c r="S147" s="694">
        <f t="shared" si="32"/>
        <v>0</v>
      </c>
    </row>
    <row r="148" spans="1:19">
      <c r="A148" s="487"/>
      <c r="B148" s="346"/>
      <c r="C148" s="311">
        <f t="shared" si="23"/>
        <v>1</v>
      </c>
      <c r="D148" s="1119"/>
      <c r="E148" s="311">
        <f t="shared" si="24"/>
        <v>1</v>
      </c>
      <c r="F148" s="1119"/>
      <c r="G148" s="311">
        <f t="shared" si="25"/>
        <v>1</v>
      </c>
      <c r="H148" s="1119"/>
      <c r="I148" s="311">
        <f t="shared" si="26"/>
        <v>1</v>
      </c>
      <c r="J148" s="1119"/>
      <c r="K148" s="311">
        <f t="shared" si="27"/>
        <v>1</v>
      </c>
      <c r="L148" s="1119"/>
      <c r="M148" s="311">
        <f t="shared" si="28"/>
        <v>1</v>
      </c>
      <c r="N148" s="1119"/>
      <c r="O148" s="311">
        <f t="shared" si="29"/>
        <v>1</v>
      </c>
      <c r="P148" s="1119"/>
      <c r="Q148" s="311">
        <f t="shared" si="30"/>
        <v>1</v>
      </c>
      <c r="R148" s="1115">
        <f t="shared" si="31"/>
        <v>0</v>
      </c>
      <c r="S148" s="694">
        <f t="shared" si="32"/>
        <v>0</v>
      </c>
    </row>
    <row r="149" spans="1:19">
      <c r="A149" s="487"/>
      <c r="B149" s="346"/>
      <c r="C149" s="311">
        <f t="shared" si="23"/>
        <v>1</v>
      </c>
      <c r="D149" s="1119"/>
      <c r="E149" s="311">
        <f t="shared" si="24"/>
        <v>1</v>
      </c>
      <c r="F149" s="1119"/>
      <c r="G149" s="311">
        <f t="shared" si="25"/>
        <v>1</v>
      </c>
      <c r="H149" s="1119"/>
      <c r="I149" s="311">
        <f t="shared" si="26"/>
        <v>1</v>
      </c>
      <c r="J149" s="1119"/>
      <c r="K149" s="311">
        <f t="shared" si="27"/>
        <v>1</v>
      </c>
      <c r="L149" s="1119"/>
      <c r="M149" s="311">
        <f t="shared" si="28"/>
        <v>1</v>
      </c>
      <c r="N149" s="1119"/>
      <c r="O149" s="311">
        <f t="shared" si="29"/>
        <v>1</v>
      </c>
      <c r="P149" s="1119"/>
      <c r="Q149" s="311">
        <f t="shared" si="30"/>
        <v>1</v>
      </c>
      <c r="R149" s="1115">
        <f t="shared" si="31"/>
        <v>0</v>
      </c>
      <c r="S149" s="694">
        <f t="shared" si="32"/>
        <v>0</v>
      </c>
    </row>
    <row r="150" spans="1:19">
      <c r="A150" s="487"/>
      <c r="B150" s="346"/>
      <c r="C150" s="311">
        <f t="shared" si="23"/>
        <v>1</v>
      </c>
      <c r="D150" s="1119"/>
      <c r="E150" s="311">
        <f t="shared" si="24"/>
        <v>1</v>
      </c>
      <c r="F150" s="1119"/>
      <c r="G150" s="311">
        <f t="shared" si="25"/>
        <v>1</v>
      </c>
      <c r="H150" s="1119"/>
      <c r="I150" s="311">
        <f t="shared" si="26"/>
        <v>1</v>
      </c>
      <c r="J150" s="1119"/>
      <c r="K150" s="311">
        <f t="shared" si="27"/>
        <v>1</v>
      </c>
      <c r="L150" s="1119"/>
      <c r="M150" s="311">
        <f t="shared" si="28"/>
        <v>1</v>
      </c>
      <c r="N150" s="1119"/>
      <c r="O150" s="311">
        <f t="shared" si="29"/>
        <v>1</v>
      </c>
      <c r="P150" s="1119"/>
      <c r="Q150" s="311">
        <f t="shared" si="30"/>
        <v>1</v>
      </c>
      <c r="R150" s="1115">
        <f t="shared" si="31"/>
        <v>0</v>
      </c>
      <c r="S150" s="694">
        <f t="shared" si="32"/>
        <v>0</v>
      </c>
    </row>
    <row r="151" spans="1:19">
      <c r="A151" s="487"/>
      <c r="B151" s="346"/>
      <c r="C151" s="311">
        <f t="shared" si="23"/>
        <v>1</v>
      </c>
      <c r="D151" s="1119"/>
      <c r="E151" s="311">
        <f t="shared" si="24"/>
        <v>1</v>
      </c>
      <c r="F151" s="1119"/>
      <c r="G151" s="311">
        <f t="shared" si="25"/>
        <v>1</v>
      </c>
      <c r="H151" s="1119"/>
      <c r="I151" s="311">
        <f t="shared" si="26"/>
        <v>1</v>
      </c>
      <c r="J151" s="1119"/>
      <c r="K151" s="311">
        <f t="shared" si="27"/>
        <v>1</v>
      </c>
      <c r="L151" s="1119"/>
      <c r="M151" s="311">
        <f t="shared" si="28"/>
        <v>1</v>
      </c>
      <c r="N151" s="1119"/>
      <c r="O151" s="311">
        <f t="shared" si="29"/>
        <v>1</v>
      </c>
      <c r="P151" s="1119"/>
      <c r="Q151" s="311">
        <f t="shared" si="30"/>
        <v>1</v>
      </c>
      <c r="R151" s="1115">
        <f t="shared" si="31"/>
        <v>0</v>
      </c>
      <c r="S151" s="694">
        <f t="shared" si="32"/>
        <v>0</v>
      </c>
    </row>
    <row r="152" spans="1:19">
      <c r="A152" s="487"/>
      <c r="B152" s="346"/>
      <c r="C152" s="311">
        <f t="shared" si="23"/>
        <v>1</v>
      </c>
      <c r="D152" s="1119"/>
      <c r="E152" s="311">
        <f t="shared" si="24"/>
        <v>1</v>
      </c>
      <c r="F152" s="1119"/>
      <c r="G152" s="311">
        <f t="shared" si="25"/>
        <v>1</v>
      </c>
      <c r="H152" s="1119"/>
      <c r="I152" s="311">
        <f t="shared" si="26"/>
        <v>1</v>
      </c>
      <c r="J152" s="1119"/>
      <c r="K152" s="311">
        <f t="shared" si="27"/>
        <v>1</v>
      </c>
      <c r="L152" s="1119"/>
      <c r="M152" s="311">
        <f t="shared" si="28"/>
        <v>1</v>
      </c>
      <c r="N152" s="1119"/>
      <c r="O152" s="311">
        <f t="shared" si="29"/>
        <v>1</v>
      </c>
      <c r="P152" s="1119"/>
      <c r="Q152" s="311">
        <f t="shared" si="30"/>
        <v>1</v>
      </c>
      <c r="R152" s="1115">
        <f t="shared" si="31"/>
        <v>0</v>
      </c>
      <c r="S152" s="694">
        <f t="shared" si="32"/>
        <v>0</v>
      </c>
    </row>
    <row r="153" spans="1:19">
      <c r="A153" s="487"/>
      <c r="B153" s="346"/>
      <c r="C153" s="311">
        <f t="shared" si="23"/>
        <v>1</v>
      </c>
      <c r="D153" s="1119"/>
      <c r="E153" s="311">
        <f t="shared" si="24"/>
        <v>1</v>
      </c>
      <c r="F153" s="1119"/>
      <c r="G153" s="311">
        <f t="shared" si="25"/>
        <v>1</v>
      </c>
      <c r="H153" s="1119"/>
      <c r="I153" s="311">
        <f t="shared" si="26"/>
        <v>1</v>
      </c>
      <c r="J153" s="1119"/>
      <c r="K153" s="311">
        <f t="shared" si="27"/>
        <v>1</v>
      </c>
      <c r="L153" s="1119"/>
      <c r="M153" s="311">
        <f t="shared" si="28"/>
        <v>1</v>
      </c>
      <c r="N153" s="1119"/>
      <c r="O153" s="311">
        <f t="shared" si="29"/>
        <v>1</v>
      </c>
      <c r="P153" s="1119"/>
      <c r="Q153" s="311">
        <f t="shared" si="30"/>
        <v>1</v>
      </c>
      <c r="R153" s="1115">
        <f t="shared" si="31"/>
        <v>0</v>
      </c>
      <c r="S153" s="694">
        <f t="shared" si="32"/>
        <v>0</v>
      </c>
    </row>
    <row r="154" spans="1:19">
      <c r="A154" s="487"/>
      <c r="B154" s="346"/>
      <c r="C154" s="311">
        <f t="shared" ref="C154:C217" si="33">IF(B154="",1,(LOOKUP(B154,$3:$3,$4:$4)-LOOKUP($B$24,$3:$3,$4:$4)+100)/100)</f>
        <v>1</v>
      </c>
      <c r="D154" s="1119"/>
      <c r="E154" s="311">
        <f t="shared" ref="E154:E217" si="34">(SUMIF($5:$5,D154,$6:$6)-SUMIF($5:$5,$D$24,$6:$6)+100)/100</f>
        <v>1</v>
      </c>
      <c r="F154" s="1119"/>
      <c r="G154" s="311">
        <f t="shared" ref="G154:G217" si="35">(SUMIF($7:$7,F154,$8:$8)-SUMIF($7:$7,$F$24,$8:$8)+100)/100</f>
        <v>1</v>
      </c>
      <c r="H154" s="1119"/>
      <c r="I154" s="311">
        <f t="shared" ref="I154:I217" si="36">(SUMIF($9:$9,H154,$10:$10)-SUMIF($9:$9,$H$24,$10:$10)+100)/100</f>
        <v>1</v>
      </c>
      <c r="J154" s="1119"/>
      <c r="K154" s="311">
        <f t="shared" ref="K154:K217" si="37">(SUMIF($11:$11,J154,$12:$12)-SUMIF($11:$11,$J$24,$12:$12)+100)/100</f>
        <v>1</v>
      </c>
      <c r="L154" s="1119"/>
      <c r="M154" s="311">
        <f t="shared" ref="M154:M217" si="38">(SUMIF($13:$13,L154,$14:$14)-SUMIF($13:$13,$L$24,$14:$14)+100)/100</f>
        <v>1</v>
      </c>
      <c r="N154" s="1119"/>
      <c r="O154" s="311">
        <f t="shared" ref="O154:O217" si="39">(SUMIF($15:$15,N154,$16:$16)-SUMIF($15:$15,$N$24,$16:$16)+100)/100</f>
        <v>1</v>
      </c>
      <c r="P154" s="1119"/>
      <c r="Q154" s="311">
        <f t="shared" ref="Q154:Q217" si="40">(SUMIF($17:$17,P154,$18:$18)-SUMIF($17:$17,$P$24,$18:$18)+100)/100</f>
        <v>1</v>
      </c>
      <c r="R154" s="1115">
        <f t="shared" ref="R154:R217" si="41">IF(B154="",0,ROUND($R$24*C154*E154*G154*I154*K154*M154*O154*Q154,0))</f>
        <v>0</v>
      </c>
      <c r="S154" s="694">
        <f t="shared" si="32"/>
        <v>0</v>
      </c>
    </row>
    <row r="155" spans="1:19">
      <c r="A155" s="487"/>
      <c r="B155" s="346"/>
      <c r="C155" s="311">
        <f t="shared" si="33"/>
        <v>1</v>
      </c>
      <c r="D155" s="1119"/>
      <c r="E155" s="311">
        <f t="shared" si="34"/>
        <v>1</v>
      </c>
      <c r="F155" s="1119"/>
      <c r="G155" s="311">
        <f t="shared" si="35"/>
        <v>1</v>
      </c>
      <c r="H155" s="1119"/>
      <c r="I155" s="311">
        <f t="shared" si="36"/>
        <v>1</v>
      </c>
      <c r="J155" s="1119"/>
      <c r="K155" s="311">
        <f t="shared" si="37"/>
        <v>1</v>
      </c>
      <c r="L155" s="1119"/>
      <c r="M155" s="311">
        <f t="shared" si="38"/>
        <v>1</v>
      </c>
      <c r="N155" s="1119"/>
      <c r="O155" s="311">
        <f t="shared" si="39"/>
        <v>1</v>
      </c>
      <c r="P155" s="1119"/>
      <c r="Q155" s="311">
        <f t="shared" si="40"/>
        <v>1</v>
      </c>
      <c r="R155" s="1115">
        <f t="shared" si="41"/>
        <v>0</v>
      </c>
      <c r="S155" s="694">
        <f t="shared" si="32"/>
        <v>0</v>
      </c>
    </row>
    <row r="156" spans="1:19">
      <c r="A156" s="487"/>
      <c r="B156" s="346"/>
      <c r="C156" s="311">
        <f t="shared" si="33"/>
        <v>1</v>
      </c>
      <c r="D156" s="1119"/>
      <c r="E156" s="311">
        <f t="shared" si="34"/>
        <v>1</v>
      </c>
      <c r="F156" s="1119"/>
      <c r="G156" s="311">
        <f t="shared" si="35"/>
        <v>1</v>
      </c>
      <c r="H156" s="1119"/>
      <c r="I156" s="311">
        <f t="shared" si="36"/>
        <v>1</v>
      </c>
      <c r="J156" s="1119"/>
      <c r="K156" s="311">
        <f t="shared" si="37"/>
        <v>1</v>
      </c>
      <c r="L156" s="1119"/>
      <c r="M156" s="311">
        <f t="shared" si="38"/>
        <v>1</v>
      </c>
      <c r="N156" s="1119"/>
      <c r="O156" s="311">
        <f t="shared" si="39"/>
        <v>1</v>
      </c>
      <c r="P156" s="1119"/>
      <c r="Q156" s="311">
        <f t="shared" si="40"/>
        <v>1</v>
      </c>
      <c r="R156" s="1115">
        <f t="shared" si="41"/>
        <v>0</v>
      </c>
      <c r="S156" s="694">
        <f t="shared" si="32"/>
        <v>0</v>
      </c>
    </row>
    <row r="157" spans="1:19">
      <c r="A157" s="487"/>
      <c r="B157" s="346"/>
      <c r="C157" s="311">
        <f t="shared" si="33"/>
        <v>1</v>
      </c>
      <c r="D157" s="1119"/>
      <c r="E157" s="311">
        <f t="shared" si="34"/>
        <v>1</v>
      </c>
      <c r="F157" s="1119"/>
      <c r="G157" s="311">
        <f t="shared" si="35"/>
        <v>1</v>
      </c>
      <c r="H157" s="1119"/>
      <c r="I157" s="311">
        <f t="shared" si="36"/>
        <v>1</v>
      </c>
      <c r="J157" s="1119"/>
      <c r="K157" s="311">
        <f t="shared" si="37"/>
        <v>1</v>
      </c>
      <c r="L157" s="1119"/>
      <c r="M157" s="311">
        <f t="shared" si="38"/>
        <v>1</v>
      </c>
      <c r="N157" s="1119"/>
      <c r="O157" s="311">
        <f t="shared" si="39"/>
        <v>1</v>
      </c>
      <c r="P157" s="1119"/>
      <c r="Q157" s="311">
        <f t="shared" si="40"/>
        <v>1</v>
      </c>
      <c r="R157" s="1115">
        <f t="shared" si="41"/>
        <v>0</v>
      </c>
      <c r="S157" s="694">
        <f t="shared" si="32"/>
        <v>0</v>
      </c>
    </row>
    <row r="158" spans="1:19">
      <c r="A158" s="487"/>
      <c r="B158" s="346"/>
      <c r="C158" s="311">
        <f t="shared" si="33"/>
        <v>1</v>
      </c>
      <c r="D158" s="1119"/>
      <c r="E158" s="311">
        <f t="shared" si="34"/>
        <v>1</v>
      </c>
      <c r="F158" s="1119"/>
      <c r="G158" s="311">
        <f t="shared" si="35"/>
        <v>1</v>
      </c>
      <c r="H158" s="1119"/>
      <c r="I158" s="311">
        <f t="shared" si="36"/>
        <v>1</v>
      </c>
      <c r="J158" s="1119"/>
      <c r="K158" s="311">
        <f t="shared" si="37"/>
        <v>1</v>
      </c>
      <c r="L158" s="1119"/>
      <c r="M158" s="311">
        <f t="shared" si="38"/>
        <v>1</v>
      </c>
      <c r="N158" s="1119"/>
      <c r="O158" s="311">
        <f t="shared" si="39"/>
        <v>1</v>
      </c>
      <c r="P158" s="1119"/>
      <c r="Q158" s="311">
        <f t="shared" si="40"/>
        <v>1</v>
      </c>
      <c r="R158" s="1115">
        <f t="shared" si="41"/>
        <v>0</v>
      </c>
      <c r="S158" s="694">
        <f t="shared" si="32"/>
        <v>0</v>
      </c>
    </row>
    <row r="159" spans="1:19">
      <c r="A159" s="487"/>
      <c r="B159" s="346"/>
      <c r="C159" s="311">
        <f t="shared" si="33"/>
        <v>1</v>
      </c>
      <c r="D159" s="1119"/>
      <c r="E159" s="311">
        <f t="shared" si="34"/>
        <v>1</v>
      </c>
      <c r="F159" s="1119"/>
      <c r="G159" s="311">
        <f t="shared" si="35"/>
        <v>1</v>
      </c>
      <c r="H159" s="1119"/>
      <c r="I159" s="311">
        <f t="shared" si="36"/>
        <v>1</v>
      </c>
      <c r="J159" s="1119"/>
      <c r="K159" s="311">
        <f t="shared" si="37"/>
        <v>1</v>
      </c>
      <c r="L159" s="1119"/>
      <c r="M159" s="311">
        <f t="shared" si="38"/>
        <v>1</v>
      </c>
      <c r="N159" s="1119"/>
      <c r="O159" s="311">
        <f t="shared" si="39"/>
        <v>1</v>
      </c>
      <c r="P159" s="1119"/>
      <c r="Q159" s="311">
        <f t="shared" si="40"/>
        <v>1</v>
      </c>
      <c r="R159" s="1115">
        <f t="shared" si="41"/>
        <v>0</v>
      </c>
      <c r="S159" s="694">
        <f t="shared" si="32"/>
        <v>0</v>
      </c>
    </row>
    <row r="160" spans="1:19">
      <c r="A160" s="487"/>
      <c r="B160" s="346"/>
      <c r="C160" s="311">
        <f t="shared" si="33"/>
        <v>1</v>
      </c>
      <c r="D160" s="1119"/>
      <c r="E160" s="311">
        <f t="shared" si="34"/>
        <v>1</v>
      </c>
      <c r="F160" s="1119"/>
      <c r="G160" s="311">
        <f t="shared" si="35"/>
        <v>1</v>
      </c>
      <c r="H160" s="1119"/>
      <c r="I160" s="311">
        <f t="shared" si="36"/>
        <v>1</v>
      </c>
      <c r="J160" s="1119"/>
      <c r="K160" s="311">
        <f t="shared" si="37"/>
        <v>1</v>
      </c>
      <c r="L160" s="1119"/>
      <c r="M160" s="311">
        <f t="shared" si="38"/>
        <v>1</v>
      </c>
      <c r="N160" s="1119"/>
      <c r="O160" s="311">
        <f t="shared" si="39"/>
        <v>1</v>
      </c>
      <c r="P160" s="1119"/>
      <c r="Q160" s="311">
        <f t="shared" si="40"/>
        <v>1</v>
      </c>
      <c r="R160" s="1115">
        <f t="shared" si="41"/>
        <v>0</v>
      </c>
      <c r="S160" s="694">
        <f t="shared" si="32"/>
        <v>0</v>
      </c>
    </row>
    <row r="161" spans="1:19">
      <c r="A161" s="487"/>
      <c r="B161" s="346"/>
      <c r="C161" s="311">
        <f t="shared" si="33"/>
        <v>1</v>
      </c>
      <c r="D161" s="1119"/>
      <c r="E161" s="311">
        <f t="shared" si="34"/>
        <v>1</v>
      </c>
      <c r="F161" s="1119"/>
      <c r="G161" s="311">
        <f t="shared" si="35"/>
        <v>1</v>
      </c>
      <c r="H161" s="1119"/>
      <c r="I161" s="311">
        <f t="shared" si="36"/>
        <v>1</v>
      </c>
      <c r="J161" s="1119"/>
      <c r="K161" s="311">
        <f t="shared" si="37"/>
        <v>1</v>
      </c>
      <c r="L161" s="1119"/>
      <c r="M161" s="311">
        <f t="shared" si="38"/>
        <v>1</v>
      </c>
      <c r="N161" s="1119"/>
      <c r="O161" s="311">
        <f t="shared" si="39"/>
        <v>1</v>
      </c>
      <c r="P161" s="1119"/>
      <c r="Q161" s="311">
        <f t="shared" si="40"/>
        <v>1</v>
      </c>
      <c r="R161" s="1115">
        <f t="shared" si="41"/>
        <v>0</v>
      </c>
      <c r="S161" s="694">
        <f t="shared" si="32"/>
        <v>0</v>
      </c>
    </row>
    <row r="162" spans="1:19">
      <c r="A162" s="487"/>
      <c r="B162" s="346"/>
      <c r="C162" s="311">
        <f t="shared" si="33"/>
        <v>1</v>
      </c>
      <c r="D162" s="1119"/>
      <c r="E162" s="311">
        <f t="shared" si="34"/>
        <v>1</v>
      </c>
      <c r="F162" s="1119"/>
      <c r="G162" s="311">
        <f t="shared" si="35"/>
        <v>1</v>
      </c>
      <c r="H162" s="1119"/>
      <c r="I162" s="311">
        <f t="shared" si="36"/>
        <v>1</v>
      </c>
      <c r="J162" s="1119"/>
      <c r="K162" s="311">
        <f t="shared" si="37"/>
        <v>1</v>
      </c>
      <c r="L162" s="1119"/>
      <c r="M162" s="311">
        <f t="shared" si="38"/>
        <v>1</v>
      </c>
      <c r="N162" s="1119"/>
      <c r="O162" s="311">
        <f t="shared" si="39"/>
        <v>1</v>
      </c>
      <c r="P162" s="1119"/>
      <c r="Q162" s="311">
        <f t="shared" si="40"/>
        <v>1</v>
      </c>
      <c r="R162" s="1115">
        <f t="shared" si="41"/>
        <v>0</v>
      </c>
      <c r="S162" s="694">
        <f t="shared" si="32"/>
        <v>0</v>
      </c>
    </row>
    <row r="163" spans="1:19">
      <c r="A163" s="487"/>
      <c r="B163" s="346"/>
      <c r="C163" s="311">
        <f t="shared" si="33"/>
        <v>1</v>
      </c>
      <c r="D163" s="1119"/>
      <c r="E163" s="311">
        <f t="shared" si="34"/>
        <v>1</v>
      </c>
      <c r="F163" s="1119"/>
      <c r="G163" s="311">
        <f t="shared" si="35"/>
        <v>1</v>
      </c>
      <c r="H163" s="1119"/>
      <c r="I163" s="311">
        <f t="shared" si="36"/>
        <v>1</v>
      </c>
      <c r="J163" s="1119"/>
      <c r="K163" s="311">
        <f t="shared" si="37"/>
        <v>1</v>
      </c>
      <c r="L163" s="1119"/>
      <c r="M163" s="311">
        <f t="shared" si="38"/>
        <v>1</v>
      </c>
      <c r="N163" s="1119"/>
      <c r="O163" s="311">
        <f t="shared" si="39"/>
        <v>1</v>
      </c>
      <c r="P163" s="1119"/>
      <c r="Q163" s="311">
        <f t="shared" si="40"/>
        <v>1</v>
      </c>
      <c r="R163" s="1115">
        <f t="shared" si="41"/>
        <v>0</v>
      </c>
      <c r="S163" s="694">
        <f t="shared" si="32"/>
        <v>0</v>
      </c>
    </row>
    <row r="164" spans="1:19">
      <c r="A164" s="487"/>
      <c r="B164" s="346"/>
      <c r="C164" s="311">
        <f t="shared" si="33"/>
        <v>1</v>
      </c>
      <c r="D164" s="1119"/>
      <c r="E164" s="311">
        <f t="shared" si="34"/>
        <v>1</v>
      </c>
      <c r="F164" s="1119"/>
      <c r="G164" s="311">
        <f t="shared" si="35"/>
        <v>1</v>
      </c>
      <c r="H164" s="1119"/>
      <c r="I164" s="311">
        <f t="shared" si="36"/>
        <v>1</v>
      </c>
      <c r="J164" s="1119"/>
      <c r="K164" s="311">
        <f t="shared" si="37"/>
        <v>1</v>
      </c>
      <c r="L164" s="1119"/>
      <c r="M164" s="311">
        <f t="shared" si="38"/>
        <v>1</v>
      </c>
      <c r="N164" s="1119"/>
      <c r="O164" s="311">
        <f t="shared" si="39"/>
        <v>1</v>
      </c>
      <c r="P164" s="1119"/>
      <c r="Q164" s="311">
        <f t="shared" si="40"/>
        <v>1</v>
      </c>
      <c r="R164" s="1115">
        <f t="shared" si="41"/>
        <v>0</v>
      </c>
      <c r="S164" s="694">
        <f t="shared" si="32"/>
        <v>0</v>
      </c>
    </row>
    <row r="165" spans="1:19">
      <c r="A165" s="487"/>
      <c r="B165" s="346"/>
      <c r="C165" s="311">
        <f t="shared" si="33"/>
        <v>1</v>
      </c>
      <c r="D165" s="1119"/>
      <c r="E165" s="311">
        <f t="shared" si="34"/>
        <v>1</v>
      </c>
      <c r="F165" s="1119"/>
      <c r="G165" s="311">
        <f t="shared" si="35"/>
        <v>1</v>
      </c>
      <c r="H165" s="1119"/>
      <c r="I165" s="311">
        <f t="shared" si="36"/>
        <v>1</v>
      </c>
      <c r="J165" s="1119"/>
      <c r="K165" s="311">
        <f t="shared" si="37"/>
        <v>1</v>
      </c>
      <c r="L165" s="1119"/>
      <c r="M165" s="311">
        <f t="shared" si="38"/>
        <v>1</v>
      </c>
      <c r="N165" s="1119"/>
      <c r="O165" s="311">
        <f t="shared" si="39"/>
        <v>1</v>
      </c>
      <c r="P165" s="1119"/>
      <c r="Q165" s="311">
        <f t="shared" si="40"/>
        <v>1</v>
      </c>
      <c r="R165" s="1115">
        <f t="shared" si="41"/>
        <v>0</v>
      </c>
      <c r="S165" s="694">
        <f t="shared" si="32"/>
        <v>0</v>
      </c>
    </row>
    <row r="166" spans="1:19">
      <c r="A166" s="487"/>
      <c r="B166" s="346"/>
      <c r="C166" s="311">
        <f t="shared" si="33"/>
        <v>1</v>
      </c>
      <c r="D166" s="1119"/>
      <c r="E166" s="311">
        <f t="shared" si="34"/>
        <v>1</v>
      </c>
      <c r="F166" s="1119"/>
      <c r="G166" s="311">
        <f t="shared" si="35"/>
        <v>1</v>
      </c>
      <c r="H166" s="1119"/>
      <c r="I166" s="311">
        <f t="shared" si="36"/>
        <v>1</v>
      </c>
      <c r="J166" s="1119"/>
      <c r="K166" s="311">
        <f t="shared" si="37"/>
        <v>1</v>
      </c>
      <c r="L166" s="1119"/>
      <c r="M166" s="311">
        <f t="shared" si="38"/>
        <v>1</v>
      </c>
      <c r="N166" s="1119"/>
      <c r="O166" s="311">
        <f t="shared" si="39"/>
        <v>1</v>
      </c>
      <c r="P166" s="1119"/>
      <c r="Q166" s="311">
        <f t="shared" si="40"/>
        <v>1</v>
      </c>
      <c r="R166" s="1115">
        <f t="shared" si="41"/>
        <v>0</v>
      </c>
      <c r="S166" s="694">
        <f t="shared" si="32"/>
        <v>0</v>
      </c>
    </row>
    <row r="167" spans="1:19">
      <c r="A167" s="487"/>
      <c r="B167" s="346"/>
      <c r="C167" s="311">
        <f t="shared" si="33"/>
        <v>1</v>
      </c>
      <c r="D167" s="1119"/>
      <c r="E167" s="311">
        <f t="shared" si="34"/>
        <v>1</v>
      </c>
      <c r="F167" s="1119"/>
      <c r="G167" s="311">
        <f t="shared" si="35"/>
        <v>1</v>
      </c>
      <c r="H167" s="1119"/>
      <c r="I167" s="311">
        <f t="shared" si="36"/>
        <v>1</v>
      </c>
      <c r="J167" s="1119"/>
      <c r="K167" s="311">
        <f t="shared" si="37"/>
        <v>1</v>
      </c>
      <c r="L167" s="1119"/>
      <c r="M167" s="311">
        <f t="shared" si="38"/>
        <v>1</v>
      </c>
      <c r="N167" s="1119"/>
      <c r="O167" s="311">
        <f t="shared" si="39"/>
        <v>1</v>
      </c>
      <c r="P167" s="1119"/>
      <c r="Q167" s="311">
        <f t="shared" si="40"/>
        <v>1</v>
      </c>
      <c r="R167" s="1115">
        <f t="shared" si="41"/>
        <v>0</v>
      </c>
      <c r="S167" s="694">
        <f t="shared" si="32"/>
        <v>0</v>
      </c>
    </row>
    <row r="168" spans="1:19">
      <c r="A168" s="487"/>
      <c r="B168" s="346"/>
      <c r="C168" s="311">
        <f t="shared" si="33"/>
        <v>1</v>
      </c>
      <c r="D168" s="1119"/>
      <c r="E168" s="311">
        <f t="shared" si="34"/>
        <v>1</v>
      </c>
      <c r="F168" s="1119"/>
      <c r="G168" s="311">
        <f t="shared" si="35"/>
        <v>1</v>
      </c>
      <c r="H168" s="1119"/>
      <c r="I168" s="311">
        <f t="shared" si="36"/>
        <v>1</v>
      </c>
      <c r="J168" s="1119"/>
      <c r="K168" s="311">
        <f t="shared" si="37"/>
        <v>1</v>
      </c>
      <c r="L168" s="1119"/>
      <c r="M168" s="311">
        <f t="shared" si="38"/>
        <v>1</v>
      </c>
      <c r="N168" s="1119"/>
      <c r="O168" s="311">
        <f t="shared" si="39"/>
        <v>1</v>
      </c>
      <c r="P168" s="1119"/>
      <c r="Q168" s="311">
        <f t="shared" si="40"/>
        <v>1</v>
      </c>
      <c r="R168" s="1115">
        <f t="shared" si="41"/>
        <v>0</v>
      </c>
      <c r="S168" s="694">
        <f t="shared" si="32"/>
        <v>0</v>
      </c>
    </row>
    <row r="169" spans="1:19">
      <c r="A169" s="487"/>
      <c r="B169" s="346"/>
      <c r="C169" s="311">
        <f t="shared" si="33"/>
        <v>1</v>
      </c>
      <c r="D169" s="1119"/>
      <c r="E169" s="311">
        <f t="shared" si="34"/>
        <v>1</v>
      </c>
      <c r="F169" s="1119"/>
      <c r="G169" s="311">
        <f t="shared" si="35"/>
        <v>1</v>
      </c>
      <c r="H169" s="1119"/>
      <c r="I169" s="311">
        <f t="shared" si="36"/>
        <v>1</v>
      </c>
      <c r="J169" s="1119"/>
      <c r="K169" s="311">
        <f t="shared" si="37"/>
        <v>1</v>
      </c>
      <c r="L169" s="1119"/>
      <c r="M169" s="311">
        <f t="shared" si="38"/>
        <v>1</v>
      </c>
      <c r="N169" s="1119"/>
      <c r="O169" s="311">
        <f t="shared" si="39"/>
        <v>1</v>
      </c>
      <c r="P169" s="1119"/>
      <c r="Q169" s="311">
        <f t="shared" si="40"/>
        <v>1</v>
      </c>
      <c r="R169" s="1115">
        <f t="shared" si="41"/>
        <v>0</v>
      </c>
      <c r="S169" s="694">
        <f t="shared" si="32"/>
        <v>0</v>
      </c>
    </row>
    <row r="170" spans="1:19">
      <c r="A170" s="487"/>
      <c r="B170" s="346"/>
      <c r="C170" s="311">
        <f t="shared" si="33"/>
        <v>1</v>
      </c>
      <c r="D170" s="1119"/>
      <c r="E170" s="311">
        <f t="shared" si="34"/>
        <v>1</v>
      </c>
      <c r="F170" s="1119"/>
      <c r="G170" s="311">
        <f t="shared" si="35"/>
        <v>1</v>
      </c>
      <c r="H170" s="1119"/>
      <c r="I170" s="311">
        <f t="shared" si="36"/>
        <v>1</v>
      </c>
      <c r="J170" s="1119"/>
      <c r="K170" s="311">
        <f t="shared" si="37"/>
        <v>1</v>
      </c>
      <c r="L170" s="1119"/>
      <c r="M170" s="311">
        <f t="shared" si="38"/>
        <v>1</v>
      </c>
      <c r="N170" s="1119"/>
      <c r="O170" s="311">
        <f t="shared" si="39"/>
        <v>1</v>
      </c>
      <c r="P170" s="1119"/>
      <c r="Q170" s="311">
        <f t="shared" si="40"/>
        <v>1</v>
      </c>
      <c r="R170" s="1115">
        <f t="shared" si="41"/>
        <v>0</v>
      </c>
      <c r="S170" s="694">
        <f t="shared" si="32"/>
        <v>0</v>
      </c>
    </row>
    <row r="171" spans="1:19">
      <c r="A171" s="487"/>
      <c r="B171" s="346"/>
      <c r="C171" s="311">
        <f t="shared" si="33"/>
        <v>1</v>
      </c>
      <c r="D171" s="1119"/>
      <c r="E171" s="311">
        <f t="shared" si="34"/>
        <v>1</v>
      </c>
      <c r="F171" s="1119"/>
      <c r="G171" s="311">
        <f t="shared" si="35"/>
        <v>1</v>
      </c>
      <c r="H171" s="1119"/>
      <c r="I171" s="311">
        <f t="shared" si="36"/>
        <v>1</v>
      </c>
      <c r="J171" s="1119"/>
      <c r="K171" s="311">
        <f t="shared" si="37"/>
        <v>1</v>
      </c>
      <c r="L171" s="1119"/>
      <c r="M171" s="311">
        <f t="shared" si="38"/>
        <v>1</v>
      </c>
      <c r="N171" s="1119"/>
      <c r="O171" s="311">
        <f t="shared" si="39"/>
        <v>1</v>
      </c>
      <c r="P171" s="1119"/>
      <c r="Q171" s="311">
        <f t="shared" si="40"/>
        <v>1</v>
      </c>
      <c r="R171" s="1115">
        <f t="shared" si="41"/>
        <v>0</v>
      </c>
      <c r="S171" s="694">
        <f t="shared" si="32"/>
        <v>0</v>
      </c>
    </row>
    <row r="172" spans="1:19">
      <c r="A172" s="487"/>
      <c r="B172" s="346"/>
      <c r="C172" s="311">
        <f t="shared" si="33"/>
        <v>1</v>
      </c>
      <c r="D172" s="1119"/>
      <c r="E172" s="311">
        <f t="shared" si="34"/>
        <v>1</v>
      </c>
      <c r="F172" s="1119"/>
      <c r="G172" s="311">
        <f t="shared" si="35"/>
        <v>1</v>
      </c>
      <c r="H172" s="1119"/>
      <c r="I172" s="311">
        <f t="shared" si="36"/>
        <v>1</v>
      </c>
      <c r="J172" s="1119"/>
      <c r="K172" s="311">
        <f t="shared" si="37"/>
        <v>1</v>
      </c>
      <c r="L172" s="1119"/>
      <c r="M172" s="311">
        <f t="shared" si="38"/>
        <v>1</v>
      </c>
      <c r="N172" s="1119"/>
      <c r="O172" s="311">
        <f t="shared" si="39"/>
        <v>1</v>
      </c>
      <c r="P172" s="1119"/>
      <c r="Q172" s="311">
        <f t="shared" si="40"/>
        <v>1</v>
      </c>
      <c r="R172" s="1115">
        <f t="shared" si="41"/>
        <v>0</v>
      </c>
      <c r="S172" s="694">
        <f t="shared" si="32"/>
        <v>0</v>
      </c>
    </row>
    <row r="173" spans="1:19">
      <c r="A173" s="487"/>
      <c r="B173" s="346"/>
      <c r="C173" s="311">
        <f t="shared" si="33"/>
        <v>1</v>
      </c>
      <c r="D173" s="1119"/>
      <c r="E173" s="311">
        <f t="shared" si="34"/>
        <v>1</v>
      </c>
      <c r="F173" s="1119"/>
      <c r="G173" s="311">
        <f t="shared" si="35"/>
        <v>1</v>
      </c>
      <c r="H173" s="1119"/>
      <c r="I173" s="311">
        <f t="shared" si="36"/>
        <v>1</v>
      </c>
      <c r="J173" s="1119"/>
      <c r="K173" s="311">
        <f t="shared" si="37"/>
        <v>1</v>
      </c>
      <c r="L173" s="1119"/>
      <c r="M173" s="311">
        <f t="shared" si="38"/>
        <v>1</v>
      </c>
      <c r="N173" s="1119"/>
      <c r="O173" s="311">
        <f t="shared" si="39"/>
        <v>1</v>
      </c>
      <c r="P173" s="1119"/>
      <c r="Q173" s="311">
        <f t="shared" si="40"/>
        <v>1</v>
      </c>
      <c r="R173" s="1115">
        <f t="shared" si="41"/>
        <v>0</v>
      </c>
      <c r="S173" s="694">
        <f t="shared" si="32"/>
        <v>0</v>
      </c>
    </row>
    <row r="174" spans="1:19">
      <c r="A174" s="487"/>
      <c r="B174" s="346"/>
      <c r="C174" s="311">
        <f t="shared" si="33"/>
        <v>1</v>
      </c>
      <c r="D174" s="1119"/>
      <c r="E174" s="311">
        <f t="shared" si="34"/>
        <v>1</v>
      </c>
      <c r="F174" s="1119"/>
      <c r="G174" s="311">
        <f t="shared" si="35"/>
        <v>1</v>
      </c>
      <c r="H174" s="1119"/>
      <c r="I174" s="311">
        <f t="shared" si="36"/>
        <v>1</v>
      </c>
      <c r="J174" s="1119"/>
      <c r="K174" s="311">
        <f t="shared" si="37"/>
        <v>1</v>
      </c>
      <c r="L174" s="1119"/>
      <c r="M174" s="311">
        <f t="shared" si="38"/>
        <v>1</v>
      </c>
      <c r="N174" s="1119"/>
      <c r="O174" s="311">
        <f t="shared" si="39"/>
        <v>1</v>
      </c>
      <c r="P174" s="1119"/>
      <c r="Q174" s="311">
        <f t="shared" si="40"/>
        <v>1</v>
      </c>
      <c r="R174" s="1115">
        <f t="shared" si="41"/>
        <v>0</v>
      </c>
      <c r="S174" s="694">
        <f t="shared" si="32"/>
        <v>0</v>
      </c>
    </row>
    <row r="175" spans="1:19">
      <c r="A175" s="487"/>
      <c r="B175" s="346"/>
      <c r="C175" s="311">
        <f t="shared" si="33"/>
        <v>1</v>
      </c>
      <c r="D175" s="1119"/>
      <c r="E175" s="311">
        <f t="shared" si="34"/>
        <v>1</v>
      </c>
      <c r="F175" s="1119"/>
      <c r="G175" s="311">
        <f t="shared" si="35"/>
        <v>1</v>
      </c>
      <c r="H175" s="1119"/>
      <c r="I175" s="311">
        <f t="shared" si="36"/>
        <v>1</v>
      </c>
      <c r="J175" s="1119"/>
      <c r="K175" s="311">
        <f t="shared" si="37"/>
        <v>1</v>
      </c>
      <c r="L175" s="1119"/>
      <c r="M175" s="311">
        <f t="shared" si="38"/>
        <v>1</v>
      </c>
      <c r="N175" s="1119"/>
      <c r="O175" s="311">
        <f t="shared" si="39"/>
        <v>1</v>
      </c>
      <c r="P175" s="1119"/>
      <c r="Q175" s="311">
        <f t="shared" si="40"/>
        <v>1</v>
      </c>
      <c r="R175" s="1115">
        <f t="shared" si="41"/>
        <v>0</v>
      </c>
      <c r="S175" s="694">
        <f t="shared" si="32"/>
        <v>0</v>
      </c>
    </row>
    <row r="176" spans="1:19">
      <c r="A176" s="487"/>
      <c r="B176" s="346"/>
      <c r="C176" s="311">
        <f t="shared" si="33"/>
        <v>1</v>
      </c>
      <c r="D176" s="1119"/>
      <c r="E176" s="311">
        <f t="shared" si="34"/>
        <v>1</v>
      </c>
      <c r="F176" s="1119"/>
      <c r="G176" s="311">
        <f t="shared" si="35"/>
        <v>1</v>
      </c>
      <c r="H176" s="1119"/>
      <c r="I176" s="311">
        <f t="shared" si="36"/>
        <v>1</v>
      </c>
      <c r="J176" s="1119"/>
      <c r="K176" s="311">
        <f t="shared" si="37"/>
        <v>1</v>
      </c>
      <c r="L176" s="1119"/>
      <c r="M176" s="311">
        <f t="shared" si="38"/>
        <v>1</v>
      </c>
      <c r="N176" s="1119"/>
      <c r="O176" s="311">
        <f t="shared" si="39"/>
        <v>1</v>
      </c>
      <c r="P176" s="1119"/>
      <c r="Q176" s="311">
        <f t="shared" si="40"/>
        <v>1</v>
      </c>
      <c r="R176" s="1115">
        <f t="shared" si="41"/>
        <v>0</v>
      </c>
      <c r="S176" s="694">
        <f t="shared" si="32"/>
        <v>0</v>
      </c>
    </row>
    <row r="177" spans="1:19">
      <c r="A177" s="487"/>
      <c r="B177" s="346"/>
      <c r="C177" s="311">
        <f t="shared" si="33"/>
        <v>1</v>
      </c>
      <c r="D177" s="1119"/>
      <c r="E177" s="311">
        <f t="shared" si="34"/>
        <v>1</v>
      </c>
      <c r="F177" s="1119"/>
      <c r="G177" s="311">
        <f t="shared" si="35"/>
        <v>1</v>
      </c>
      <c r="H177" s="1119"/>
      <c r="I177" s="311">
        <f t="shared" si="36"/>
        <v>1</v>
      </c>
      <c r="J177" s="1119"/>
      <c r="K177" s="311">
        <f t="shared" si="37"/>
        <v>1</v>
      </c>
      <c r="L177" s="1119"/>
      <c r="M177" s="311">
        <f t="shared" si="38"/>
        <v>1</v>
      </c>
      <c r="N177" s="1119"/>
      <c r="O177" s="311">
        <f t="shared" si="39"/>
        <v>1</v>
      </c>
      <c r="P177" s="1119"/>
      <c r="Q177" s="311">
        <f t="shared" si="40"/>
        <v>1</v>
      </c>
      <c r="R177" s="1115">
        <f t="shared" si="41"/>
        <v>0</v>
      </c>
      <c r="S177" s="694">
        <f t="shared" si="32"/>
        <v>0</v>
      </c>
    </row>
    <row r="178" spans="1:19">
      <c r="A178" s="487"/>
      <c r="B178" s="346"/>
      <c r="C178" s="311">
        <f t="shared" si="33"/>
        <v>1</v>
      </c>
      <c r="D178" s="1119"/>
      <c r="E178" s="311">
        <f t="shared" si="34"/>
        <v>1</v>
      </c>
      <c r="F178" s="1119"/>
      <c r="G178" s="311">
        <f t="shared" si="35"/>
        <v>1</v>
      </c>
      <c r="H178" s="1119"/>
      <c r="I178" s="311">
        <f t="shared" si="36"/>
        <v>1</v>
      </c>
      <c r="J178" s="1119"/>
      <c r="K178" s="311">
        <f t="shared" si="37"/>
        <v>1</v>
      </c>
      <c r="L178" s="1119"/>
      <c r="M178" s="311">
        <f t="shared" si="38"/>
        <v>1</v>
      </c>
      <c r="N178" s="1119"/>
      <c r="O178" s="311">
        <f t="shared" si="39"/>
        <v>1</v>
      </c>
      <c r="P178" s="1119"/>
      <c r="Q178" s="311">
        <f t="shared" si="40"/>
        <v>1</v>
      </c>
      <c r="R178" s="1115">
        <f t="shared" si="41"/>
        <v>0</v>
      </c>
      <c r="S178" s="694">
        <f t="shared" si="32"/>
        <v>0</v>
      </c>
    </row>
    <row r="179" spans="1:19">
      <c r="A179" s="487"/>
      <c r="B179" s="346"/>
      <c r="C179" s="311">
        <f t="shared" si="33"/>
        <v>1</v>
      </c>
      <c r="D179" s="1119"/>
      <c r="E179" s="311">
        <f t="shared" si="34"/>
        <v>1</v>
      </c>
      <c r="F179" s="1119"/>
      <c r="G179" s="311">
        <f t="shared" si="35"/>
        <v>1</v>
      </c>
      <c r="H179" s="1119"/>
      <c r="I179" s="311">
        <f t="shared" si="36"/>
        <v>1</v>
      </c>
      <c r="J179" s="1119"/>
      <c r="K179" s="311">
        <f t="shared" si="37"/>
        <v>1</v>
      </c>
      <c r="L179" s="1119"/>
      <c r="M179" s="311">
        <f t="shared" si="38"/>
        <v>1</v>
      </c>
      <c r="N179" s="1119"/>
      <c r="O179" s="311">
        <f t="shared" si="39"/>
        <v>1</v>
      </c>
      <c r="P179" s="1119"/>
      <c r="Q179" s="311">
        <f t="shared" si="40"/>
        <v>1</v>
      </c>
      <c r="R179" s="1115">
        <f t="shared" si="41"/>
        <v>0</v>
      </c>
      <c r="S179" s="694">
        <f t="shared" si="32"/>
        <v>0</v>
      </c>
    </row>
    <row r="180" spans="1:19">
      <c r="A180" s="487"/>
      <c r="B180" s="346"/>
      <c r="C180" s="311">
        <f t="shared" si="33"/>
        <v>1</v>
      </c>
      <c r="D180" s="1119"/>
      <c r="E180" s="311">
        <f t="shared" si="34"/>
        <v>1</v>
      </c>
      <c r="F180" s="1119"/>
      <c r="G180" s="311">
        <f t="shared" si="35"/>
        <v>1</v>
      </c>
      <c r="H180" s="1119"/>
      <c r="I180" s="311">
        <f t="shared" si="36"/>
        <v>1</v>
      </c>
      <c r="J180" s="1119"/>
      <c r="K180" s="311">
        <f t="shared" si="37"/>
        <v>1</v>
      </c>
      <c r="L180" s="1119"/>
      <c r="M180" s="311">
        <f t="shared" si="38"/>
        <v>1</v>
      </c>
      <c r="N180" s="1119"/>
      <c r="O180" s="311">
        <f t="shared" si="39"/>
        <v>1</v>
      </c>
      <c r="P180" s="1119"/>
      <c r="Q180" s="311">
        <f t="shared" si="40"/>
        <v>1</v>
      </c>
      <c r="R180" s="1115">
        <f t="shared" si="41"/>
        <v>0</v>
      </c>
      <c r="S180" s="694">
        <f t="shared" si="32"/>
        <v>0</v>
      </c>
    </row>
    <row r="181" spans="1:19">
      <c r="A181" s="487"/>
      <c r="B181" s="346"/>
      <c r="C181" s="311">
        <f t="shared" si="33"/>
        <v>1</v>
      </c>
      <c r="D181" s="1119"/>
      <c r="E181" s="311">
        <f t="shared" si="34"/>
        <v>1</v>
      </c>
      <c r="F181" s="1119"/>
      <c r="G181" s="311">
        <f t="shared" si="35"/>
        <v>1</v>
      </c>
      <c r="H181" s="1119"/>
      <c r="I181" s="311">
        <f t="shared" si="36"/>
        <v>1</v>
      </c>
      <c r="J181" s="1119"/>
      <c r="K181" s="311">
        <f t="shared" si="37"/>
        <v>1</v>
      </c>
      <c r="L181" s="1119"/>
      <c r="M181" s="311">
        <f t="shared" si="38"/>
        <v>1</v>
      </c>
      <c r="N181" s="1119"/>
      <c r="O181" s="311">
        <f t="shared" si="39"/>
        <v>1</v>
      </c>
      <c r="P181" s="1119"/>
      <c r="Q181" s="311">
        <f t="shared" si="40"/>
        <v>1</v>
      </c>
      <c r="R181" s="1115">
        <f t="shared" si="41"/>
        <v>0</v>
      </c>
      <c r="S181" s="694">
        <f t="shared" si="32"/>
        <v>0</v>
      </c>
    </row>
    <row r="182" spans="1:19">
      <c r="A182" s="487"/>
      <c r="B182" s="346"/>
      <c r="C182" s="311">
        <f t="shared" si="33"/>
        <v>1</v>
      </c>
      <c r="D182" s="1119"/>
      <c r="E182" s="311">
        <f t="shared" si="34"/>
        <v>1</v>
      </c>
      <c r="F182" s="1119"/>
      <c r="G182" s="311">
        <f t="shared" si="35"/>
        <v>1</v>
      </c>
      <c r="H182" s="1119"/>
      <c r="I182" s="311">
        <f t="shared" si="36"/>
        <v>1</v>
      </c>
      <c r="J182" s="1119"/>
      <c r="K182" s="311">
        <f t="shared" si="37"/>
        <v>1</v>
      </c>
      <c r="L182" s="1119"/>
      <c r="M182" s="311">
        <f t="shared" si="38"/>
        <v>1</v>
      </c>
      <c r="N182" s="1119"/>
      <c r="O182" s="311">
        <f t="shared" si="39"/>
        <v>1</v>
      </c>
      <c r="P182" s="1119"/>
      <c r="Q182" s="311">
        <f t="shared" si="40"/>
        <v>1</v>
      </c>
      <c r="R182" s="1115">
        <f t="shared" si="41"/>
        <v>0</v>
      </c>
      <c r="S182" s="694">
        <f t="shared" si="32"/>
        <v>0</v>
      </c>
    </row>
    <row r="183" spans="1:19">
      <c r="A183" s="487"/>
      <c r="B183" s="346"/>
      <c r="C183" s="311">
        <f t="shared" si="33"/>
        <v>1</v>
      </c>
      <c r="D183" s="1119"/>
      <c r="E183" s="311">
        <f t="shared" si="34"/>
        <v>1</v>
      </c>
      <c r="F183" s="1119"/>
      <c r="G183" s="311">
        <f t="shared" si="35"/>
        <v>1</v>
      </c>
      <c r="H183" s="1119"/>
      <c r="I183" s="311">
        <f t="shared" si="36"/>
        <v>1</v>
      </c>
      <c r="J183" s="1119"/>
      <c r="K183" s="311">
        <f t="shared" si="37"/>
        <v>1</v>
      </c>
      <c r="L183" s="1119"/>
      <c r="M183" s="311">
        <f t="shared" si="38"/>
        <v>1</v>
      </c>
      <c r="N183" s="1119"/>
      <c r="O183" s="311">
        <f t="shared" si="39"/>
        <v>1</v>
      </c>
      <c r="P183" s="1119"/>
      <c r="Q183" s="311">
        <f t="shared" si="40"/>
        <v>1</v>
      </c>
      <c r="R183" s="1115">
        <f t="shared" si="41"/>
        <v>0</v>
      </c>
      <c r="S183" s="694">
        <f t="shared" si="32"/>
        <v>0</v>
      </c>
    </row>
    <row r="184" spans="1:19">
      <c r="A184" s="487"/>
      <c r="B184" s="346"/>
      <c r="C184" s="311">
        <f t="shared" si="33"/>
        <v>1</v>
      </c>
      <c r="D184" s="1119"/>
      <c r="E184" s="311">
        <f t="shared" si="34"/>
        <v>1</v>
      </c>
      <c r="F184" s="1119"/>
      <c r="G184" s="311">
        <f t="shared" si="35"/>
        <v>1</v>
      </c>
      <c r="H184" s="1119"/>
      <c r="I184" s="311">
        <f t="shared" si="36"/>
        <v>1</v>
      </c>
      <c r="J184" s="1119"/>
      <c r="K184" s="311">
        <f t="shared" si="37"/>
        <v>1</v>
      </c>
      <c r="L184" s="1119"/>
      <c r="M184" s="311">
        <f t="shared" si="38"/>
        <v>1</v>
      </c>
      <c r="N184" s="1119"/>
      <c r="O184" s="311">
        <f t="shared" si="39"/>
        <v>1</v>
      </c>
      <c r="P184" s="1119"/>
      <c r="Q184" s="311">
        <f t="shared" si="40"/>
        <v>1</v>
      </c>
      <c r="R184" s="1115">
        <f t="shared" si="41"/>
        <v>0</v>
      </c>
      <c r="S184" s="694">
        <f t="shared" si="32"/>
        <v>0</v>
      </c>
    </row>
    <row r="185" spans="1:19">
      <c r="A185" s="487"/>
      <c r="B185" s="346"/>
      <c r="C185" s="311">
        <f t="shared" si="33"/>
        <v>1</v>
      </c>
      <c r="D185" s="1119"/>
      <c r="E185" s="311">
        <f t="shared" si="34"/>
        <v>1</v>
      </c>
      <c r="F185" s="1119"/>
      <c r="G185" s="311">
        <f t="shared" si="35"/>
        <v>1</v>
      </c>
      <c r="H185" s="1119"/>
      <c r="I185" s="311">
        <f t="shared" si="36"/>
        <v>1</v>
      </c>
      <c r="J185" s="1119"/>
      <c r="K185" s="311">
        <f t="shared" si="37"/>
        <v>1</v>
      </c>
      <c r="L185" s="1119"/>
      <c r="M185" s="311">
        <f t="shared" si="38"/>
        <v>1</v>
      </c>
      <c r="N185" s="1119"/>
      <c r="O185" s="311">
        <f t="shared" si="39"/>
        <v>1</v>
      </c>
      <c r="P185" s="1119"/>
      <c r="Q185" s="311">
        <f t="shared" si="40"/>
        <v>1</v>
      </c>
      <c r="R185" s="1115">
        <f t="shared" si="41"/>
        <v>0</v>
      </c>
      <c r="S185" s="694">
        <f t="shared" si="32"/>
        <v>0</v>
      </c>
    </row>
    <row r="186" spans="1:19">
      <c r="A186" s="487"/>
      <c r="B186" s="346"/>
      <c r="C186" s="311">
        <f t="shared" si="33"/>
        <v>1</v>
      </c>
      <c r="D186" s="1119"/>
      <c r="E186" s="311">
        <f t="shared" si="34"/>
        <v>1</v>
      </c>
      <c r="F186" s="1119"/>
      <c r="G186" s="311">
        <f t="shared" si="35"/>
        <v>1</v>
      </c>
      <c r="H186" s="1119"/>
      <c r="I186" s="311">
        <f t="shared" si="36"/>
        <v>1</v>
      </c>
      <c r="J186" s="1119"/>
      <c r="K186" s="311">
        <f t="shared" si="37"/>
        <v>1</v>
      </c>
      <c r="L186" s="1119"/>
      <c r="M186" s="311">
        <f t="shared" si="38"/>
        <v>1</v>
      </c>
      <c r="N186" s="1119"/>
      <c r="O186" s="311">
        <f t="shared" si="39"/>
        <v>1</v>
      </c>
      <c r="P186" s="1119"/>
      <c r="Q186" s="311">
        <f t="shared" si="40"/>
        <v>1</v>
      </c>
      <c r="R186" s="1115">
        <f t="shared" si="41"/>
        <v>0</v>
      </c>
      <c r="S186" s="694">
        <f t="shared" si="32"/>
        <v>0</v>
      </c>
    </row>
    <row r="187" spans="1:19">
      <c r="A187" s="487"/>
      <c r="B187" s="346"/>
      <c r="C187" s="311">
        <f t="shared" si="33"/>
        <v>1</v>
      </c>
      <c r="D187" s="1119"/>
      <c r="E187" s="311">
        <f t="shared" si="34"/>
        <v>1</v>
      </c>
      <c r="F187" s="1119"/>
      <c r="G187" s="311">
        <f t="shared" si="35"/>
        <v>1</v>
      </c>
      <c r="H187" s="1119"/>
      <c r="I187" s="311">
        <f t="shared" si="36"/>
        <v>1</v>
      </c>
      <c r="J187" s="1119"/>
      <c r="K187" s="311">
        <f t="shared" si="37"/>
        <v>1</v>
      </c>
      <c r="L187" s="1119"/>
      <c r="M187" s="311">
        <f t="shared" si="38"/>
        <v>1</v>
      </c>
      <c r="N187" s="1119"/>
      <c r="O187" s="311">
        <f t="shared" si="39"/>
        <v>1</v>
      </c>
      <c r="P187" s="1119"/>
      <c r="Q187" s="311">
        <f t="shared" si="40"/>
        <v>1</v>
      </c>
      <c r="R187" s="1115">
        <f t="shared" si="41"/>
        <v>0</v>
      </c>
      <c r="S187" s="694">
        <f t="shared" ref="S187:S222" si="42">ROUND(R187*B187/10000,0)</f>
        <v>0</v>
      </c>
    </row>
    <row r="188" spans="1:19">
      <c r="A188" s="487"/>
      <c r="B188" s="346"/>
      <c r="C188" s="311">
        <f t="shared" si="33"/>
        <v>1</v>
      </c>
      <c r="D188" s="1119"/>
      <c r="E188" s="311">
        <f t="shared" si="34"/>
        <v>1</v>
      </c>
      <c r="F188" s="1119"/>
      <c r="G188" s="311">
        <f t="shared" si="35"/>
        <v>1</v>
      </c>
      <c r="H188" s="1119"/>
      <c r="I188" s="311">
        <f t="shared" si="36"/>
        <v>1</v>
      </c>
      <c r="J188" s="1119"/>
      <c r="K188" s="311">
        <f t="shared" si="37"/>
        <v>1</v>
      </c>
      <c r="L188" s="1119"/>
      <c r="M188" s="311">
        <f t="shared" si="38"/>
        <v>1</v>
      </c>
      <c r="N188" s="1119"/>
      <c r="O188" s="311">
        <f t="shared" si="39"/>
        <v>1</v>
      </c>
      <c r="P188" s="1119"/>
      <c r="Q188" s="311">
        <f t="shared" si="40"/>
        <v>1</v>
      </c>
      <c r="R188" s="1115">
        <f t="shared" si="41"/>
        <v>0</v>
      </c>
      <c r="S188" s="694">
        <f t="shared" si="42"/>
        <v>0</v>
      </c>
    </row>
    <row r="189" spans="1:19">
      <c r="A189" s="487"/>
      <c r="B189" s="346"/>
      <c r="C189" s="311">
        <f t="shared" si="33"/>
        <v>1</v>
      </c>
      <c r="D189" s="1119"/>
      <c r="E189" s="311">
        <f t="shared" si="34"/>
        <v>1</v>
      </c>
      <c r="F189" s="1119"/>
      <c r="G189" s="311">
        <f t="shared" si="35"/>
        <v>1</v>
      </c>
      <c r="H189" s="1119"/>
      <c r="I189" s="311">
        <f t="shared" si="36"/>
        <v>1</v>
      </c>
      <c r="J189" s="1119"/>
      <c r="K189" s="311">
        <f t="shared" si="37"/>
        <v>1</v>
      </c>
      <c r="L189" s="1119"/>
      <c r="M189" s="311">
        <f t="shared" si="38"/>
        <v>1</v>
      </c>
      <c r="N189" s="1119"/>
      <c r="O189" s="311">
        <f t="shared" si="39"/>
        <v>1</v>
      </c>
      <c r="P189" s="1119"/>
      <c r="Q189" s="311">
        <f t="shared" si="40"/>
        <v>1</v>
      </c>
      <c r="R189" s="1115">
        <f t="shared" si="41"/>
        <v>0</v>
      </c>
      <c r="S189" s="694">
        <f t="shared" si="42"/>
        <v>0</v>
      </c>
    </row>
    <row r="190" spans="1:19">
      <c r="A190" s="487"/>
      <c r="B190" s="346"/>
      <c r="C190" s="311">
        <f t="shared" si="33"/>
        <v>1</v>
      </c>
      <c r="D190" s="1119"/>
      <c r="E190" s="311">
        <f t="shared" si="34"/>
        <v>1</v>
      </c>
      <c r="F190" s="1119"/>
      <c r="G190" s="311">
        <f t="shared" si="35"/>
        <v>1</v>
      </c>
      <c r="H190" s="1119"/>
      <c r="I190" s="311">
        <f t="shared" si="36"/>
        <v>1</v>
      </c>
      <c r="J190" s="1119"/>
      <c r="K190" s="311">
        <f t="shared" si="37"/>
        <v>1</v>
      </c>
      <c r="L190" s="1119"/>
      <c r="M190" s="311">
        <f t="shared" si="38"/>
        <v>1</v>
      </c>
      <c r="N190" s="1119"/>
      <c r="O190" s="311">
        <f t="shared" si="39"/>
        <v>1</v>
      </c>
      <c r="P190" s="1119"/>
      <c r="Q190" s="311">
        <f t="shared" si="40"/>
        <v>1</v>
      </c>
      <c r="R190" s="1115">
        <f t="shared" si="41"/>
        <v>0</v>
      </c>
      <c r="S190" s="694">
        <f t="shared" si="42"/>
        <v>0</v>
      </c>
    </row>
    <row r="191" spans="1:19">
      <c r="A191" s="487"/>
      <c r="B191" s="346"/>
      <c r="C191" s="311">
        <f t="shared" si="33"/>
        <v>1</v>
      </c>
      <c r="D191" s="1119"/>
      <c r="E191" s="311">
        <f t="shared" si="34"/>
        <v>1</v>
      </c>
      <c r="F191" s="1119"/>
      <c r="G191" s="311">
        <f t="shared" si="35"/>
        <v>1</v>
      </c>
      <c r="H191" s="1119"/>
      <c r="I191" s="311">
        <f t="shared" si="36"/>
        <v>1</v>
      </c>
      <c r="J191" s="1119"/>
      <c r="K191" s="311">
        <f t="shared" si="37"/>
        <v>1</v>
      </c>
      <c r="L191" s="1119"/>
      <c r="M191" s="311">
        <f t="shared" si="38"/>
        <v>1</v>
      </c>
      <c r="N191" s="1119"/>
      <c r="O191" s="311">
        <f t="shared" si="39"/>
        <v>1</v>
      </c>
      <c r="P191" s="1119"/>
      <c r="Q191" s="311">
        <f t="shared" si="40"/>
        <v>1</v>
      </c>
      <c r="R191" s="1115">
        <f t="shared" si="41"/>
        <v>0</v>
      </c>
      <c r="S191" s="694">
        <f t="shared" si="42"/>
        <v>0</v>
      </c>
    </row>
    <row r="192" spans="1:19">
      <c r="A192" s="487"/>
      <c r="B192" s="346"/>
      <c r="C192" s="311">
        <f t="shared" si="33"/>
        <v>1</v>
      </c>
      <c r="D192" s="1119"/>
      <c r="E192" s="311">
        <f t="shared" si="34"/>
        <v>1</v>
      </c>
      <c r="F192" s="1119"/>
      <c r="G192" s="311">
        <f t="shared" si="35"/>
        <v>1</v>
      </c>
      <c r="H192" s="1119"/>
      <c r="I192" s="311">
        <f t="shared" si="36"/>
        <v>1</v>
      </c>
      <c r="J192" s="1119"/>
      <c r="K192" s="311">
        <f t="shared" si="37"/>
        <v>1</v>
      </c>
      <c r="L192" s="1119"/>
      <c r="M192" s="311">
        <f t="shared" si="38"/>
        <v>1</v>
      </c>
      <c r="N192" s="1119"/>
      <c r="O192" s="311">
        <f t="shared" si="39"/>
        <v>1</v>
      </c>
      <c r="P192" s="1119"/>
      <c r="Q192" s="311">
        <f t="shared" si="40"/>
        <v>1</v>
      </c>
      <c r="R192" s="1115">
        <f t="shared" si="41"/>
        <v>0</v>
      </c>
      <c r="S192" s="694">
        <f t="shared" si="42"/>
        <v>0</v>
      </c>
    </row>
    <row r="193" spans="1:19">
      <c r="A193" s="487"/>
      <c r="B193" s="346"/>
      <c r="C193" s="311">
        <f t="shared" si="33"/>
        <v>1</v>
      </c>
      <c r="D193" s="1119"/>
      <c r="E193" s="311">
        <f t="shared" si="34"/>
        <v>1</v>
      </c>
      <c r="F193" s="1119"/>
      <c r="G193" s="311">
        <f t="shared" si="35"/>
        <v>1</v>
      </c>
      <c r="H193" s="1119"/>
      <c r="I193" s="311">
        <f t="shared" si="36"/>
        <v>1</v>
      </c>
      <c r="J193" s="1119"/>
      <c r="K193" s="311">
        <f t="shared" si="37"/>
        <v>1</v>
      </c>
      <c r="L193" s="1119"/>
      <c r="M193" s="311">
        <f t="shared" si="38"/>
        <v>1</v>
      </c>
      <c r="N193" s="1119"/>
      <c r="O193" s="311">
        <f t="shared" si="39"/>
        <v>1</v>
      </c>
      <c r="P193" s="1119"/>
      <c r="Q193" s="311">
        <f t="shared" si="40"/>
        <v>1</v>
      </c>
      <c r="R193" s="1115">
        <f t="shared" si="41"/>
        <v>0</v>
      </c>
      <c r="S193" s="694">
        <f t="shared" si="42"/>
        <v>0</v>
      </c>
    </row>
    <row r="194" spans="1:19">
      <c r="A194" s="487"/>
      <c r="B194" s="346"/>
      <c r="C194" s="311">
        <f t="shared" si="33"/>
        <v>1</v>
      </c>
      <c r="D194" s="1119"/>
      <c r="E194" s="311">
        <f t="shared" si="34"/>
        <v>1</v>
      </c>
      <c r="F194" s="1119"/>
      <c r="G194" s="311">
        <f t="shared" si="35"/>
        <v>1</v>
      </c>
      <c r="H194" s="1119"/>
      <c r="I194" s="311">
        <f t="shared" si="36"/>
        <v>1</v>
      </c>
      <c r="J194" s="1119"/>
      <c r="K194" s="311">
        <f t="shared" si="37"/>
        <v>1</v>
      </c>
      <c r="L194" s="1119"/>
      <c r="M194" s="311">
        <f t="shared" si="38"/>
        <v>1</v>
      </c>
      <c r="N194" s="1119"/>
      <c r="O194" s="311">
        <f t="shared" si="39"/>
        <v>1</v>
      </c>
      <c r="P194" s="1119"/>
      <c r="Q194" s="311">
        <f t="shared" si="40"/>
        <v>1</v>
      </c>
      <c r="R194" s="1115">
        <f t="shared" si="41"/>
        <v>0</v>
      </c>
      <c r="S194" s="694">
        <f t="shared" si="42"/>
        <v>0</v>
      </c>
    </row>
    <row r="195" spans="1:19">
      <c r="A195" s="487"/>
      <c r="B195" s="346"/>
      <c r="C195" s="311">
        <f t="shared" si="33"/>
        <v>1</v>
      </c>
      <c r="D195" s="1119"/>
      <c r="E195" s="311">
        <f t="shared" si="34"/>
        <v>1</v>
      </c>
      <c r="F195" s="1119"/>
      <c r="G195" s="311">
        <f t="shared" si="35"/>
        <v>1</v>
      </c>
      <c r="H195" s="1119"/>
      <c r="I195" s="311">
        <f t="shared" si="36"/>
        <v>1</v>
      </c>
      <c r="J195" s="1119"/>
      <c r="K195" s="311">
        <f t="shared" si="37"/>
        <v>1</v>
      </c>
      <c r="L195" s="1119"/>
      <c r="M195" s="311">
        <f t="shared" si="38"/>
        <v>1</v>
      </c>
      <c r="N195" s="1119"/>
      <c r="O195" s="311">
        <f t="shared" si="39"/>
        <v>1</v>
      </c>
      <c r="P195" s="1119"/>
      <c r="Q195" s="311">
        <f t="shared" si="40"/>
        <v>1</v>
      </c>
      <c r="R195" s="1115">
        <f t="shared" si="41"/>
        <v>0</v>
      </c>
      <c r="S195" s="694">
        <f t="shared" si="42"/>
        <v>0</v>
      </c>
    </row>
    <row r="196" spans="1:19">
      <c r="A196" s="487"/>
      <c r="B196" s="346"/>
      <c r="C196" s="311">
        <f t="shared" si="33"/>
        <v>1</v>
      </c>
      <c r="D196" s="1119"/>
      <c r="E196" s="311">
        <f t="shared" si="34"/>
        <v>1</v>
      </c>
      <c r="F196" s="1119"/>
      <c r="G196" s="311">
        <f t="shared" si="35"/>
        <v>1</v>
      </c>
      <c r="H196" s="1119"/>
      <c r="I196" s="311">
        <f t="shared" si="36"/>
        <v>1</v>
      </c>
      <c r="J196" s="1119"/>
      <c r="K196" s="311">
        <f t="shared" si="37"/>
        <v>1</v>
      </c>
      <c r="L196" s="1119"/>
      <c r="M196" s="311">
        <f t="shared" si="38"/>
        <v>1</v>
      </c>
      <c r="N196" s="1119"/>
      <c r="O196" s="311">
        <f t="shared" si="39"/>
        <v>1</v>
      </c>
      <c r="P196" s="1119"/>
      <c r="Q196" s="311">
        <f t="shared" si="40"/>
        <v>1</v>
      </c>
      <c r="R196" s="1115">
        <f t="shared" si="41"/>
        <v>0</v>
      </c>
      <c r="S196" s="694">
        <f t="shared" si="42"/>
        <v>0</v>
      </c>
    </row>
    <row r="197" spans="1:19">
      <c r="A197" s="487"/>
      <c r="B197" s="346"/>
      <c r="C197" s="311">
        <f t="shared" si="33"/>
        <v>1</v>
      </c>
      <c r="D197" s="1119"/>
      <c r="E197" s="311">
        <f t="shared" si="34"/>
        <v>1</v>
      </c>
      <c r="F197" s="1119"/>
      <c r="G197" s="311">
        <f t="shared" si="35"/>
        <v>1</v>
      </c>
      <c r="H197" s="1119"/>
      <c r="I197" s="311">
        <f t="shared" si="36"/>
        <v>1</v>
      </c>
      <c r="J197" s="1119"/>
      <c r="K197" s="311">
        <f t="shared" si="37"/>
        <v>1</v>
      </c>
      <c r="L197" s="1119"/>
      <c r="M197" s="311">
        <f t="shared" si="38"/>
        <v>1</v>
      </c>
      <c r="N197" s="1119"/>
      <c r="O197" s="311">
        <f t="shared" si="39"/>
        <v>1</v>
      </c>
      <c r="P197" s="1119"/>
      <c r="Q197" s="311">
        <f t="shared" si="40"/>
        <v>1</v>
      </c>
      <c r="R197" s="1115">
        <f t="shared" si="41"/>
        <v>0</v>
      </c>
      <c r="S197" s="694">
        <f t="shared" si="42"/>
        <v>0</v>
      </c>
    </row>
    <row r="198" spans="1:19">
      <c r="A198" s="487"/>
      <c r="B198" s="346"/>
      <c r="C198" s="311">
        <f t="shared" si="33"/>
        <v>1</v>
      </c>
      <c r="D198" s="1119"/>
      <c r="E198" s="311">
        <f t="shared" si="34"/>
        <v>1</v>
      </c>
      <c r="F198" s="1119"/>
      <c r="G198" s="311">
        <f t="shared" si="35"/>
        <v>1</v>
      </c>
      <c r="H198" s="1119"/>
      <c r="I198" s="311">
        <f t="shared" si="36"/>
        <v>1</v>
      </c>
      <c r="J198" s="1119"/>
      <c r="K198" s="311">
        <f t="shared" si="37"/>
        <v>1</v>
      </c>
      <c r="L198" s="1119"/>
      <c r="M198" s="311">
        <f t="shared" si="38"/>
        <v>1</v>
      </c>
      <c r="N198" s="1119"/>
      <c r="O198" s="311">
        <f t="shared" si="39"/>
        <v>1</v>
      </c>
      <c r="P198" s="1119"/>
      <c r="Q198" s="311">
        <f t="shared" si="40"/>
        <v>1</v>
      </c>
      <c r="R198" s="1115">
        <f t="shared" si="41"/>
        <v>0</v>
      </c>
      <c r="S198" s="694">
        <f t="shared" si="42"/>
        <v>0</v>
      </c>
    </row>
    <row r="199" spans="1:19">
      <c r="A199" s="487"/>
      <c r="B199" s="346"/>
      <c r="C199" s="311">
        <f t="shared" si="33"/>
        <v>1</v>
      </c>
      <c r="D199" s="1119"/>
      <c r="E199" s="311">
        <f t="shared" si="34"/>
        <v>1</v>
      </c>
      <c r="F199" s="1119"/>
      <c r="G199" s="311">
        <f t="shared" si="35"/>
        <v>1</v>
      </c>
      <c r="H199" s="1119"/>
      <c r="I199" s="311">
        <f t="shared" si="36"/>
        <v>1</v>
      </c>
      <c r="J199" s="1119"/>
      <c r="K199" s="311">
        <f t="shared" si="37"/>
        <v>1</v>
      </c>
      <c r="L199" s="1119"/>
      <c r="M199" s="311">
        <f t="shared" si="38"/>
        <v>1</v>
      </c>
      <c r="N199" s="1119"/>
      <c r="O199" s="311">
        <f t="shared" si="39"/>
        <v>1</v>
      </c>
      <c r="P199" s="1119"/>
      <c r="Q199" s="311">
        <f t="shared" si="40"/>
        <v>1</v>
      </c>
      <c r="R199" s="1115">
        <f t="shared" si="41"/>
        <v>0</v>
      </c>
      <c r="S199" s="694">
        <f t="shared" si="42"/>
        <v>0</v>
      </c>
    </row>
    <row r="200" spans="1:19">
      <c r="A200" s="487"/>
      <c r="B200" s="346"/>
      <c r="C200" s="311">
        <f t="shared" si="33"/>
        <v>1</v>
      </c>
      <c r="D200" s="1119"/>
      <c r="E200" s="311">
        <f t="shared" si="34"/>
        <v>1</v>
      </c>
      <c r="F200" s="1119"/>
      <c r="G200" s="311">
        <f t="shared" si="35"/>
        <v>1</v>
      </c>
      <c r="H200" s="1119"/>
      <c r="I200" s="311">
        <f t="shared" si="36"/>
        <v>1</v>
      </c>
      <c r="J200" s="1119"/>
      <c r="K200" s="311">
        <f t="shared" si="37"/>
        <v>1</v>
      </c>
      <c r="L200" s="1119"/>
      <c r="M200" s="311">
        <f t="shared" si="38"/>
        <v>1</v>
      </c>
      <c r="N200" s="1119"/>
      <c r="O200" s="311">
        <f t="shared" si="39"/>
        <v>1</v>
      </c>
      <c r="P200" s="1119"/>
      <c r="Q200" s="311">
        <f t="shared" si="40"/>
        <v>1</v>
      </c>
      <c r="R200" s="1115">
        <f t="shared" si="41"/>
        <v>0</v>
      </c>
      <c r="S200" s="694">
        <f t="shared" si="42"/>
        <v>0</v>
      </c>
    </row>
    <row r="201" spans="1:19">
      <c r="A201" s="487"/>
      <c r="B201" s="346"/>
      <c r="C201" s="311">
        <f t="shared" si="33"/>
        <v>1</v>
      </c>
      <c r="D201" s="1119"/>
      <c r="E201" s="311">
        <f t="shared" si="34"/>
        <v>1</v>
      </c>
      <c r="F201" s="1119"/>
      <c r="G201" s="311">
        <f t="shared" si="35"/>
        <v>1</v>
      </c>
      <c r="H201" s="1119"/>
      <c r="I201" s="311">
        <f t="shared" si="36"/>
        <v>1</v>
      </c>
      <c r="J201" s="1119"/>
      <c r="K201" s="311">
        <f t="shared" si="37"/>
        <v>1</v>
      </c>
      <c r="L201" s="1119"/>
      <c r="M201" s="311">
        <f t="shared" si="38"/>
        <v>1</v>
      </c>
      <c r="N201" s="1119"/>
      <c r="O201" s="311">
        <f t="shared" si="39"/>
        <v>1</v>
      </c>
      <c r="P201" s="1119"/>
      <c r="Q201" s="311">
        <f t="shared" si="40"/>
        <v>1</v>
      </c>
      <c r="R201" s="1115">
        <f t="shared" si="41"/>
        <v>0</v>
      </c>
      <c r="S201" s="694">
        <f t="shared" si="42"/>
        <v>0</v>
      </c>
    </row>
    <row r="202" spans="1:19">
      <c r="A202" s="487"/>
      <c r="B202" s="346"/>
      <c r="C202" s="311">
        <f t="shared" si="33"/>
        <v>1</v>
      </c>
      <c r="D202" s="1119"/>
      <c r="E202" s="311">
        <f t="shared" si="34"/>
        <v>1</v>
      </c>
      <c r="F202" s="1119"/>
      <c r="G202" s="311">
        <f t="shared" si="35"/>
        <v>1</v>
      </c>
      <c r="H202" s="1119"/>
      <c r="I202" s="311">
        <f t="shared" si="36"/>
        <v>1</v>
      </c>
      <c r="J202" s="1119"/>
      <c r="K202" s="311">
        <f t="shared" si="37"/>
        <v>1</v>
      </c>
      <c r="L202" s="1119"/>
      <c r="M202" s="311">
        <f t="shared" si="38"/>
        <v>1</v>
      </c>
      <c r="N202" s="1119"/>
      <c r="O202" s="311">
        <f t="shared" si="39"/>
        <v>1</v>
      </c>
      <c r="P202" s="1119"/>
      <c r="Q202" s="311">
        <f t="shared" si="40"/>
        <v>1</v>
      </c>
      <c r="R202" s="1115">
        <f t="shared" si="41"/>
        <v>0</v>
      </c>
      <c r="S202" s="694">
        <f t="shared" si="42"/>
        <v>0</v>
      </c>
    </row>
    <row r="203" spans="1:19">
      <c r="A203" s="487"/>
      <c r="B203" s="346"/>
      <c r="C203" s="311">
        <f t="shared" si="33"/>
        <v>1</v>
      </c>
      <c r="D203" s="1119"/>
      <c r="E203" s="311">
        <f t="shared" si="34"/>
        <v>1</v>
      </c>
      <c r="F203" s="1119"/>
      <c r="G203" s="311">
        <f t="shared" si="35"/>
        <v>1</v>
      </c>
      <c r="H203" s="1119"/>
      <c r="I203" s="311">
        <f t="shared" si="36"/>
        <v>1</v>
      </c>
      <c r="J203" s="1119"/>
      <c r="K203" s="311">
        <f t="shared" si="37"/>
        <v>1</v>
      </c>
      <c r="L203" s="1119"/>
      <c r="M203" s="311">
        <f t="shared" si="38"/>
        <v>1</v>
      </c>
      <c r="N203" s="1119"/>
      <c r="O203" s="311">
        <f t="shared" si="39"/>
        <v>1</v>
      </c>
      <c r="P203" s="1119"/>
      <c r="Q203" s="311">
        <f t="shared" si="40"/>
        <v>1</v>
      </c>
      <c r="R203" s="1115">
        <f t="shared" si="41"/>
        <v>0</v>
      </c>
      <c r="S203" s="694">
        <f t="shared" si="42"/>
        <v>0</v>
      </c>
    </row>
    <row r="204" spans="1:19">
      <c r="A204" s="487"/>
      <c r="B204" s="346"/>
      <c r="C204" s="311">
        <f t="shared" si="33"/>
        <v>1</v>
      </c>
      <c r="D204" s="1119"/>
      <c r="E204" s="311">
        <f t="shared" si="34"/>
        <v>1</v>
      </c>
      <c r="F204" s="1119"/>
      <c r="G204" s="311">
        <f t="shared" si="35"/>
        <v>1</v>
      </c>
      <c r="H204" s="1119"/>
      <c r="I204" s="311">
        <f t="shared" si="36"/>
        <v>1</v>
      </c>
      <c r="J204" s="1119"/>
      <c r="K204" s="311">
        <f t="shared" si="37"/>
        <v>1</v>
      </c>
      <c r="L204" s="1119"/>
      <c r="M204" s="311">
        <f t="shared" si="38"/>
        <v>1</v>
      </c>
      <c r="N204" s="1119"/>
      <c r="O204" s="311">
        <f t="shared" si="39"/>
        <v>1</v>
      </c>
      <c r="P204" s="1119"/>
      <c r="Q204" s="311">
        <f t="shared" si="40"/>
        <v>1</v>
      </c>
      <c r="R204" s="1115">
        <f t="shared" si="41"/>
        <v>0</v>
      </c>
      <c r="S204" s="694">
        <f t="shared" si="42"/>
        <v>0</v>
      </c>
    </row>
    <row r="205" spans="1:19">
      <c r="A205" s="487"/>
      <c r="B205" s="346"/>
      <c r="C205" s="311">
        <f t="shared" si="33"/>
        <v>1</v>
      </c>
      <c r="D205" s="1119"/>
      <c r="E205" s="311">
        <f t="shared" si="34"/>
        <v>1</v>
      </c>
      <c r="F205" s="1119"/>
      <c r="G205" s="311">
        <f t="shared" si="35"/>
        <v>1</v>
      </c>
      <c r="H205" s="1119"/>
      <c r="I205" s="311">
        <f t="shared" si="36"/>
        <v>1</v>
      </c>
      <c r="J205" s="1119"/>
      <c r="K205" s="311">
        <f t="shared" si="37"/>
        <v>1</v>
      </c>
      <c r="L205" s="1119"/>
      <c r="M205" s="311">
        <f t="shared" si="38"/>
        <v>1</v>
      </c>
      <c r="N205" s="1119"/>
      <c r="O205" s="311">
        <f t="shared" si="39"/>
        <v>1</v>
      </c>
      <c r="P205" s="1119"/>
      <c r="Q205" s="311">
        <f t="shared" si="40"/>
        <v>1</v>
      </c>
      <c r="R205" s="1115">
        <f t="shared" si="41"/>
        <v>0</v>
      </c>
      <c r="S205" s="694">
        <f t="shared" si="42"/>
        <v>0</v>
      </c>
    </row>
    <row r="206" spans="1:19">
      <c r="A206" s="487"/>
      <c r="B206" s="346"/>
      <c r="C206" s="311">
        <f t="shared" si="33"/>
        <v>1</v>
      </c>
      <c r="D206" s="1119"/>
      <c r="E206" s="311">
        <f t="shared" si="34"/>
        <v>1</v>
      </c>
      <c r="F206" s="1119"/>
      <c r="G206" s="311">
        <f t="shared" si="35"/>
        <v>1</v>
      </c>
      <c r="H206" s="1119"/>
      <c r="I206" s="311">
        <f t="shared" si="36"/>
        <v>1</v>
      </c>
      <c r="J206" s="1119"/>
      <c r="K206" s="311">
        <f t="shared" si="37"/>
        <v>1</v>
      </c>
      <c r="L206" s="1119"/>
      <c r="M206" s="311">
        <f t="shared" si="38"/>
        <v>1</v>
      </c>
      <c r="N206" s="1119"/>
      <c r="O206" s="311">
        <f t="shared" si="39"/>
        <v>1</v>
      </c>
      <c r="P206" s="1119"/>
      <c r="Q206" s="311">
        <f t="shared" si="40"/>
        <v>1</v>
      </c>
      <c r="R206" s="1115">
        <f t="shared" si="41"/>
        <v>0</v>
      </c>
      <c r="S206" s="694">
        <f t="shared" si="42"/>
        <v>0</v>
      </c>
    </row>
    <row r="207" spans="1:19">
      <c r="A207" s="487"/>
      <c r="B207" s="346"/>
      <c r="C207" s="311">
        <f t="shared" si="33"/>
        <v>1</v>
      </c>
      <c r="D207" s="1119"/>
      <c r="E207" s="311">
        <f t="shared" si="34"/>
        <v>1</v>
      </c>
      <c r="F207" s="1119"/>
      <c r="G207" s="311">
        <f t="shared" si="35"/>
        <v>1</v>
      </c>
      <c r="H207" s="1119"/>
      <c r="I207" s="311">
        <f t="shared" si="36"/>
        <v>1</v>
      </c>
      <c r="J207" s="1119"/>
      <c r="K207" s="311">
        <f t="shared" si="37"/>
        <v>1</v>
      </c>
      <c r="L207" s="1119"/>
      <c r="M207" s="311">
        <f t="shared" si="38"/>
        <v>1</v>
      </c>
      <c r="N207" s="1119"/>
      <c r="O207" s="311">
        <f t="shared" si="39"/>
        <v>1</v>
      </c>
      <c r="P207" s="1119"/>
      <c r="Q207" s="311">
        <f t="shared" si="40"/>
        <v>1</v>
      </c>
      <c r="R207" s="1115">
        <f t="shared" si="41"/>
        <v>0</v>
      </c>
      <c r="S207" s="694">
        <f t="shared" si="42"/>
        <v>0</v>
      </c>
    </row>
    <row r="208" spans="1:19">
      <c r="A208" s="487"/>
      <c r="B208" s="346"/>
      <c r="C208" s="311">
        <f t="shared" si="33"/>
        <v>1</v>
      </c>
      <c r="D208" s="1119"/>
      <c r="E208" s="311">
        <f t="shared" si="34"/>
        <v>1</v>
      </c>
      <c r="F208" s="1119"/>
      <c r="G208" s="311">
        <f t="shared" si="35"/>
        <v>1</v>
      </c>
      <c r="H208" s="1119"/>
      <c r="I208" s="311">
        <f t="shared" si="36"/>
        <v>1</v>
      </c>
      <c r="J208" s="1119"/>
      <c r="K208" s="311">
        <f t="shared" si="37"/>
        <v>1</v>
      </c>
      <c r="L208" s="1119"/>
      <c r="M208" s="311">
        <f t="shared" si="38"/>
        <v>1</v>
      </c>
      <c r="N208" s="1119"/>
      <c r="O208" s="311">
        <f t="shared" si="39"/>
        <v>1</v>
      </c>
      <c r="P208" s="1119"/>
      <c r="Q208" s="311">
        <f t="shared" si="40"/>
        <v>1</v>
      </c>
      <c r="R208" s="1115">
        <f t="shared" si="41"/>
        <v>0</v>
      </c>
      <c r="S208" s="694">
        <f t="shared" si="42"/>
        <v>0</v>
      </c>
    </row>
    <row r="209" spans="1:19">
      <c r="A209" s="487"/>
      <c r="B209" s="346"/>
      <c r="C209" s="311">
        <f t="shared" si="33"/>
        <v>1</v>
      </c>
      <c r="D209" s="1119"/>
      <c r="E209" s="311">
        <f t="shared" si="34"/>
        <v>1</v>
      </c>
      <c r="F209" s="1119"/>
      <c r="G209" s="311">
        <f t="shared" si="35"/>
        <v>1</v>
      </c>
      <c r="H209" s="1119"/>
      <c r="I209" s="311">
        <f t="shared" si="36"/>
        <v>1</v>
      </c>
      <c r="J209" s="1119"/>
      <c r="K209" s="311">
        <f t="shared" si="37"/>
        <v>1</v>
      </c>
      <c r="L209" s="1119"/>
      <c r="M209" s="311">
        <f t="shared" si="38"/>
        <v>1</v>
      </c>
      <c r="N209" s="1119"/>
      <c r="O209" s="311">
        <f t="shared" si="39"/>
        <v>1</v>
      </c>
      <c r="P209" s="1119"/>
      <c r="Q209" s="311">
        <f t="shared" si="40"/>
        <v>1</v>
      </c>
      <c r="R209" s="1115">
        <f t="shared" si="41"/>
        <v>0</v>
      </c>
      <c r="S209" s="694">
        <f t="shared" si="42"/>
        <v>0</v>
      </c>
    </row>
    <row r="210" spans="1:19">
      <c r="A210" s="487"/>
      <c r="B210" s="346"/>
      <c r="C210" s="311">
        <f t="shared" si="33"/>
        <v>1</v>
      </c>
      <c r="D210" s="1119"/>
      <c r="E210" s="311">
        <f t="shared" si="34"/>
        <v>1</v>
      </c>
      <c r="F210" s="1119"/>
      <c r="G210" s="311">
        <f t="shared" si="35"/>
        <v>1</v>
      </c>
      <c r="H210" s="1119"/>
      <c r="I210" s="311">
        <f t="shared" si="36"/>
        <v>1</v>
      </c>
      <c r="J210" s="1119"/>
      <c r="K210" s="311">
        <f t="shared" si="37"/>
        <v>1</v>
      </c>
      <c r="L210" s="1119"/>
      <c r="M210" s="311">
        <f t="shared" si="38"/>
        <v>1</v>
      </c>
      <c r="N210" s="1119"/>
      <c r="O210" s="311">
        <f t="shared" si="39"/>
        <v>1</v>
      </c>
      <c r="P210" s="1119"/>
      <c r="Q210" s="311">
        <f t="shared" si="40"/>
        <v>1</v>
      </c>
      <c r="R210" s="1115">
        <f t="shared" si="41"/>
        <v>0</v>
      </c>
      <c r="S210" s="694">
        <f t="shared" si="42"/>
        <v>0</v>
      </c>
    </row>
    <row r="211" spans="1:19">
      <c r="A211" s="487"/>
      <c r="B211" s="346"/>
      <c r="C211" s="311">
        <f t="shared" si="33"/>
        <v>1</v>
      </c>
      <c r="D211" s="1119"/>
      <c r="E211" s="311">
        <f t="shared" si="34"/>
        <v>1</v>
      </c>
      <c r="F211" s="1119"/>
      <c r="G211" s="311">
        <f t="shared" si="35"/>
        <v>1</v>
      </c>
      <c r="H211" s="1119"/>
      <c r="I211" s="311">
        <f t="shared" si="36"/>
        <v>1</v>
      </c>
      <c r="J211" s="1119"/>
      <c r="K211" s="311">
        <f t="shared" si="37"/>
        <v>1</v>
      </c>
      <c r="L211" s="1119"/>
      <c r="M211" s="311">
        <f t="shared" si="38"/>
        <v>1</v>
      </c>
      <c r="N211" s="1119"/>
      <c r="O211" s="311">
        <f t="shared" si="39"/>
        <v>1</v>
      </c>
      <c r="P211" s="1119"/>
      <c r="Q211" s="311">
        <f t="shared" si="40"/>
        <v>1</v>
      </c>
      <c r="R211" s="1115">
        <f t="shared" si="41"/>
        <v>0</v>
      </c>
      <c r="S211" s="694">
        <f t="shared" si="42"/>
        <v>0</v>
      </c>
    </row>
    <row r="212" spans="1:19">
      <c r="A212" s="487"/>
      <c r="B212" s="346"/>
      <c r="C212" s="311">
        <f t="shared" si="33"/>
        <v>1</v>
      </c>
      <c r="D212" s="1119"/>
      <c r="E212" s="311">
        <f t="shared" si="34"/>
        <v>1</v>
      </c>
      <c r="F212" s="1119"/>
      <c r="G212" s="311">
        <f t="shared" si="35"/>
        <v>1</v>
      </c>
      <c r="H212" s="1119"/>
      <c r="I212" s="311">
        <f t="shared" si="36"/>
        <v>1</v>
      </c>
      <c r="J212" s="1119"/>
      <c r="K212" s="311">
        <f t="shared" si="37"/>
        <v>1</v>
      </c>
      <c r="L212" s="1119"/>
      <c r="M212" s="311">
        <f t="shared" si="38"/>
        <v>1</v>
      </c>
      <c r="N212" s="1119"/>
      <c r="O212" s="311">
        <f t="shared" si="39"/>
        <v>1</v>
      </c>
      <c r="P212" s="1119"/>
      <c r="Q212" s="311">
        <f t="shared" si="40"/>
        <v>1</v>
      </c>
      <c r="R212" s="1115">
        <f t="shared" si="41"/>
        <v>0</v>
      </c>
      <c r="S212" s="694">
        <f t="shared" si="42"/>
        <v>0</v>
      </c>
    </row>
    <row r="213" spans="1:19">
      <c r="A213" s="487"/>
      <c r="B213" s="346"/>
      <c r="C213" s="311">
        <f t="shared" si="33"/>
        <v>1</v>
      </c>
      <c r="D213" s="1119"/>
      <c r="E213" s="311">
        <f t="shared" si="34"/>
        <v>1</v>
      </c>
      <c r="F213" s="1119"/>
      <c r="G213" s="311">
        <f t="shared" si="35"/>
        <v>1</v>
      </c>
      <c r="H213" s="1119"/>
      <c r="I213" s="311">
        <f t="shared" si="36"/>
        <v>1</v>
      </c>
      <c r="J213" s="1119"/>
      <c r="K213" s="311">
        <f t="shared" si="37"/>
        <v>1</v>
      </c>
      <c r="L213" s="1119"/>
      <c r="M213" s="311">
        <f t="shared" si="38"/>
        <v>1</v>
      </c>
      <c r="N213" s="1119"/>
      <c r="O213" s="311">
        <f t="shared" si="39"/>
        <v>1</v>
      </c>
      <c r="P213" s="1119"/>
      <c r="Q213" s="311">
        <f t="shared" si="40"/>
        <v>1</v>
      </c>
      <c r="R213" s="1115">
        <f t="shared" si="41"/>
        <v>0</v>
      </c>
      <c r="S213" s="694">
        <f t="shared" si="42"/>
        <v>0</v>
      </c>
    </row>
    <row r="214" spans="1:19">
      <c r="A214" s="487"/>
      <c r="B214" s="346"/>
      <c r="C214" s="311">
        <f t="shared" si="33"/>
        <v>1</v>
      </c>
      <c r="D214" s="1119"/>
      <c r="E214" s="311">
        <f t="shared" si="34"/>
        <v>1</v>
      </c>
      <c r="F214" s="1119"/>
      <c r="G214" s="311">
        <f t="shared" si="35"/>
        <v>1</v>
      </c>
      <c r="H214" s="1119"/>
      <c r="I214" s="311">
        <f t="shared" si="36"/>
        <v>1</v>
      </c>
      <c r="J214" s="1119"/>
      <c r="K214" s="311">
        <f t="shared" si="37"/>
        <v>1</v>
      </c>
      <c r="L214" s="1119"/>
      <c r="M214" s="311">
        <f t="shared" si="38"/>
        <v>1</v>
      </c>
      <c r="N214" s="1119"/>
      <c r="O214" s="311">
        <f t="shared" si="39"/>
        <v>1</v>
      </c>
      <c r="P214" s="1119"/>
      <c r="Q214" s="311">
        <f t="shared" si="40"/>
        <v>1</v>
      </c>
      <c r="R214" s="1115">
        <f t="shared" si="41"/>
        <v>0</v>
      </c>
      <c r="S214" s="694">
        <f t="shared" si="42"/>
        <v>0</v>
      </c>
    </row>
    <row r="215" spans="1:19">
      <c r="A215" s="487"/>
      <c r="B215" s="346"/>
      <c r="C215" s="311">
        <f t="shared" si="33"/>
        <v>1</v>
      </c>
      <c r="D215" s="1119"/>
      <c r="E215" s="311">
        <f t="shared" si="34"/>
        <v>1</v>
      </c>
      <c r="F215" s="1119"/>
      <c r="G215" s="311">
        <f t="shared" si="35"/>
        <v>1</v>
      </c>
      <c r="H215" s="1119"/>
      <c r="I215" s="311">
        <f t="shared" si="36"/>
        <v>1</v>
      </c>
      <c r="J215" s="1119"/>
      <c r="K215" s="311">
        <f t="shared" si="37"/>
        <v>1</v>
      </c>
      <c r="L215" s="1119"/>
      <c r="M215" s="311">
        <f t="shared" si="38"/>
        <v>1</v>
      </c>
      <c r="N215" s="1119"/>
      <c r="O215" s="311">
        <f t="shared" si="39"/>
        <v>1</v>
      </c>
      <c r="P215" s="1119"/>
      <c r="Q215" s="311">
        <f t="shared" si="40"/>
        <v>1</v>
      </c>
      <c r="R215" s="1115">
        <f t="shared" si="41"/>
        <v>0</v>
      </c>
      <c r="S215" s="694">
        <f t="shared" si="42"/>
        <v>0</v>
      </c>
    </row>
    <row r="216" spans="1:19">
      <c r="A216" s="487"/>
      <c r="B216" s="346"/>
      <c r="C216" s="311">
        <f t="shared" si="33"/>
        <v>1</v>
      </c>
      <c r="D216" s="1119"/>
      <c r="E216" s="311">
        <f t="shared" si="34"/>
        <v>1</v>
      </c>
      <c r="F216" s="1119"/>
      <c r="G216" s="311">
        <f t="shared" si="35"/>
        <v>1</v>
      </c>
      <c r="H216" s="1119"/>
      <c r="I216" s="311">
        <f t="shared" si="36"/>
        <v>1</v>
      </c>
      <c r="J216" s="1119"/>
      <c r="K216" s="311">
        <f t="shared" si="37"/>
        <v>1</v>
      </c>
      <c r="L216" s="1119"/>
      <c r="M216" s="311">
        <f t="shared" si="38"/>
        <v>1</v>
      </c>
      <c r="N216" s="1119"/>
      <c r="O216" s="311">
        <f t="shared" si="39"/>
        <v>1</v>
      </c>
      <c r="P216" s="1119"/>
      <c r="Q216" s="311">
        <f t="shared" si="40"/>
        <v>1</v>
      </c>
      <c r="R216" s="1115">
        <f t="shared" si="41"/>
        <v>0</v>
      </c>
      <c r="S216" s="694">
        <f t="shared" si="42"/>
        <v>0</v>
      </c>
    </row>
    <row r="217" spans="1:19">
      <c r="A217" s="487"/>
      <c r="B217" s="346"/>
      <c r="C217" s="311">
        <f t="shared" si="33"/>
        <v>1</v>
      </c>
      <c r="D217" s="1119"/>
      <c r="E217" s="311">
        <f t="shared" si="34"/>
        <v>1</v>
      </c>
      <c r="F217" s="1119"/>
      <c r="G217" s="311">
        <f t="shared" si="35"/>
        <v>1</v>
      </c>
      <c r="H217" s="1119"/>
      <c r="I217" s="311">
        <f t="shared" si="36"/>
        <v>1</v>
      </c>
      <c r="J217" s="1119"/>
      <c r="K217" s="311">
        <f t="shared" si="37"/>
        <v>1</v>
      </c>
      <c r="L217" s="1119"/>
      <c r="M217" s="311">
        <f t="shared" si="38"/>
        <v>1</v>
      </c>
      <c r="N217" s="1119"/>
      <c r="O217" s="311">
        <f t="shared" si="39"/>
        <v>1</v>
      </c>
      <c r="P217" s="1119"/>
      <c r="Q217" s="311">
        <f t="shared" si="40"/>
        <v>1</v>
      </c>
      <c r="R217" s="1115">
        <f t="shared" si="41"/>
        <v>0</v>
      </c>
      <c r="S217" s="694">
        <f t="shared" si="42"/>
        <v>0</v>
      </c>
    </row>
    <row r="218" spans="1:19">
      <c r="A218" s="487"/>
      <c r="B218" s="346"/>
      <c r="C218" s="311">
        <f t="shared" ref="C218:C281" si="43">IF(B218="",1,(LOOKUP(B218,$3:$3,$4:$4)-LOOKUP($B$24,$3:$3,$4:$4)+100)/100)</f>
        <v>1</v>
      </c>
      <c r="D218" s="1119"/>
      <c r="E218" s="311">
        <f t="shared" ref="E218:E281" si="44">(SUMIF($5:$5,D218,$6:$6)-SUMIF($5:$5,$D$24,$6:$6)+100)/100</f>
        <v>1</v>
      </c>
      <c r="F218" s="1119"/>
      <c r="G218" s="311">
        <f t="shared" ref="G218:G281" si="45">(SUMIF($7:$7,F218,$8:$8)-SUMIF($7:$7,$F$24,$8:$8)+100)/100</f>
        <v>1</v>
      </c>
      <c r="H218" s="1119"/>
      <c r="I218" s="311">
        <f t="shared" ref="I218:I281" si="46">(SUMIF($9:$9,H218,$10:$10)-SUMIF($9:$9,$H$24,$10:$10)+100)/100</f>
        <v>1</v>
      </c>
      <c r="J218" s="1119"/>
      <c r="K218" s="311">
        <f t="shared" ref="K218:K281" si="47">(SUMIF($11:$11,J218,$12:$12)-SUMIF($11:$11,$J$24,$12:$12)+100)/100</f>
        <v>1</v>
      </c>
      <c r="L218" s="1119"/>
      <c r="M218" s="311">
        <f t="shared" ref="M218:M281" si="48">(SUMIF($13:$13,L218,$14:$14)-SUMIF($13:$13,$L$24,$14:$14)+100)/100</f>
        <v>1</v>
      </c>
      <c r="N218" s="1119"/>
      <c r="O218" s="311">
        <f t="shared" ref="O218:O281" si="49">(SUMIF($15:$15,N218,$16:$16)-SUMIF($15:$15,$N$24,$16:$16)+100)/100</f>
        <v>1</v>
      </c>
      <c r="P218" s="1119"/>
      <c r="Q218" s="311">
        <f t="shared" ref="Q218:Q281" si="50">(SUMIF($17:$17,P218,$18:$18)-SUMIF($17:$17,$P$24,$18:$18)+100)/100</f>
        <v>1</v>
      </c>
      <c r="R218" s="1115">
        <f t="shared" ref="R218:R281" si="51">IF(B218="",0,ROUND($R$24*C218*E218*G218*I218*K218*M218*O218*Q218,0))</f>
        <v>0</v>
      </c>
      <c r="S218" s="694">
        <f t="shared" si="42"/>
        <v>0</v>
      </c>
    </row>
    <row r="219" spans="1:19">
      <c r="A219" s="487"/>
      <c r="B219" s="346"/>
      <c r="C219" s="311">
        <f t="shared" si="43"/>
        <v>1</v>
      </c>
      <c r="D219" s="1119"/>
      <c r="E219" s="311">
        <f t="shared" si="44"/>
        <v>1</v>
      </c>
      <c r="F219" s="1119"/>
      <c r="G219" s="311">
        <f t="shared" si="45"/>
        <v>1</v>
      </c>
      <c r="H219" s="1119"/>
      <c r="I219" s="311">
        <f t="shared" si="46"/>
        <v>1</v>
      </c>
      <c r="J219" s="1119"/>
      <c r="K219" s="311">
        <f t="shared" si="47"/>
        <v>1</v>
      </c>
      <c r="L219" s="1119"/>
      <c r="M219" s="311">
        <f t="shared" si="48"/>
        <v>1</v>
      </c>
      <c r="N219" s="1119"/>
      <c r="O219" s="311">
        <f t="shared" si="49"/>
        <v>1</v>
      </c>
      <c r="P219" s="1119"/>
      <c r="Q219" s="311">
        <f t="shared" si="50"/>
        <v>1</v>
      </c>
      <c r="R219" s="1115">
        <f t="shared" si="51"/>
        <v>0</v>
      </c>
      <c r="S219" s="694">
        <f t="shared" si="42"/>
        <v>0</v>
      </c>
    </row>
    <row r="220" spans="1:19">
      <c r="A220" s="487"/>
      <c r="B220" s="346"/>
      <c r="C220" s="311">
        <f t="shared" si="43"/>
        <v>1</v>
      </c>
      <c r="D220" s="1119"/>
      <c r="E220" s="311">
        <f t="shared" si="44"/>
        <v>1</v>
      </c>
      <c r="F220" s="1119"/>
      <c r="G220" s="311">
        <f t="shared" si="45"/>
        <v>1</v>
      </c>
      <c r="H220" s="1119"/>
      <c r="I220" s="311">
        <f t="shared" si="46"/>
        <v>1</v>
      </c>
      <c r="J220" s="1119"/>
      <c r="K220" s="311">
        <f t="shared" si="47"/>
        <v>1</v>
      </c>
      <c r="L220" s="1119"/>
      <c r="M220" s="311">
        <f t="shared" si="48"/>
        <v>1</v>
      </c>
      <c r="N220" s="1119"/>
      <c r="O220" s="311">
        <f t="shared" si="49"/>
        <v>1</v>
      </c>
      <c r="P220" s="1119"/>
      <c r="Q220" s="311">
        <f t="shared" si="50"/>
        <v>1</v>
      </c>
      <c r="R220" s="1115">
        <f t="shared" si="51"/>
        <v>0</v>
      </c>
      <c r="S220" s="694">
        <f t="shared" si="42"/>
        <v>0</v>
      </c>
    </row>
    <row r="221" spans="1:19">
      <c r="A221" s="487"/>
      <c r="B221" s="346"/>
      <c r="C221" s="311">
        <f t="shared" si="43"/>
        <v>1</v>
      </c>
      <c r="D221" s="1119"/>
      <c r="E221" s="311">
        <f t="shared" si="44"/>
        <v>1</v>
      </c>
      <c r="F221" s="1119"/>
      <c r="G221" s="311">
        <f t="shared" si="45"/>
        <v>1</v>
      </c>
      <c r="H221" s="1119"/>
      <c r="I221" s="311">
        <f t="shared" si="46"/>
        <v>1</v>
      </c>
      <c r="J221" s="1119"/>
      <c r="K221" s="311">
        <f t="shared" si="47"/>
        <v>1</v>
      </c>
      <c r="L221" s="1119"/>
      <c r="M221" s="311">
        <f t="shared" si="48"/>
        <v>1</v>
      </c>
      <c r="N221" s="1119"/>
      <c r="O221" s="311">
        <f t="shared" si="49"/>
        <v>1</v>
      </c>
      <c r="P221" s="1119"/>
      <c r="Q221" s="311">
        <f t="shared" si="50"/>
        <v>1</v>
      </c>
      <c r="R221" s="1115">
        <f t="shared" si="51"/>
        <v>0</v>
      </c>
      <c r="S221" s="694">
        <f t="shared" si="42"/>
        <v>0</v>
      </c>
    </row>
    <row r="222" spans="1:19">
      <c r="A222" s="487"/>
      <c r="B222" s="346"/>
      <c r="C222" s="311">
        <f t="shared" si="43"/>
        <v>1</v>
      </c>
      <c r="D222" s="1119"/>
      <c r="E222" s="311">
        <f t="shared" si="44"/>
        <v>1</v>
      </c>
      <c r="F222" s="1119"/>
      <c r="G222" s="311">
        <f t="shared" si="45"/>
        <v>1</v>
      </c>
      <c r="H222" s="1119"/>
      <c r="I222" s="311">
        <f t="shared" si="46"/>
        <v>1</v>
      </c>
      <c r="J222" s="1119"/>
      <c r="K222" s="311">
        <f t="shared" si="47"/>
        <v>1</v>
      </c>
      <c r="L222" s="1119"/>
      <c r="M222" s="311">
        <f t="shared" si="48"/>
        <v>1</v>
      </c>
      <c r="N222" s="1119"/>
      <c r="O222" s="311">
        <f t="shared" si="49"/>
        <v>1</v>
      </c>
      <c r="P222" s="1119"/>
      <c r="Q222" s="311">
        <f t="shared" si="50"/>
        <v>1</v>
      </c>
      <c r="R222" s="1115">
        <f t="shared" si="51"/>
        <v>0</v>
      </c>
      <c r="S222" s="694">
        <f t="shared" si="42"/>
        <v>0</v>
      </c>
    </row>
    <row r="223" spans="1:19">
      <c r="A223" s="487"/>
      <c r="B223" s="346"/>
      <c r="C223" s="311">
        <f t="shared" si="43"/>
        <v>1</v>
      </c>
      <c r="D223" s="1119"/>
      <c r="E223" s="311">
        <f t="shared" si="44"/>
        <v>1</v>
      </c>
      <c r="F223" s="1119"/>
      <c r="G223" s="311">
        <f t="shared" si="45"/>
        <v>1</v>
      </c>
      <c r="H223" s="1119"/>
      <c r="I223" s="311">
        <f t="shared" si="46"/>
        <v>1</v>
      </c>
      <c r="J223" s="1119"/>
      <c r="K223" s="311">
        <f t="shared" si="47"/>
        <v>1</v>
      </c>
      <c r="L223" s="1119"/>
      <c r="M223" s="311">
        <f t="shared" si="48"/>
        <v>1</v>
      </c>
      <c r="N223" s="1119"/>
      <c r="O223" s="311">
        <f t="shared" si="49"/>
        <v>1</v>
      </c>
      <c r="P223" s="1119"/>
      <c r="Q223" s="311">
        <f t="shared" si="50"/>
        <v>1</v>
      </c>
      <c r="R223" s="1115">
        <f t="shared" si="51"/>
        <v>0</v>
      </c>
      <c r="S223" s="694">
        <f t="shared" ref="S223:S286" si="52">ROUND(R223*B223/10000,0)</f>
        <v>0</v>
      </c>
    </row>
    <row r="224" spans="1:19">
      <c r="A224" s="487"/>
      <c r="B224" s="346"/>
      <c r="C224" s="311">
        <f t="shared" si="43"/>
        <v>1</v>
      </c>
      <c r="D224" s="1119"/>
      <c r="E224" s="311">
        <f t="shared" si="44"/>
        <v>1</v>
      </c>
      <c r="F224" s="1119"/>
      <c r="G224" s="311">
        <f t="shared" si="45"/>
        <v>1</v>
      </c>
      <c r="H224" s="1119"/>
      <c r="I224" s="311">
        <f t="shared" si="46"/>
        <v>1</v>
      </c>
      <c r="J224" s="1119"/>
      <c r="K224" s="311">
        <f t="shared" si="47"/>
        <v>1</v>
      </c>
      <c r="L224" s="1119"/>
      <c r="M224" s="311">
        <f t="shared" si="48"/>
        <v>1</v>
      </c>
      <c r="N224" s="1119"/>
      <c r="O224" s="311">
        <f t="shared" si="49"/>
        <v>1</v>
      </c>
      <c r="P224" s="1119"/>
      <c r="Q224" s="311">
        <f t="shared" si="50"/>
        <v>1</v>
      </c>
      <c r="R224" s="1115">
        <f t="shared" si="51"/>
        <v>0</v>
      </c>
      <c r="S224" s="694">
        <f t="shared" si="52"/>
        <v>0</v>
      </c>
    </row>
    <row r="225" spans="1:19">
      <c r="A225" s="487"/>
      <c r="B225" s="346"/>
      <c r="C225" s="311">
        <f t="shared" si="43"/>
        <v>1</v>
      </c>
      <c r="D225" s="1119"/>
      <c r="E225" s="311">
        <f t="shared" si="44"/>
        <v>1</v>
      </c>
      <c r="F225" s="1119"/>
      <c r="G225" s="311">
        <f t="shared" si="45"/>
        <v>1</v>
      </c>
      <c r="H225" s="1119"/>
      <c r="I225" s="311">
        <f t="shared" si="46"/>
        <v>1</v>
      </c>
      <c r="J225" s="1119"/>
      <c r="K225" s="311">
        <f t="shared" si="47"/>
        <v>1</v>
      </c>
      <c r="L225" s="1119"/>
      <c r="M225" s="311">
        <f t="shared" si="48"/>
        <v>1</v>
      </c>
      <c r="N225" s="1119"/>
      <c r="O225" s="311">
        <f t="shared" si="49"/>
        <v>1</v>
      </c>
      <c r="P225" s="1119"/>
      <c r="Q225" s="311">
        <f t="shared" si="50"/>
        <v>1</v>
      </c>
      <c r="R225" s="1115">
        <f t="shared" si="51"/>
        <v>0</v>
      </c>
      <c r="S225" s="694">
        <f t="shared" si="52"/>
        <v>0</v>
      </c>
    </row>
    <row r="226" spans="1:19">
      <c r="A226" s="487"/>
      <c r="B226" s="346"/>
      <c r="C226" s="311">
        <f t="shared" si="43"/>
        <v>1</v>
      </c>
      <c r="D226" s="1119"/>
      <c r="E226" s="311">
        <f t="shared" si="44"/>
        <v>1</v>
      </c>
      <c r="F226" s="1119"/>
      <c r="G226" s="311">
        <f t="shared" si="45"/>
        <v>1</v>
      </c>
      <c r="H226" s="1119"/>
      <c r="I226" s="311">
        <f t="shared" si="46"/>
        <v>1</v>
      </c>
      <c r="J226" s="1119"/>
      <c r="K226" s="311">
        <f t="shared" si="47"/>
        <v>1</v>
      </c>
      <c r="L226" s="1119"/>
      <c r="M226" s="311">
        <f t="shared" si="48"/>
        <v>1</v>
      </c>
      <c r="N226" s="1119"/>
      <c r="O226" s="311">
        <f t="shared" si="49"/>
        <v>1</v>
      </c>
      <c r="P226" s="1119"/>
      <c r="Q226" s="311">
        <f t="shared" si="50"/>
        <v>1</v>
      </c>
      <c r="R226" s="1115">
        <f t="shared" si="51"/>
        <v>0</v>
      </c>
      <c r="S226" s="694">
        <f t="shared" si="52"/>
        <v>0</v>
      </c>
    </row>
    <row r="227" spans="1:19">
      <c r="A227" s="487"/>
      <c r="B227" s="346"/>
      <c r="C227" s="311">
        <f t="shared" si="43"/>
        <v>1</v>
      </c>
      <c r="D227" s="1119"/>
      <c r="E227" s="311">
        <f t="shared" si="44"/>
        <v>1</v>
      </c>
      <c r="F227" s="1119"/>
      <c r="G227" s="311">
        <f t="shared" si="45"/>
        <v>1</v>
      </c>
      <c r="H227" s="1119"/>
      <c r="I227" s="311">
        <f t="shared" si="46"/>
        <v>1</v>
      </c>
      <c r="J227" s="1119"/>
      <c r="K227" s="311">
        <f t="shared" si="47"/>
        <v>1</v>
      </c>
      <c r="L227" s="1119"/>
      <c r="M227" s="311">
        <f t="shared" si="48"/>
        <v>1</v>
      </c>
      <c r="N227" s="1119"/>
      <c r="O227" s="311">
        <f t="shared" si="49"/>
        <v>1</v>
      </c>
      <c r="P227" s="1119"/>
      <c r="Q227" s="311">
        <f t="shared" si="50"/>
        <v>1</v>
      </c>
      <c r="R227" s="1115">
        <f t="shared" si="51"/>
        <v>0</v>
      </c>
      <c r="S227" s="694">
        <f t="shared" si="52"/>
        <v>0</v>
      </c>
    </row>
    <row r="228" spans="1:19">
      <c r="A228" s="487"/>
      <c r="B228" s="346"/>
      <c r="C228" s="311">
        <f t="shared" si="43"/>
        <v>1</v>
      </c>
      <c r="D228" s="1119"/>
      <c r="E228" s="311">
        <f t="shared" si="44"/>
        <v>1</v>
      </c>
      <c r="F228" s="1119"/>
      <c r="G228" s="311">
        <f t="shared" si="45"/>
        <v>1</v>
      </c>
      <c r="H228" s="1119"/>
      <c r="I228" s="311">
        <f t="shared" si="46"/>
        <v>1</v>
      </c>
      <c r="J228" s="1119"/>
      <c r="K228" s="311">
        <f t="shared" si="47"/>
        <v>1</v>
      </c>
      <c r="L228" s="1119"/>
      <c r="M228" s="311">
        <f t="shared" si="48"/>
        <v>1</v>
      </c>
      <c r="N228" s="1119"/>
      <c r="O228" s="311">
        <f t="shared" si="49"/>
        <v>1</v>
      </c>
      <c r="P228" s="1119"/>
      <c r="Q228" s="311">
        <f t="shared" si="50"/>
        <v>1</v>
      </c>
      <c r="R228" s="1115">
        <f t="shared" si="51"/>
        <v>0</v>
      </c>
      <c r="S228" s="694">
        <f t="shared" si="52"/>
        <v>0</v>
      </c>
    </row>
    <row r="229" spans="1:19">
      <c r="A229" s="487"/>
      <c r="B229" s="346"/>
      <c r="C229" s="311">
        <f t="shared" si="43"/>
        <v>1</v>
      </c>
      <c r="D229" s="1119"/>
      <c r="E229" s="311">
        <f t="shared" si="44"/>
        <v>1</v>
      </c>
      <c r="F229" s="1119"/>
      <c r="G229" s="311">
        <f t="shared" si="45"/>
        <v>1</v>
      </c>
      <c r="H229" s="1119"/>
      <c r="I229" s="311">
        <f t="shared" si="46"/>
        <v>1</v>
      </c>
      <c r="J229" s="1119"/>
      <c r="K229" s="311">
        <f t="shared" si="47"/>
        <v>1</v>
      </c>
      <c r="L229" s="1119"/>
      <c r="M229" s="311">
        <f t="shared" si="48"/>
        <v>1</v>
      </c>
      <c r="N229" s="1119"/>
      <c r="O229" s="311">
        <f t="shared" si="49"/>
        <v>1</v>
      </c>
      <c r="P229" s="1119"/>
      <c r="Q229" s="311">
        <f t="shared" si="50"/>
        <v>1</v>
      </c>
      <c r="R229" s="1115">
        <f t="shared" si="51"/>
        <v>0</v>
      </c>
      <c r="S229" s="694">
        <f t="shared" si="52"/>
        <v>0</v>
      </c>
    </row>
    <row r="230" spans="1:19">
      <c r="A230" s="487"/>
      <c r="B230" s="346"/>
      <c r="C230" s="311">
        <f t="shared" si="43"/>
        <v>1</v>
      </c>
      <c r="D230" s="1119"/>
      <c r="E230" s="311">
        <f t="shared" si="44"/>
        <v>1</v>
      </c>
      <c r="F230" s="1119"/>
      <c r="G230" s="311">
        <f t="shared" si="45"/>
        <v>1</v>
      </c>
      <c r="H230" s="1119"/>
      <c r="I230" s="311">
        <f t="shared" si="46"/>
        <v>1</v>
      </c>
      <c r="J230" s="1119"/>
      <c r="K230" s="311">
        <f t="shared" si="47"/>
        <v>1</v>
      </c>
      <c r="L230" s="1119"/>
      <c r="M230" s="311">
        <f t="shared" si="48"/>
        <v>1</v>
      </c>
      <c r="N230" s="1119"/>
      <c r="O230" s="311">
        <f t="shared" si="49"/>
        <v>1</v>
      </c>
      <c r="P230" s="1119"/>
      <c r="Q230" s="311">
        <f t="shared" si="50"/>
        <v>1</v>
      </c>
      <c r="R230" s="1115">
        <f t="shared" si="51"/>
        <v>0</v>
      </c>
      <c r="S230" s="694">
        <f t="shared" si="52"/>
        <v>0</v>
      </c>
    </row>
    <row r="231" spans="1:19">
      <c r="A231" s="487"/>
      <c r="B231" s="346"/>
      <c r="C231" s="311">
        <f t="shared" si="43"/>
        <v>1</v>
      </c>
      <c r="D231" s="1119"/>
      <c r="E231" s="311">
        <f t="shared" si="44"/>
        <v>1</v>
      </c>
      <c r="F231" s="1119"/>
      <c r="G231" s="311">
        <f t="shared" si="45"/>
        <v>1</v>
      </c>
      <c r="H231" s="1119"/>
      <c r="I231" s="311">
        <f t="shared" si="46"/>
        <v>1</v>
      </c>
      <c r="J231" s="1119"/>
      <c r="K231" s="311">
        <f t="shared" si="47"/>
        <v>1</v>
      </c>
      <c r="L231" s="1119"/>
      <c r="M231" s="311">
        <f t="shared" si="48"/>
        <v>1</v>
      </c>
      <c r="N231" s="1119"/>
      <c r="O231" s="311">
        <f t="shared" si="49"/>
        <v>1</v>
      </c>
      <c r="P231" s="1119"/>
      <c r="Q231" s="311">
        <f t="shared" si="50"/>
        <v>1</v>
      </c>
      <c r="R231" s="1115">
        <f t="shared" si="51"/>
        <v>0</v>
      </c>
      <c r="S231" s="694">
        <f t="shared" si="52"/>
        <v>0</v>
      </c>
    </row>
    <row r="232" spans="1:19">
      <c r="A232" s="487"/>
      <c r="B232" s="346"/>
      <c r="C232" s="311">
        <f t="shared" si="43"/>
        <v>1</v>
      </c>
      <c r="D232" s="1119"/>
      <c r="E232" s="311">
        <f t="shared" si="44"/>
        <v>1</v>
      </c>
      <c r="F232" s="1119"/>
      <c r="G232" s="311">
        <f t="shared" si="45"/>
        <v>1</v>
      </c>
      <c r="H232" s="1119"/>
      <c r="I232" s="311">
        <f t="shared" si="46"/>
        <v>1</v>
      </c>
      <c r="J232" s="1119"/>
      <c r="K232" s="311">
        <f t="shared" si="47"/>
        <v>1</v>
      </c>
      <c r="L232" s="1119"/>
      <c r="M232" s="311">
        <f t="shared" si="48"/>
        <v>1</v>
      </c>
      <c r="N232" s="1119"/>
      <c r="O232" s="311">
        <f t="shared" si="49"/>
        <v>1</v>
      </c>
      <c r="P232" s="1119"/>
      <c r="Q232" s="311">
        <f t="shared" si="50"/>
        <v>1</v>
      </c>
      <c r="R232" s="1115">
        <f t="shared" si="51"/>
        <v>0</v>
      </c>
      <c r="S232" s="694">
        <f t="shared" si="52"/>
        <v>0</v>
      </c>
    </row>
    <row r="233" spans="1:19">
      <c r="A233" s="487"/>
      <c r="B233" s="346"/>
      <c r="C233" s="311">
        <f t="shared" si="43"/>
        <v>1</v>
      </c>
      <c r="D233" s="1119"/>
      <c r="E233" s="311">
        <f t="shared" si="44"/>
        <v>1</v>
      </c>
      <c r="F233" s="1119"/>
      <c r="G233" s="311">
        <f t="shared" si="45"/>
        <v>1</v>
      </c>
      <c r="H233" s="1119"/>
      <c r="I233" s="311">
        <f t="shared" si="46"/>
        <v>1</v>
      </c>
      <c r="J233" s="1119"/>
      <c r="K233" s="311">
        <f t="shared" si="47"/>
        <v>1</v>
      </c>
      <c r="L233" s="1119"/>
      <c r="M233" s="311">
        <f t="shared" si="48"/>
        <v>1</v>
      </c>
      <c r="N233" s="1119"/>
      <c r="O233" s="311">
        <f t="shared" si="49"/>
        <v>1</v>
      </c>
      <c r="P233" s="1119"/>
      <c r="Q233" s="311">
        <f t="shared" si="50"/>
        <v>1</v>
      </c>
      <c r="R233" s="1115">
        <f t="shared" si="51"/>
        <v>0</v>
      </c>
      <c r="S233" s="694">
        <f t="shared" si="52"/>
        <v>0</v>
      </c>
    </row>
    <row r="234" spans="1:19">
      <c r="A234" s="487"/>
      <c r="B234" s="346"/>
      <c r="C234" s="311">
        <f t="shared" si="43"/>
        <v>1</v>
      </c>
      <c r="D234" s="1119"/>
      <c r="E234" s="311">
        <f t="shared" si="44"/>
        <v>1</v>
      </c>
      <c r="F234" s="1119"/>
      <c r="G234" s="311">
        <f t="shared" si="45"/>
        <v>1</v>
      </c>
      <c r="H234" s="1119"/>
      <c r="I234" s="311">
        <f t="shared" si="46"/>
        <v>1</v>
      </c>
      <c r="J234" s="1119"/>
      <c r="K234" s="311">
        <f t="shared" si="47"/>
        <v>1</v>
      </c>
      <c r="L234" s="1119"/>
      <c r="M234" s="311">
        <f t="shared" si="48"/>
        <v>1</v>
      </c>
      <c r="N234" s="1119"/>
      <c r="O234" s="311">
        <f t="shared" si="49"/>
        <v>1</v>
      </c>
      <c r="P234" s="1119"/>
      <c r="Q234" s="311">
        <f t="shared" si="50"/>
        <v>1</v>
      </c>
      <c r="R234" s="1115">
        <f t="shared" si="51"/>
        <v>0</v>
      </c>
      <c r="S234" s="694">
        <f t="shared" si="52"/>
        <v>0</v>
      </c>
    </row>
    <row r="235" spans="1:19">
      <c r="A235" s="487"/>
      <c r="B235" s="346"/>
      <c r="C235" s="311">
        <f t="shared" si="43"/>
        <v>1</v>
      </c>
      <c r="D235" s="1119"/>
      <c r="E235" s="311">
        <f t="shared" si="44"/>
        <v>1</v>
      </c>
      <c r="F235" s="1119"/>
      <c r="G235" s="311">
        <f t="shared" si="45"/>
        <v>1</v>
      </c>
      <c r="H235" s="1119"/>
      <c r="I235" s="311">
        <f t="shared" si="46"/>
        <v>1</v>
      </c>
      <c r="J235" s="1119"/>
      <c r="K235" s="311">
        <f t="shared" si="47"/>
        <v>1</v>
      </c>
      <c r="L235" s="1119"/>
      <c r="M235" s="311">
        <f t="shared" si="48"/>
        <v>1</v>
      </c>
      <c r="N235" s="1119"/>
      <c r="O235" s="311">
        <f t="shared" si="49"/>
        <v>1</v>
      </c>
      <c r="P235" s="1119"/>
      <c r="Q235" s="311">
        <f t="shared" si="50"/>
        <v>1</v>
      </c>
      <c r="R235" s="1115">
        <f t="shared" si="51"/>
        <v>0</v>
      </c>
      <c r="S235" s="694">
        <f t="shared" si="52"/>
        <v>0</v>
      </c>
    </row>
    <row r="236" spans="1:19">
      <c r="A236" s="487"/>
      <c r="B236" s="346"/>
      <c r="C236" s="311">
        <f t="shared" si="43"/>
        <v>1</v>
      </c>
      <c r="D236" s="1119"/>
      <c r="E236" s="311">
        <f t="shared" si="44"/>
        <v>1</v>
      </c>
      <c r="F236" s="1119"/>
      <c r="G236" s="311">
        <f t="shared" si="45"/>
        <v>1</v>
      </c>
      <c r="H236" s="1119"/>
      <c r="I236" s="311">
        <f t="shared" si="46"/>
        <v>1</v>
      </c>
      <c r="J236" s="1119"/>
      <c r="K236" s="311">
        <f t="shared" si="47"/>
        <v>1</v>
      </c>
      <c r="L236" s="1119"/>
      <c r="M236" s="311">
        <f t="shared" si="48"/>
        <v>1</v>
      </c>
      <c r="N236" s="1119"/>
      <c r="O236" s="311">
        <f t="shared" si="49"/>
        <v>1</v>
      </c>
      <c r="P236" s="1119"/>
      <c r="Q236" s="311">
        <f t="shared" si="50"/>
        <v>1</v>
      </c>
      <c r="R236" s="1115">
        <f t="shared" si="51"/>
        <v>0</v>
      </c>
      <c r="S236" s="694">
        <f t="shared" si="52"/>
        <v>0</v>
      </c>
    </row>
    <row r="237" spans="1:19">
      <c r="A237" s="487"/>
      <c r="B237" s="346"/>
      <c r="C237" s="311">
        <f t="shared" si="43"/>
        <v>1</v>
      </c>
      <c r="D237" s="1119"/>
      <c r="E237" s="311">
        <f t="shared" si="44"/>
        <v>1</v>
      </c>
      <c r="F237" s="1119"/>
      <c r="G237" s="311">
        <f t="shared" si="45"/>
        <v>1</v>
      </c>
      <c r="H237" s="1119"/>
      <c r="I237" s="311">
        <f t="shared" si="46"/>
        <v>1</v>
      </c>
      <c r="J237" s="1119"/>
      <c r="K237" s="311">
        <f t="shared" si="47"/>
        <v>1</v>
      </c>
      <c r="L237" s="1119"/>
      <c r="M237" s="311">
        <f t="shared" si="48"/>
        <v>1</v>
      </c>
      <c r="N237" s="1119"/>
      <c r="O237" s="311">
        <f t="shared" si="49"/>
        <v>1</v>
      </c>
      <c r="P237" s="1119"/>
      <c r="Q237" s="311">
        <f t="shared" si="50"/>
        <v>1</v>
      </c>
      <c r="R237" s="1115">
        <f t="shared" si="51"/>
        <v>0</v>
      </c>
      <c r="S237" s="694">
        <f t="shared" si="52"/>
        <v>0</v>
      </c>
    </row>
    <row r="238" spans="1:19">
      <c r="A238" s="487"/>
      <c r="B238" s="346"/>
      <c r="C238" s="311">
        <f t="shared" si="43"/>
        <v>1</v>
      </c>
      <c r="D238" s="1119"/>
      <c r="E238" s="311">
        <f t="shared" si="44"/>
        <v>1</v>
      </c>
      <c r="F238" s="1119"/>
      <c r="G238" s="311">
        <f t="shared" si="45"/>
        <v>1</v>
      </c>
      <c r="H238" s="1119"/>
      <c r="I238" s="311">
        <f t="shared" si="46"/>
        <v>1</v>
      </c>
      <c r="J238" s="1119"/>
      <c r="K238" s="311">
        <f t="shared" si="47"/>
        <v>1</v>
      </c>
      <c r="L238" s="1119"/>
      <c r="M238" s="311">
        <f t="shared" si="48"/>
        <v>1</v>
      </c>
      <c r="N238" s="1119"/>
      <c r="O238" s="311">
        <f t="shared" si="49"/>
        <v>1</v>
      </c>
      <c r="P238" s="1119"/>
      <c r="Q238" s="311">
        <f t="shared" si="50"/>
        <v>1</v>
      </c>
      <c r="R238" s="1115">
        <f t="shared" si="51"/>
        <v>0</v>
      </c>
      <c r="S238" s="694">
        <f t="shared" si="52"/>
        <v>0</v>
      </c>
    </row>
    <row r="239" spans="1:19">
      <c r="A239" s="487"/>
      <c r="B239" s="346"/>
      <c r="C239" s="311">
        <f t="shared" si="43"/>
        <v>1</v>
      </c>
      <c r="D239" s="1119"/>
      <c r="E239" s="311">
        <f t="shared" si="44"/>
        <v>1</v>
      </c>
      <c r="F239" s="1119"/>
      <c r="G239" s="311">
        <f t="shared" si="45"/>
        <v>1</v>
      </c>
      <c r="H239" s="1119"/>
      <c r="I239" s="311">
        <f t="shared" si="46"/>
        <v>1</v>
      </c>
      <c r="J239" s="1119"/>
      <c r="K239" s="311">
        <f t="shared" si="47"/>
        <v>1</v>
      </c>
      <c r="L239" s="1119"/>
      <c r="M239" s="311">
        <f t="shared" si="48"/>
        <v>1</v>
      </c>
      <c r="N239" s="1119"/>
      <c r="O239" s="311">
        <f t="shared" si="49"/>
        <v>1</v>
      </c>
      <c r="P239" s="1119"/>
      <c r="Q239" s="311">
        <f t="shared" si="50"/>
        <v>1</v>
      </c>
      <c r="R239" s="1115">
        <f t="shared" si="51"/>
        <v>0</v>
      </c>
      <c r="S239" s="694">
        <f t="shared" si="52"/>
        <v>0</v>
      </c>
    </row>
    <row r="240" spans="1:19">
      <c r="A240" s="487"/>
      <c r="B240" s="346"/>
      <c r="C240" s="311">
        <f t="shared" si="43"/>
        <v>1</v>
      </c>
      <c r="D240" s="1119"/>
      <c r="E240" s="311">
        <f t="shared" si="44"/>
        <v>1</v>
      </c>
      <c r="F240" s="1119"/>
      <c r="G240" s="311">
        <f t="shared" si="45"/>
        <v>1</v>
      </c>
      <c r="H240" s="1119"/>
      <c r="I240" s="311">
        <f t="shared" si="46"/>
        <v>1</v>
      </c>
      <c r="J240" s="1119"/>
      <c r="K240" s="311">
        <f t="shared" si="47"/>
        <v>1</v>
      </c>
      <c r="L240" s="1119"/>
      <c r="M240" s="311">
        <f t="shared" si="48"/>
        <v>1</v>
      </c>
      <c r="N240" s="1119"/>
      <c r="O240" s="311">
        <f t="shared" si="49"/>
        <v>1</v>
      </c>
      <c r="P240" s="1119"/>
      <c r="Q240" s="311">
        <f t="shared" si="50"/>
        <v>1</v>
      </c>
      <c r="R240" s="1115">
        <f t="shared" si="51"/>
        <v>0</v>
      </c>
      <c r="S240" s="694">
        <f t="shared" si="52"/>
        <v>0</v>
      </c>
    </row>
    <row r="241" spans="1:19">
      <c r="A241" s="487"/>
      <c r="B241" s="346"/>
      <c r="C241" s="311">
        <f t="shared" si="43"/>
        <v>1</v>
      </c>
      <c r="D241" s="1119"/>
      <c r="E241" s="311">
        <f t="shared" si="44"/>
        <v>1</v>
      </c>
      <c r="F241" s="1119"/>
      <c r="G241" s="311">
        <f t="shared" si="45"/>
        <v>1</v>
      </c>
      <c r="H241" s="1119"/>
      <c r="I241" s="311">
        <f t="shared" si="46"/>
        <v>1</v>
      </c>
      <c r="J241" s="1119"/>
      <c r="K241" s="311">
        <f t="shared" si="47"/>
        <v>1</v>
      </c>
      <c r="L241" s="1119"/>
      <c r="M241" s="311">
        <f t="shared" si="48"/>
        <v>1</v>
      </c>
      <c r="N241" s="1119"/>
      <c r="O241" s="311">
        <f t="shared" si="49"/>
        <v>1</v>
      </c>
      <c r="P241" s="1119"/>
      <c r="Q241" s="311">
        <f t="shared" si="50"/>
        <v>1</v>
      </c>
      <c r="R241" s="1115">
        <f t="shared" si="51"/>
        <v>0</v>
      </c>
      <c r="S241" s="694">
        <f t="shared" si="52"/>
        <v>0</v>
      </c>
    </row>
    <row r="242" spans="1:19">
      <c r="A242" s="487"/>
      <c r="B242" s="346"/>
      <c r="C242" s="311">
        <f t="shared" si="43"/>
        <v>1</v>
      </c>
      <c r="D242" s="1119"/>
      <c r="E242" s="311">
        <f t="shared" si="44"/>
        <v>1</v>
      </c>
      <c r="F242" s="1119"/>
      <c r="G242" s="311">
        <f t="shared" si="45"/>
        <v>1</v>
      </c>
      <c r="H242" s="1119"/>
      <c r="I242" s="311">
        <f t="shared" si="46"/>
        <v>1</v>
      </c>
      <c r="J242" s="1119"/>
      <c r="K242" s="311">
        <f t="shared" si="47"/>
        <v>1</v>
      </c>
      <c r="L242" s="1119"/>
      <c r="M242" s="311">
        <f t="shared" si="48"/>
        <v>1</v>
      </c>
      <c r="N242" s="1119"/>
      <c r="O242" s="311">
        <f t="shared" si="49"/>
        <v>1</v>
      </c>
      <c r="P242" s="1119"/>
      <c r="Q242" s="311">
        <f t="shared" si="50"/>
        <v>1</v>
      </c>
      <c r="R242" s="1115">
        <f t="shared" si="51"/>
        <v>0</v>
      </c>
      <c r="S242" s="694">
        <f t="shared" si="52"/>
        <v>0</v>
      </c>
    </row>
    <row r="243" spans="1:19">
      <c r="A243" s="487"/>
      <c r="B243" s="346"/>
      <c r="C243" s="311">
        <f t="shared" si="43"/>
        <v>1</v>
      </c>
      <c r="D243" s="1119"/>
      <c r="E243" s="311">
        <f t="shared" si="44"/>
        <v>1</v>
      </c>
      <c r="F243" s="1119"/>
      <c r="G243" s="311">
        <f t="shared" si="45"/>
        <v>1</v>
      </c>
      <c r="H243" s="1119"/>
      <c r="I243" s="311">
        <f t="shared" si="46"/>
        <v>1</v>
      </c>
      <c r="J243" s="1119"/>
      <c r="K243" s="311">
        <f t="shared" si="47"/>
        <v>1</v>
      </c>
      <c r="L243" s="1119"/>
      <c r="M243" s="311">
        <f t="shared" si="48"/>
        <v>1</v>
      </c>
      <c r="N243" s="1119"/>
      <c r="O243" s="311">
        <f t="shared" si="49"/>
        <v>1</v>
      </c>
      <c r="P243" s="1119"/>
      <c r="Q243" s="311">
        <f t="shared" si="50"/>
        <v>1</v>
      </c>
      <c r="R243" s="1115">
        <f t="shared" si="51"/>
        <v>0</v>
      </c>
      <c r="S243" s="694">
        <f t="shared" si="52"/>
        <v>0</v>
      </c>
    </row>
    <row r="244" spans="1:19">
      <c r="A244" s="487"/>
      <c r="B244" s="346"/>
      <c r="C244" s="311">
        <f t="shared" si="43"/>
        <v>1</v>
      </c>
      <c r="D244" s="1119"/>
      <c r="E244" s="311">
        <f t="shared" si="44"/>
        <v>1</v>
      </c>
      <c r="F244" s="1119"/>
      <c r="G244" s="311">
        <f t="shared" si="45"/>
        <v>1</v>
      </c>
      <c r="H244" s="1119"/>
      <c r="I244" s="311">
        <f t="shared" si="46"/>
        <v>1</v>
      </c>
      <c r="J244" s="1119"/>
      <c r="K244" s="311">
        <f t="shared" si="47"/>
        <v>1</v>
      </c>
      <c r="L244" s="1119"/>
      <c r="M244" s="311">
        <f t="shared" si="48"/>
        <v>1</v>
      </c>
      <c r="N244" s="1119"/>
      <c r="O244" s="311">
        <f t="shared" si="49"/>
        <v>1</v>
      </c>
      <c r="P244" s="1119"/>
      <c r="Q244" s="311">
        <f t="shared" si="50"/>
        <v>1</v>
      </c>
      <c r="R244" s="1115">
        <f t="shared" si="51"/>
        <v>0</v>
      </c>
      <c r="S244" s="694">
        <f t="shared" si="52"/>
        <v>0</v>
      </c>
    </row>
    <row r="245" spans="1:19">
      <c r="A245" s="487"/>
      <c r="B245" s="346"/>
      <c r="C245" s="311">
        <f t="shared" si="43"/>
        <v>1</v>
      </c>
      <c r="D245" s="1119"/>
      <c r="E245" s="311">
        <f t="shared" si="44"/>
        <v>1</v>
      </c>
      <c r="F245" s="1119"/>
      <c r="G245" s="311">
        <f t="shared" si="45"/>
        <v>1</v>
      </c>
      <c r="H245" s="1119"/>
      <c r="I245" s="311">
        <f t="shared" si="46"/>
        <v>1</v>
      </c>
      <c r="J245" s="1119"/>
      <c r="K245" s="311">
        <f t="shared" si="47"/>
        <v>1</v>
      </c>
      <c r="L245" s="1119"/>
      <c r="M245" s="311">
        <f t="shared" si="48"/>
        <v>1</v>
      </c>
      <c r="N245" s="1119"/>
      <c r="O245" s="311">
        <f t="shared" si="49"/>
        <v>1</v>
      </c>
      <c r="P245" s="1119"/>
      <c r="Q245" s="311">
        <f t="shared" si="50"/>
        <v>1</v>
      </c>
      <c r="R245" s="1115">
        <f t="shared" si="51"/>
        <v>0</v>
      </c>
      <c r="S245" s="694">
        <f t="shared" si="52"/>
        <v>0</v>
      </c>
    </row>
    <row r="246" spans="1:19">
      <c r="A246" s="487"/>
      <c r="B246" s="346"/>
      <c r="C246" s="311">
        <f t="shared" si="43"/>
        <v>1</v>
      </c>
      <c r="D246" s="1119"/>
      <c r="E246" s="311">
        <f t="shared" si="44"/>
        <v>1</v>
      </c>
      <c r="F246" s="1119"/>
      <c r="G246" s="311">
        <f t="shared" si="45"/>
        <v>1</v>
      </c>
      <c r="H246" s="1119"/>
      <c r="I246" s="311">
        <f t="shared" si="46"/>
        <v>1</v>
      </c>
      <c r="J246" s="1119"/>
      <c r="K246" s="311">
        <f t="shared" si="47"/>
        <v>1</v>
      </c>
      <c r="L246" s="1119"/>
      <c r="M246" s="311">
        <f t="shared" si="48"/>
        <v>1</v>
      </c>
      <c r="N246" s="1119"/>
      <c r="O246" s="311">
        <f t="shared" si="49"/>
        <v>1</v>
      </c>
      <c r="P246" s="1119"/>
      <c r="Q246" s="311">
        <f t="shared" si="50"/>
        <v>1</v>
      </c>
      <c r="R246" s="1115">
        <f t="shared" si="51"/>
        <v>0</v>
      </c>
      <c r="S246" s="694">
        <f t="shared" si="52"/>
        <v>0</v>
      </c>
    </row>
    <row r="247" spans="1:19">
      <c r="A247" s="487"/>
      <c r="B247" s="346"/>
      <c r="C247" s="311">
        <f t="shared" si="43"/>
        <v>1</v>
      </c>
      <c r="D247" s="1119"/>
      <c r="E247" s="311">
        <f t="shared" si="44"/>
        <v>1</v>
      </c>
      <c r="F247" s="1119"/>
      <c r="G247" s="311">
        <f t="shared" si="45"/>
        <v>1</v>
      </c>
      <c r="H247" s="1119"/>
      <c r="I247" s="311">
        <f t="shared" si="46"/>
        <v>1</v>
      </c>
      <c r="J247" s="1119"/>
      <c r="K247" s="311">
        <f t="shared" si="47"/>
        <v>1</v>
      </c>
      <c r="L247" s="1119"/>
      <c r="M247" s="311">
        <f t="shared" si="48"/>
        <v>1</v>
      </c>
      <c r="N247" s="1119"/>
      <c r="O247" s="311">
        <f t="shared" si="49"/>
        <v>1</v>
      </c>
      <c r="P247" s="1119"/>
      <c r="Q247" s="311">
        <f t="shared" si="50"/>
        <v>1</v>
      </c>
      <c r="R247" s="1115">
        <f t="shared" si="51"/>
        <v>0</v>
      </c>
      <c r="S247" s="694">
        <f t="shared" si="52"/>
        <v>0</v>
      </c>
    </row>
    <row r="248" spans="1:19">
      <c r="A248" s="487"/>
      <c r="B248" s="346"/>
      <c r="C248" s="311">
        <f t="shared" si="43"/>
        <v>1</v>
      </c>
      <c r="D248" s="1119"/>
      <c r="E248" s="311">
        <f t="shared" si="44"/>
        <v>1</v>
      </c>
      <c r="F248" s="1119"/>
      <c r="G248" s="311">
        <f t="shared" si="45"/>
        <v>1</v>
      </c>
      <c r="H248" s="1119"/>
      <c r="I248" s="311">
        <f t="shared" si="46"/>
        <v>1</v>
      </c>
      <c r="J248" s="1119"/>
      <c r="K248" s="311">
        <f t="shared" si="47"/>
        <v>1</v>
      </c>
      <c r="L248" s="1119"/>
      <c r="M248" s="311">
        <f t="shared" si="48"/>
        <v>1</v>
      </c>
      <c r="N248" s="1119"/>
      <c r="O248" s="311">
        <f t="shared" si="49"/>
        <v>1</v>
      </c>
      <c r="P248" s="1119"/>
      <c r="Q248" s="311">
        <f t="shared" si="50"/>
        <v>1</v>
      </c>
      <c r="R248" s="1115">
        <f t="shared" si="51"/>
        <v>0</v>
      </c>
      <c r="S248" s="694">
        <f t="shared" si="52"/>
        <v>0</v>
      </c>
    </row>
    <row r="249" spans="1:19">
      <c r="A249" s="487"/>
      <c r="B249" s="346"/>
      <c r="C249" s="311">
        <f t="shared" si="43"/>
        <v>1</v>
      </c>
      <c r="D249" s="1119"/>
      <c r="E249" s="311">
        <f t="shared" si="44"/>
        <v>1</v>
      </c>
      <c r="F249" s="1119"/>
      <c r="G249" s="311">
        <f t="shared" si="45"/>
        <v>1</v>
      </c>
      <c r="H249" s="1119"/>
      <c r="I249" s="311">
        <f t="shared" si="46"/>
        <v>1</v>
      </c>
      <c r="J249" s="1119"/>
      <c r="K249" s="311">
        <f t="shared" si="47"/>
        <v>1</v>
      </c>
      <c r="L249" s="1119"/>
      <c r="M249" s="311">
        <f t="shared" si="48"/>
        <v>1</v>
      </c>
      <c r="N249" s="1119"/>
      <c r="O249" s="311">
        <f t="shared" si="49"/>
        <v>1</v>
      </c>
      <c r="P249" s="1119"/>
      <c r="Q249" s="311">
        <f t="shared" si="50"/>
        <v>1</v>
      </c>
      <c r="R249" s="1115">
        <f t="shared" si="51"/>
        <v>0</v>
      </c>
      <c r="S249" s="694">
        <f t="shared" si="52"/>
        <v>0</v>
      </c>
    </row>
    <row r="250" spans="1:19">
      <c r="A250" s="487"/>
      <c r="B250" s="346"/>
      <c r="C250" s="311">
        <f t="shared" si="43"/>
        <v>1</v>
      </c>
      <c r="D250" s="1119"/>
      <c r="E250" s="311">
        <f t="shared" si="44"/>
        <v>1</v>
      </c>
      <c r="F250" s="1119"/>
      <c r="G250" s="311">
        <f t="shared" si="45"/>
        <v>1</v>
      </c>
      <c r="H250" s="1119"/>
      <c r="I250" s="311">
        <f t="shared" si="46"/>
        <v>1</v>
      </c>
      <c r="J250" s="1119"/>
      <c r="K250" s="311">
        <f t="shared" si="47"/>
        <v>1</v>
      </c>
      <c r="L250" s="1119"/>
      <c r="M250" s="311">
        <f t="shared" si="48"/>
        <v>1</v>
      </c>
      <c r="N250" s="1119"/>
      <c r="O250" s="311">
        <f t="shared" si="49"/>
        <v>1</v>
      </c>
      <c r="P250" s="1119"/>
      <c r="Q250" s="311">
        <f t="shared" si="50"/>
        <v>1</v>
      </c>
      <c r="R250" s="1115">
        <f t="shared" si="51"/>
        <v>0</v>
      </c>
      <c r="S250" s="694">
        <f t="shared" si="52"/>
        <v>0</v>
      </c>
    </row>
    <row r="251" spans="1:19">
      <c r="A251" s="487"/>
      <c r="B251" s="346"/>
      <c r="C251" s="311">
        <f t="shared" si="43"/>
        <v>1</v>
      </c>
      <c r="D251" s="1119"/>
      <c r="E251" s="311">
        <f t="shared" si="44"/>
        <v>1</v>
      </c>
      <c r="F251" s="1119"/>
      <c r="G251" s="311">
        <f t="shared" si="45"/>
        <v>1</v>
      </c>
      <c r="H251" s="1119"/>
      <c r="I251" s="311">
        <f t="shared" si="46"/>
        <v>1</v>
      </c>
      <c r="J251" s="1119"/>
      <c r="K251" s="311">
        <f t="shared" si="47"/>
        <v>1</v>
      </c>
      <c r="L251" s="1119"/>
      <c r="M251" s="311">
        <f t="shared" si="48"/>
        <v>1</v>
      </c>
      <c r="N251" s="1119"/>
      <c r="O251" s="311">
        <f t="shared" si="49"/>
        <v>1</v>
      </c>
      <c r="P251" s="1119"/>
      <c r="Q251" s="311">
        <f t="shared" si="50"/>
        <v>1</v>
      </c>
      <c r="R251" s="1115">
        <f t="shared" si="51"/>
        <v>0</v>
      </c>
      <c r="S251" s="694">
        <f t="shared" si="52"/>
        <v>0</v>
      </c>
    </row>
    <row r="252" spans="1:19">
      <c r="A252" s="487"/>
      <c r="B252" s="346"/>
      <c r="C252" s="311">
        <f t="shared" si="43"/>
        <v>1</v>
      </c>
      <c r="D252" s="1119"/>
      <c r="E252" s="311">
        <f t="shared" si="44"/>
        <v>1</v>
      </c>
      <c r="F252" s="1119"/>
      <c r="G252" s="311">
        <f t="shared" si="45"/>
        <v>1</v>
      </c>
      <c r="H252" s="1119"/>
      <c r="I252" s="311">
        <f t="shared" si="46"/>
        <v>1</v>
      </c>
      <c r="J252" s="1119"/>
      <c r="K252" s="311">
        <f t="shared" si="47"/>
        <v>1</v>
      </c>
      <c r="L252" s="1119"/>
      <c r="M252" s="311">
        <f t="shared" si="48"/>
        <v>1</v>
      </c>
      <c r="N252" s="1119"/>
      <c r="O252" s="311">
        <f t="shared" si="49"/>
        <v>1</v>
      </c>
      <c r="P252" s="1119"/>
      <c r="Q252" s="311">
        <f t="shared" si="50"/>
        <v>1</v>
      </c>
      <c r="R252" s="1115">
        <f t="shared" si="51"/>
        <v>0</v>
      </c>
      <c r="S252" s="694">
        <f t="shared" si="52"/>
        <v>0</v>
      </c>
    </row>
    <row r="253" spans="1:19">
      <c r="A253" s="487"/>
      <c r="B253" s="346"/>
      <c r="C253" s="311">
        <f t="shared" si="43"/>
        <v>1</v>
      </c>
      <c r="D253" s="1119"/>
      <c r="E253" s="311">
        <f t="shared" si="44"/>
        <v>1</v>
      </c>
      <c r="F253" s="1119"/>
      <c r="G253" s="311">
        <f t="shared" si="45"/>
        <v>1</v>
      </c>
      <c r="H253" s="1119"/>
      <c r="I253" s="311">
        <f t="shared" si="46"/>
        <v>1</v>
      </c>
      <c r="J253" s="1119"/>
      <c r="K253" s="311">
        <f t="shared" si="47"/>
        <v>1</v>
      </c>
      <c r="L253" s="1119"/>
      <c r="M253" s="311">
        <f t="shared" si="48"/>
        <v>1</v>
      </c>
      <c r="N253" s="1119"/>
      <c r="O253" s="311">
        <f t="shared" si="49"/>
        <v>1</v>
      </c>
      <c r="P253" s="1119"/>
      <c r="Q253" s="311">
        <f t="shared" si="50"/>
        <v>1</v>
      </c>
      <c r="R253" s="1115">
        <f t="shared" si="51"/>
        <v>0</v>
      </c>
      <c r="S253" s="694">
        <f t="shared" si="52"/>
        <v>0</v>
      </c>
    </row>
    <row r="254" spans="1:19">
      <c r="A254" s="487"/>
      <c r="B254" s="346"/>
      <c r="C254" s="311">
        <f t="shared" si="43"/>
        <v>1</v>
      </c>
      <c r="D254" s="1119"/>
      <c r="E254" s="311">
        <f t="shared" si="44"/>
        <v>1</v>
      </c>
      <c r="F254" s="1119"/>
      <c r="G254" s="311">
        <f t="shared" si="45"/>
        <v>1</v>
      </c>
      <c r="H254" s="1119"/>
      <c r="I254" s="311">
        <f t="shared" si="46"/>
        <v>1</v>
      </c>
      <c r="J254" s="1119"/>
      <c r="K254" s="311">
        <f t="shared" si="47"/>
        <v>1</v>
      </c>
      <c r="L254" s="1119"/>
      <c r="M254" s="311">
        <f t="shared" si="48"/>
        <v>1</v>
      </c>
      <c r="N254" s="1119"/>
      <c r="O254" s="311">
        <f t="shared" si="49"/>
        <v>1</v>
      </c>
      <c r="P254" s="1119"/>
      <c r="Q254" s="311">
        <f t="shared" si="50"/>
        <v>1</v>
      </c>
      <c r="R254" s="1115">
        <f t="shared" si="51"/>
        <v>0</v>
      </c>
      <c r="S254" s="694">
        <f t="shared" si="52"/>
        <v>0</v>
      </c>
    </row>
    <row r="255" spans="1:19">
      <c r="A255" s="487"/>
      <c r="B255" s="346"/>
      <c r="C255" s="311">
        <f t="shared" si="43"/>
        <v>1</v>
      </c>
      <c r="D255" s="1119"/>
      <c r="E255" s="311">
        <f t="shared" si="44"/>
        <v>1</v>
      </c>
      <c r="F255" s="1119"/>
      <c r="G255" s="311">
        <f t="shared" si="45"/>
        <v>1</v>
      </c>
      <c r="H255" s="1119"/>
      <c r="I255" s="311">
        <f t="shared" si="46"/>
        <v>1</v>
      </c>
      <c r="J255" s="1119"/>
      <c r="K255" s="311">
        <f t="shared" si="47"/>
        <v>1</v>
      </c>
      <c r="L255" s="1119"/>
      <c r="M255" s="311">
        <f t="shared" si="48"/>
        <v>1</v>
      </c>
      <c r="N255" s="1119"/>
      <c r="O255" s="311">
        <f t="shared" si="49"/>
        <v>1</v>
      </c>
      <c r="P255" s="1119"/>
      <c r="Q255" s="311">
        <f t="shared" si="50"/>
        <v>1</v>
      </c>
      <c r="R255" s="1115">
        <f t="shared" si="51"/>
        <v>0</v>
      </c>
      <c r="S255" s="694">
        <f t="shared" si="52"/>
        <v>0</v>
      </c>
    </row>
    <row r="256" spans="1:19">
      <c r="A256" s="487"/>
      <c r="B256" s="346"/>
      <c r="C256" s="311">
        <f t="shared" si="43"/>
        <v>1</v>
      </c>
      <c r="D256" s="1119"/>
      <c r="E256" s="311">
        <f t="shared" si="44"/>
        <v>1</v>
      </c>
      <c r="F256" s="1119"/>
      <c r="G256" s="311">
        <f t="shared" si="45"/>
        <v>1</v>
      </c>
      <c r="H256" s="1119"/>
      <c r="I256" s="311">
        <f t="shared" si="46"/>
        <v>1</v>
      </c>
      <c r="J256" s="1119"/>
      <c r="K256" s="311">
        <f t="shared" si="47"/>
        <v>1</v>
      </c>
      <c r="L256" s="1119"/>
      <c r="M256" s="311">
        <f t="shared" si="48"/>
        <v>1</v>
      </c>
      <c r="N256" s="1119"/>
      <c r="O256" s="311">
        <f t="shared" si="49"/>
        <v>1</v>
      </c>
      <c r="P256" s="1119"/>
      <c r="Q256" s="311">
        <f t="shared" si="50"/>
        <v>1</v>
      </c>
      <c r="R256" s="1115">
        <f t="shared" si="51"/>
        <v>0</v>
      </c>
      <c r="S256" s="694">
        <f t="shared" si="52"/>
        <v>0</v>
      </c>
    </row>
    <row r="257" spans="1:19">
      <c r="A257" s="487"/>
      <c r="B257" s="346"/>
      <c r="C257" s="311">
        <f t="shared" si="43"/>
        <v>1</v>
      </c>
      <c r="D257" s="1119"/>
      <c r="E257" s="311">
        <f t="shared" si="44"/>
        <v>1</v>
      </c>
      <c r="F257" s="1119"/>
      <c r="G257" s="311">
        <f t="shared" si="45"/>
        <v>1</v>
      </c>
      <c r="H257" s="1119"/>
      <c r="I257" s="311">
        <f t="shared" si="46"/>
        <v>1</v>
      </c>
      <c r="J257" s="1119"/>
      <c r="K257" s="311">
        <f t="shared" si="47"/>
        <v>1</v>
      </c>
      <c r="L257" s="1119"/>
      <c r="M257" s="311">
        <f t="shared" si="48"/>
        <v>1</v>
      </c>
      <c r="N257" s="1119"/>
      <c r="O257" s="311">
        <f t="shared" si="49"/>
        <v>1</v>
      </c>
      <c r="P257" s="1119"/>
      <c r="Q257" s="311">
        <f t="shared" si="50"/>
        <v>1</v>
      </c>
      <c r="R257" s="1115">
        <f t="shared" si="51"/>
        <v>0</v>
      </c>
      <c r="S257" s="694">
        <f t="shared" si="52"/>
        <v>0</v>
      </c>
    </row>
    <row r="258" spans="1:19">
      <c r="A258" s="487"/>
      <c r="B258" s="346"/>
      <c r="C258" s="311">
        <f t="shared" si="43"/>
        <v>1</v>
      </c>
      <c r="D258" s="1119"/>
      <c r="E258" s="311">
        <f t="shared" si="44"/>
        <v>1</v>
      </c>
      <c r="F258" s="1119"/>
      <c r="G258" s="311">
        <f t="shared" si="45"/>
        <v>1</v>
      </c>
      <c r="H258" s="1119"/>
      <c r="I258" s="311">
        <f t="shared" si="46"/>
        <v>1</v>
      </c>
      <c r="J258" s="1119"/>
      <c r="K258" s="311">
        <f t="shared" si="47"/>
        <v>1</v>
      </c>
      <c r="L258" s="1119"/>
      <c r="M258" s="311">
        <f t="shared" si="48"/>
        <v>1</v>
      </c>
      <c r="N258" s="1119"/>
      <c r="O258" s="311">
        <f t="shared" si="49"/>
        <v>1</v>
      </c>
      <c r="P258" s="1119"/>
      <c r="Q258" s="311">
        <f t="shared" si="50"/>
        <v>1</v>
      </c>
      <c r="R258" s="1115">
        <f t="shared" si="51"/>
        <v>0</v>
      </c>
      <c r="S258" s="694">
        <f t="shared" si="52"/>
        <v>0</v>
      </c>
    </row>
    <row r="259" spans="1:19">
      <c r="A259" s="487"/>
      <c r="B259" s="346"/>
      <c r="C259" s="311">
        <f t="shared" si="43"/>
        <v>1</v>
      </c>
      <c r="D259" s="1119"/>
      <c r="E259" s="311">
        <f t="shared" si="44"/>
        <v>1</v>
      </c>
      <c r="F259" s="1119"/>
      <c r="G259" s="311">
        <f t="shared" si="45"/>
        <v>1</v>
      </c>
      <c r="H259" s="1119"/>
      <c r="I259" s="311">
        <f t="shared" si="46"/>
        <v>1</v>
      </c>
      <c r="J259" s="1119"/>
      <c r="K259" s="311">
        <f t="shared" si="47"/>
        <v>1</v>
      </c>
      <c r="L259" s="1119"/>
      <c r="M259" s="311">
        <f t="shared" si="48"/>
        <v>1</v>
      </c>
      <c r="N259" s="1119"/>
      <c r="O259" s="311">
        <f t="shared" si="49"/>
        <v>1</v>
      </c>
      <c r="P259" s="1119"/>
      <c r="Q259" s="311">
        <f t="shared" si="50"/>
        <v>1</v>
      </c>
      <c r="R259" s="1115">
        <f t="shared" si="51"/>
        <v>0</v>
      </c>
      <c r="S259" s="694">
        <f t="shared" si="52"/>
        <v>0</v>
      </c>
    </row>
    <row r="260" spans="1:19">
      <c r="A260" s="487"/>
      <c r="B260" s="346"/>
      <c r="C260" s="311">
        <f t="shared" si="43"/>
        <v>1</v>
      </c>
      <c r="D260" s="1119"/>
      <c r="E260" s="311">
        <f t="shared" si="44"/>
        <v>1</v>
      </c>
      <c r="F260" s="1119"/>
      <c r="G260" s="311">
        <f t="shared" si="45"/>
        <v>1</v>
      </c>
      <c r="H260" s="1119"/>
      <c r="I260" s="311">
        <f t="shared" si="46"/>
        <v>1</v>
      </c>
      <c r="J260" s="1119"/>
      <c r="K260" s="311">
        <f t="shared" si="47"/>
        <v>1</v>
      </c>
      <c r="L260" s="1119"/>
      <c r="M260" s="311">
        <f t="shared" si="48"/>
        <v>1</v>
      </c>
      <c r="N260" s="1119"/>
      <c r="O260" s="311">
        <f t="shared" si="49"/>
        <v>1</v>
      </c>
      <c r="P260" s="1119"/>
      <c r="Q260" s="311">
        <f t="shared" si="50"/>
        <v>1</v>
      </c>
      <c r="R260" s="1115">
        <f t="shared" si="51"/>
        <v>0</v>
      </c>
      <c r="S260" s="694">
        <f t="shared" si="52"/>
        <v>0</v>
      </c>
    </row>
    <row r="261" spans="1:19">
      <c r="A261" s="487"/>
      <c r="B261" s="346"/>
      <c r="C261" s="311">
        <f t="shared" si="43"/>
        <v>1</v>
      </c>
      <c r="D261" s="1119"/>
      <c r="E261" s="311">
        <f t="shared" si="44"/>
        <v>1</v>
      </c>
      <c r="F261" s="1119"/>
      <c r="G261" s="311">
        <f t="shared" si="45"/>
        <v>1</v>
      </c>
      <c r="H261" s="1119"/>
      <c r="I261" s="311">
        <f t="shared" si="46"/>
        <v>1</v>
      </c>
      <c r="J261" s="1119"/>
      <c r="K261" s="311">
        <f t="shared" si="47"/>
        <v>1</v>
      </c>
      <c r="L261" s="1119"/>
      <c r="M261" s="311">
        <f t="shared" si="48"/>
        <v>1</v>
      </c>
      <c r="N261" s="1119"/>
      <c r="O261" s="311">
        <f t="shared" si="49"/>
        <v>1</v>
      </c>
      <c r="P261" s="1119"/>
      <c r="Q261" s="311">
        <f t="shared" si="50"/>
        <v>1</v>
      </c>
      <c r="R261" s="1115">
        <f t="shared" si="51"/>
        <v>0</v>
      </c>
      <c r="S261" s="694">
        <f t="shared" si="52"/>
        <v>0</v>
      </c>
    </row>
    <row r="262" spans="1:19">
      <c r="A262" s="487"/>
      <c r="B262" s="346"/>
      <c r="C262" s="311">
        <f t="shared" si="43"/>
        <v>1</v>
      </c>
      <c r="D262" s="1119"/>
      <c r="E262" s="311">
        <f t="shared" si="44"/>
        <v>1</v>
      </c>
      <c r="F262" s="1119"/>
      <c r="G262" s="311">
        <f t="shared" si="45"/>
        <v>1</v>
      </c>
      <c r="H262" s="1119"/>
      <c r="I262" s="311">
        <f t="shared" si="46"/>
        <v>1</v>
      </c>
      <c r="J262" s="1119"/>
      <c r="K262" s="311">
        <f t="shared" si="47"/>
        <v>1</v>
      </c>
      <c r="L262" s="1119"/>
      <c r="M262" s="311">
        <f t="shared" si="48"/>
        <v>1</v>
      </c>
      <c r="N262" s="1119"/>
      <c r="O262" s="311">
        <f t="shared" si="49"/>
        <v>1</v>
      </c>
      <c r="P262" s="1119"/>
      <c r="Q262" s="311">
        <f t="shared" si="50"/>
        <v>1</v>
      </c>
      <c r="R262" s="1115">
        <f t="shared" si="51"/>
        <v>0</v>
      </c>
      <c r="S262" s="694">
        <f t="shared" si="52"/>
        <v>0</v>
      </c>
    </row>
    <row r="263" spans="1:19">
      <c r="A263" s="487"/>
      <c r="B263" s="346"/>
      <c r="C263" s="311">
        <f t="shared" si="43"/>
        <v>1</v>
      </c>
      <c r="D263" s="1119"/>
      <c r="E263" s="311">
        <f t="shared" si="44"/>
        <v>1</v>
      </c>
      <c r="F263" s="1119"/>
      <c r="G263" s="311">
        <f t="shared" si="45"/>
        <v>1</v>
      </c>
      <c r="H263" s="1119"/>
      <c r="I263" s="311">
        <f t="shared" si="46"/>
        <v>1</v>
      </c>
      <c r="J263" s="1119"/>
      <c r="K263" s="311">
        <f t="shared" si="47"/>
        <v>1</v>
      </c>
      <c r="L263" s="1119"/>
      <c r="M263" s="311">
        <f t="shared" si="48"/>
        <v>1</v>
      </c>
      <c r="N263" s="1119"/>
      <c r="O263" s="311">
        <f t="shared" si="49"/>
        <v>1</v>
      </c>
      <c r="P263" s="1119"/>
      <c r="Q263" s="311">
        <f t="shared" si="50"/>
        <v>1</v>
      </c>
      <c r="R263" s="1115">
        <f t="shared" si="51"/>
        <v>0</v>
      </c>
      <c r="S263" s="694">
        <f t="shared" si="52"/>
        <v>0</v>
      </c>
    </row>
    <row r="264" spans="1:19">
      <c r="A264" s="487"/>
      <c r="B264" s="346"/>
      <c r="C264" s="311">
        <f t="shared" si="43"/>
        <v>1</v>
      </c>
      <c r="D264" s="1119"/>
      <c r="E264" s="311">
        <f t="shared" si="44"/>
        <v>1</v>
      </c>
      <c r="F264" s="1119"/>
      <c r="G264" s="311">
        <f t="shared" si="45"/>
        <v>1</v>
      </c>
      <c r="H264" s="1119"/>
      <c r="I264" s="311">
        <f t="shared" si="46"/>
        <v>1</v>
      </c>
      <c r="J264" s="1119"/>
      <c r="K264" s="311">
        <f t="shared" si="47"/>
        <v>1</v>
      </c>
      <c r="L264" s="1119"/>
      <c r="M264" s="311">
        <f t="shared" si="48"/>
        <v>1</v>
      </c>
      <c r="N264" s="1119"/>
      <c r="O264" s="311">
        <f t="shared" si="49"/>
        <v>1</v>
      </c>
      <c r="P264" s="1119"/>
      <c r="Q264" s="311">
        <f t="shared" si="50"/>
        <v>1</v>
      </c>
      <c r="R264" s="1115">
        <f t="shared" si="51"/>
        <v>0</v>
      </c>
      <c r="S264" s="694">
        <f t="shared" si="52"/>
        <v>0</v>
      </c>
    </row>
    <row r="265" spans="1:19">
      <c r="A265" s="487"/>
      <c r="B265" s="346"/>
      <c r="C265" s="311">
        <f t="shared" si="43"/>
        <v>1</v>
      </c>
      <c r="D265" s="1119"/>
      <c r="E265" s="311">
        <f t="shared" si="44"/>
        <v>1</v>
      </c>
      <c r="F265" s="1119"/>
      <c r="G265" s="311">
        <f t="shared" si="45"/>
        <v>1</v>
      </c>
      <c r="H265" s="1119"/>
      <c r="I265" s="311">
        <f t="shared" si="46"/>
        <v>1</v>
      </c>
      <c r="J265" s="1119"/>
      <c r="K265" s="311">
        <f t="shared" si="47"/>
        <v>1</v>
      </c>
      <c r="L265" s="1119"/>
      <c r="M265" s="311">
        <f t="shared" si="48"/>
        <v>1</v>
      </c>
      <c r="N265" s="1119"/>
      <c r="O265" s="311">
        <f t="shared" si="49"/>
        <v>1</v>
      </c>
      <c r="P265" s="1119"/>
      <c r="Q265" s="311">
        <f t="shared" si="50"/>
        <v>1</v>
      </c>
      <c r="R265" s="1115">
        <f t="shared" si="51"/>
        <v>0</v>
      </c>
      <c r="S265" s="694">
        <f t="shared" si="52"/>
        <v>0</v>
      </c>
    </row>
    <row r="266" spans="1:19">
      <c r="A266" s="487"/>
      <c r="B266" s="346"/>
      <c r="C266" s="311">
        <f t="shared" si="43"/>
        <v>1</v>
      </c>
      <c r="D266" s="1119"/>
      <c r="E266" s="311">
        <f t="shared" si="44"/>
        <v>1</v>
      </c>
      <c r="F266" s="1119"/>
      <c r="G266" s="311">
        <f t="shared" si="45"/>
        <v>1</v>
      </c>
      <c r="H266" s="1119"/>
      <c r="I266" s="311">
        <f t="shared" si="46"/>
        <v>1</v>
      </c>
      <c r="J266" s="1119"/>
      <c r="K266" s="311">
        <f t="shared" si="47"/>
        <v>1</v>
      </c>
      <c r="L266" s="1119"/>
      <c r="M266" s="311">
        <f t="shared" si="48"/>
        <v>1</v>
      </c>
      <c r="N266" s="1119"/>
      <c r="O266" s="311">
        <f t="shared" si="49"/>
        <v>1</v>
      </c>
      <c r="P266" s="1119"/>
      <c r="Q266" s="311">
        <f t="shared" si="50"/>
        <v>1</v>
      </c>
      <c r="R266" s="1115">
        <f t="shared" si="51"/>
        <v>0</v>
      </c>
      <c r="S266" s="694">
        <f t="shared" si="52"/>
        <v>0</v>
      </c>
    </row>
    <row r="267" spans="1:19">
      <c r="A267" s="487"/>
      <c r="B267" s="346"/>
      <c r="C267" s="311">
        <f t="shared" si="43"/>
        <v>1</v>
      </c>
      <c r="D267" s="1119"/>
      <c r="E267" s="311">
        <f t="shared" si="44"/>
        <v>1</v>
      </c>
      <c r="F267" s="1119"/>
      <c r="G267" s="311">
        <f t="shared" si="45"/>
        <v>1</v>
      </c>
      <c r="H267" s="1119"/>
      <c r="I267" s="311">
        <f t="shared" si="46"/>
        <v>1</v>
      </c>
      <c r="J267" s="1119"/>
      <c r="K267" s="311">
        <f t="shared" si="47"/>
        <v>1</v>
      </c>
      <c r="L267" s="1119"/>
      <c r="M267" s="311">
        <f t="shared" si="48"/>
        <v>1</v>
      </c>
      <c r="N267" s="1119"/>
      <c r="O267" s="311">
        <f t="shared" si="49"/>
        <v>1</v>
      </c>
      <c r="P267" s="1119"/>
      <c r="Q267" s="311">
        <f t="shared" si="50"/>
        <v>1</v>
      </c>
      <c r="R267" s="1115">
        <f t="shared" si="51"/>
        <v>0</v>
      </c>
      <c r="S267" s="694">
        <f t="shared" si="52"/>
        <v>0</v>
      </c>
    </row>
    <row r="268" spans="1:19">
      <c r="A268" s="487"/>
      <c r="B268" s="346"/>
      <c r="C268" s="311">
        <f t="shared" si="43"/>
        <v>1</v>
      </c>
      <c r="D268" s="1119"/>
      <c r="E268" s="311">
        <f t="shared" si="44"/>
        <v>1</v>
      </c>
      <c r="F268" s="1119"/>
      <c r="G268" s="311">
        <f t="shared" si="45"/>
        <v>1</v>
      </c>
      <c r="H268" s="1119"/>
      <c r="I268" s="311">
        <f t="shared" si="46"/>
        <v>1</v>
      </c>
      <c r="J268" s="1119"/>
      <c r="K268" s="311">
        <f t="shared" si="47"/>
        <v>1</v>
      </c>
      <c r="L268" s="1119"/>
      <c r="M268" s="311">
        <f t="shared" si="48"/>
        <v>1</v>
      </c>
      <c r="N268" s="1119"/>
      <c r="O268" s="311">
        <f t="shared" si="49"/>
        <v>1</v>
      </c>
      <c r="P268" s="1119"/>
      <c r="Q268" s="311">
        <f t="shared" si="50"/>
        <v>1</v>
      </c>
      <c r="R268" s="1115">
        <f t="shared" si="51"/>
        <v>0</v>
      </c>
      <c r="S268" s="694">
        <f t="shared" si="52"/>
        <v>0</v>
      </c>
    </row>
    <row r="269" spans="1:19">
      <c r="A269" s="487"/>
      <c r="B269" s="346"/>
      <c r="C269" s="311">
        <f t="shared" si="43"/>
        <v>1</v>
      </c>
      <c r="D269" s="1119"/>
      <c r="E269" s="311">
        <f t="shared" si="44"/>
        <v>1</v>
      </c>
      <c r="F269" s="1119"/>
      <c r="G269" s="311">
        <f t="shared" si="45"/>
        <v>1</v>
      </c>
      <c r="H269" s="1119"/>
      <c r="I269" s="311">
        <f t="shared" si="46"/>
        <v>1</v>
      </c>
      <c r="J269" s="1119"/>
      <c r="K269" s="311">
        <f t="shared" si="47"/>
        <v>1</v>
      </c>
      <c r="L269" s="1119"/>
      <c r="M269" s="311">
        <f t="shared" si="48"/>
        <v>1</v>
      </c>
      <c r="N269" s="1119"/>
      <c r="O269" s="311">
        <f t="shared" si="49"/>
        <v>1</v>
      </c>
      <c r="P269" s="1119"/>
      <c r="Q269" s="311">
        <f t="shared" si="50"/>
        <v>1</v>
      </c>
      <c r="R269" s="1115">
        <f t="shared" si="51"/>
        <v>0</v>
      </c>
      <c r="S269" s="694">
        <f t="shared" si="52"/>
        <v>0</v>
      </c>
    </row>
    <row r="270" spans="1:19">
      <c r="A270" s="487"/>
      <c r="B270" s="346"/>
      <c r="C270" s="311">
        <f t="shared" si="43"/>
        <v>1</v>
      </c>
      <c r="D270" s="1119"/>
      <c r="E270" s="311">
        <f t="shared" si="44"/>
        <v>1</v>
      </c>
      <c r="F270" s="1119"/>
      <c r="G270" s="311">
        <f t="shared" si="45"/>
        <v>1</v>
      </c>
      <c r="H270" s="1119"/>
      <c r="I270" s="311">
        <f t="shared" si="46"/>
        <v>1</v>
      </c>
      <c r="J270" s="1119"/>
      <c r="K270" s="311">
        <f t="shared" si="47"/>
        <v>1</v>
      </c>
      <c r="L270" s="1119"/>
      <c r="M270" s="311">
        <f t="shared" si="48"/>
        <v>1</v>
      </c>
      <c r="N270" s="1119"/>
      <c r="O270" s="311">
        <f t="shared" si="49"/>
        <v>1</v>
      </c>
      <c r="P270" s="1119"/>
      <c r="Q270" s="311">
        <f t="shared" si="50"/>
        <v>1</v>
      </c>
      <c r="R270" s="1115">
        <f t="shared" si="51"/>
        <v>0</v>
      </c>
      <c r="S270" s="694">
        <f t="shared" si="52"/>
        <v>0</v>
      </c>
    </row>
    <row r="271" spans="1:19">
      <c r="A271" s="487"/>
      <c r="B271" s="346"/>
      <c r="C271" s="311">
        <f t="shared" si="43"/>
        <v>1</v>
      </c>
      <c r="D271" s="1119"/>
      <c r="E271" s="311">
        <f t="shared" si="44"/>
        <v>1</v>
      </c>
      <c r="F271" s="1119"/>
      <c r="G271" s="311">
        <f t="shared" si="45"/>
        <v>1</v>
      </c>
      <c r="H271" s="1119"/>
      <c r="I271" s="311">
        <f t="shared" si="46"/>
        <v>1</v>
      </c>
      <c r="J271" s="1119"/>
      <c r="K271" s="311">
        <f t="shared" si="47"/>
        <v>1</v>
      </c>
      <c r="L271" s="1119"/>
      <c r="M271" s="311">
        <f t="shared" si="48"/>
        <v>1</v>
      </c>
      <c r="N271" s="1119"/>
      <c r="O271" s="311">
        <f t="shared" si="49"/>
        <v>1</v>
      </c>
      <c r="P271" s="1119"/>
      <c r="Q271" s="311">
        <f t="shared" si="50"/>
        <v>1</v>
      </c>
      <c r="R271" s="1115">
        <f t="shared" si="51"/>
        <v>0</v>
      </c>
      <c r="S271" s="694">
        <f t="shared" si="52"/>
        <v>0</v>
      </c>
    </row>
    <row r="272" spans="1:19">
      <c r="A272" s="487"/>
      <c r="B272" s="346"/>
      <c r="C272" s="311">
        <f t="shared" si="43"/>
        <v>1</v>
      </c>
      <c r="D272" s="1119"/>
      <c r="E272" s="311">
        <f t="shared" si="44"/>
        <v>1</v>
      </c>
      <c r="F272" s="1119"/>
      <c r="G272" s="311">
        <f t="shared" si="45"/>
        <v>1</v>
      </c>
      <c r="H272" s="1119"/>
      <c r="I272" s="311">
        <f t="shared" si="46"/>
        <v>1</v>
      </c>
      <c r="J272" s="1119"/>
      <c r="K272" s="311">
        <f t="shared" si="47"/>
        <v>1</v>
      </c>
      <c r="L272" s="1119"/>
      <c r="M272" s="311">
        <f t="shared" si="48"/>
        <v>1</v>
      </c>
      <c r="N272" s="1119"/>
      <c r="O272" s="311">
        <f t="shared" si="49"/>
        <v>1</v>
      </c>
      <c r="P272" s="1119"/>
      <c r="Q272" s="311">
        <f t="shared" si="50"/>
        <v>1</v>
      </c>
      <c r="R272" s="1115">
        <f t="shared" si="51"/>
        <v>0</v>
      </c>
      <c r="S272" s="694">
        <f t="shared" si="52"/>
        <v>0</v>
      </c>
    </row>
    <row r="273" spans="1:19">
      <c r="A273" s="487"/>
      <c r="B273" s="346"/>
      <c r="C273" s="311">
        <f t="shared" si="43"/>
        <v>1</v>
      </c>
      <c r="D273" s="1119"/>
      <c r="E273" s="311">
        <f t="shared" si="44"/>
        <v>1</v>
      </c>
      <c r="F273" s="1119"/>
      <c r="G273" s="311">
        <f t="shared" si="45"/>
        <v>1</v>
      </c>
      <c r="H273" s="1119"/>
      <c r="I273" s="311">
        <f t="shared" si="46"/>
        <v>1</v>
      </c>
      <c r="J273" s="1119"/>
      <c r="K273" s="311">
        <f t="shared" si="47"/>
        <v>1</v>
      </c>
      <c r="L273" s="1119"/>
      <c r="M273" s="311">
        <f t="shared" si="48"/>
        <v>1</v>
      </c>
      <c r="N273" s="1119"/>
      <c r="O273" s="311">
        <f t="shared" si="49"/>
        <v>1</v>
      </c>
      <c r="P273" s="1119"/>
      <c r="Q273" s="311">
        <f t="shared" si="50"/>
        <v>1</v>
      </c>
      <c r="R273" s="1115">
        <f t="shared" si="51"/>
        <v>0</v>
      </c>
      <c r="S273" s="694">
        <f t="shared" si="52"/>
        <v>0</v>
      </c>
    </row>
    <row r="274" spans="1:19">
      <c r="A274" s="487"/>
      <c r="B274" s="346"/>
      <c r="C274" s="311">
        <f t="shared" si="43"/>
        <v>1</v>
      </c>
      <c r="D274" s="1119"/>
      <c r="E274" s="311">
        <f t="shared" si="44"/>
        <v>1</v>
      </c>
      <c r="F274" s="1119"/>
      <c r="G274" s="311">
        <f t="shared" si="45"/>
        <v>1</v>
      </c>
      <c r="H274" s="1119"/>
      <c r="I274" s="311">
        <f t="shared" si="46"/>
        <v>1</v>
      </c>
      <c r="J274" s="1119"/>
      <c r="K274" s="311">
        <f t="shared" si="47"/>
        <v>1</v>
      </c>
      <c r="L274" s="1119"/>
      <c r="M274" s="311">
        <f t="shared" si="48"/>
        <v>1</v>
      </c>
      <c r="N274" s="1119"/>
      <c r="O274" s="311">
        <f t="shared" si="49"/>
        <v>1</v>
      </c>
      <c r="P274" s="1119"/>
      <c r="Q274" s="311">
        <f t="shared" si="50"/>
        <v>1</v>
      </c>
      <c r="R274" s="1115">
        <f t="shared" si="51"/>
        <v>0</v>
      </c>
      <c r="S274" s="694">
        <f t="shared" si="52"/>
        <v>0</v>
      </c>
    </row>
    <row r="275" spans="1:19">
      <c r="A275" s="487"/>
      <c r="B275" s="346"/>
      <c r="C275" s="311">
        <f t="shared" si="43"/>
        <v>1</v>
      </c>
      <c r="D275" s="1119"/>
      <c r="E275" s="311">
        <f t="shared" si="44"/>
        <v>1</v>
      </c>
      <c r="F275" s="1119"/>
      <c r="G275" s="311">
        <f t="shared" si="45"/>
        <v>1</v>
      </c>
      <c r="H275" s="1119"/>
      <c r="I275" s="311">
        <f t="shared" si="46"/>
        <v>1</v>
      </c>
      <c r="J275" s="1119"/>
      <c r="K275" s="311">
        <f t="shared" si="47"/>
        <v>1</v>
      </c>
      <c r="L275" s="1119"/>
      <c r="M275" s="311">
        <f t="shared" si="48"/>
        <v>1</v>
      </c>
      <c r="N275" s="1119"/>
      <c r="O275" s="311">
        <f t="shared" si="49"/>
        <v>1</v>
      </c>
      <c r="P275" s="1119"/>
      <c r="Q275" s="311">
        <f t="shared" si="50"/>
        <v>1</v>
      </c>
      <c r="R275" s="1115">
        <f t="shared" si="51"/>
        <v>0</v>
      </c>
      <c r="S275" s="694">
        <f t="shared" si="52"/>
        <v>0</v>
      </c>
    </row>
    <row r="276" spans="1:19">
      <c r="A276" s="487"/>
      <c r="B276" s="346"/>
      <c r="C276" s="311">
        <f t="shared" si="43"/>
        <v>1</v>
      </c>
      <c r="D276" s="1119"/>
      <c r="E276" s="311">
        <f t="shared" si="44"/>
        <v>1</v>
      </c>
      <c r="F276" s="1119"/>
      <c r="G276" s="311">
        <f t="shared" si="45"/>
        <v>1</v>
      </c>
      <c r="H276" s="1119"/>
      <c r="I276" s="311">
        <f t="shared" si="46"/>
        <v>1</v>
      </c>
      <c r="J276" s="1119"/>
      <c r="K276" s="311">
        <f t="shared" si="47"/>
        <v>1</v>
      </c>
      <c r="L276" s="1119"/>
      <c r="M276" s="311">
        <f t="shared" si="48"/>
        <v>1</v>
      </c>
      <c r="N276" s="1119"/>
      <c r="O276" s="311">
        <f t="shared" si="49"/>
        <v>1</v>
      </c>
      <c r="P276" s="1119"/>
      <c r="Q276" s="311">
        <f t="shared" si="50"/>
        <v>1</v>
      </c>
      <c r="R276" s="1115">
        <f t="shared" si="51"/>
        <v>0</v>
      </c>
      <c r="S276" s="694">
        <f t="shared" si="52"/>
        <v>0</v>
      </c>
    </row>
    <row r="277" spans="1:19">
      <c r="A277" s="487"/>
      <c r="B277" s="346"/>
      <c r="C277" s="311">
        <f t="shared" si="43"/>
        <v>1</v>
      </c>
      <c r="D277" s="1119"/>
      <c r="E277" s="311">
        <f t="shared" si="44"/>
        <v>1</v>
      </c>
      <c r="F277" s="1119"/>
      <c r="G277" s="311">
        <f t="shared" si="45"/>
        <v>1</v>
      </c>
      <c r="H277" s="1119"/>
      <c r="I277" s="311">
        <f t="shared" si="46"/>
        <v>1</v>
      </c>
      <c r="J277" s="1119"/>
      <c r="K277" s="311">
        <f t="shared" si="47"/>
        <v>1</v>
      </c>
      <c r="L277" s="1119"/>
      <c r="M277" s="311">
        <f t="shared" si="48"/>
        <v>1</v>
      </c>
      <c r="N277" s="1119"/>
      <c r="O277" s="311">
        <f t="shared" si="49"/>
        <v>1</v>
      </c>
      <c r="P277" s="1119"/>
      <c r="Q277" s="311">
        <f t="shared" si="50"/>
        <v>1</v>
      </c>
      <c r="R277" s="1115">
        <f t="shared" si="51"/>
        <v>0</v>
      </c>
      <c r="S277" s="694">
        <f t="shared" si="52"/>
        <v>0</v>
      </c>
    </row>
    <row r="278" spans="1:19">
      <c r="A278" s="487"/>
      <c r="B278" s="346"/>
      <c r="C278" s="311">
        <f t="shared" si="43"/>
        <v>1</v>
      </c>
      <c r="D278" s="1119"/>
      <c r="E278" s="311">
        <f t="shared" si="44"/>
        <v>1</v>
      </c>
      <c r="F278" s="1119"/>
      <c r="G278" s="311">
        <f t="shared" si="45"/>
        <v>1</v>
      </c>
      <c r="H278" s="1119"/>
      <c r="I278" s="311">
        <f t="shared" si="46"/>
        <v>1</v>
      </c>
      <c r="J278" s="1119"/>
      <c r="K278" s="311">
        <f t="shared" si="47"/>
        <v>1</v>
      </c>
      <c r="L278" s="1119"/>
      <c r="M278" s="311">
        <f t="shared" si="48"/>
        <v>1</v>
      </c>
      <c r="N278" s="1119"/>
      <c r="O278" s="311">
        <f t="shared" si="49"/>
        <v>1</v>
      </c>
      <c r="P278" s="1119"/>
      <c r="Q278" s="311">
        <f t="shared" si="50"/>
        <v>1</v>
      </c>
      <c r="R278" s="1115">
        <f t="shared" si="51"/>
        <v>0</v>
      </c>
      <c r="S278" s="694">
        <f t="shared" si="52"/>
        <v>0</v>
      </c>
    </row>
    <row r="279" spans="1:19">
      <c r="A279" s="487"/>
      <c r="B279" s="346"/>
      <c r="C279" s="311">
        <f t="shared" si="43"/>
        <v>1</v>
      </c>
      <c r="D279" s="1119"/>
      <c r="E279" s="311">
        <f t="shared" si="44"/>
        <v>1</v>
      </c>
      <c r="F279" s="1119"/>
      <c r="G279" s="311">
        <f t="shared" si="45"/>
        <v>1</v>
      </c>
      <c r="H279" s="1119"/>
      <c r="I279" s="311">
        <f t="shared" si="46"/>
        <v>1</v>
      </c>
      <c r="J279" s="1119"/>
      <c r="K279" s="311">
        <f t="shared" si="47"/>
        <v>1</v>
      </c>
      <c r="L279" s="1119"/>
      <c r="M279" s="311">
        <f t="shared" si="48"/>
        <v>1</v>
      </c>
      <c r="N279" s="1119"/>
      <c r="O279" s="311">
        <f t="shared" si="49"/>
        <v>1</v>
      </c>
      <c r="P279" s="1119"/>
      <c r="Q279" s="311">
        <f t="shared" si="50"/>
        <v>1</v>
      </c>
      <c r="R279" s="1115">
        <f t="shared" si="51"/>
        <v>0</v>
      </c>
      <c r="S279" s="694">
        <f t="shared" si="52"/>
        <v>0</v>
      </c>
    </row>
    <row r="280" spans="1:19">
      <c r="A280" s="487"/>
      <c r="B280" s="346"/>
      <c r="C280" s="311">
        <f t="shared" si="43"/>
        <v>1</v>
      </c>
      <c r="D280" s="1119"/>
      <c r="E280" s="311">
        <f t="shared" si="44"/>
        <v>1</v>
      </c>
      <c r="F280" s="1119"/>
      <c r="G280" s="311">
        <f t="shared" si="45"/>
        <v>1</v>
      </c>
      <c r="H280" s="1119"/>
      <c r="I280" s="311">
        <f t="shared" si="46"/>
        <v>1</v>
      </c>
      <c r="J280" s="1119"/>
      <c r="K280" s="311">
        <f t="shared" si="47"/>
        <v>1</v>
      </c>
      <c r="L280" s="1119"/>
      <c r="M280" s="311">
        <f t="shared" si="48"/>
        <v>1</v>
      </c>
      <c r="N280" s="1119"/>
      <c r="O280" s="311">
        <f t="shared" si="49"/>
        <v>1</v>
      </c>
      <c r="P280" s="1119"/>
      <c r="Q280" s="311">
        <f t="shared" si="50"/>
        <v>1</v>
      </c>
      <c r="R280" s="1115">
        <f t="shared" si="51"/>
        <v>0</v>
      </c>
      <c r="S280" s="694">
        <f t="shared" si="52"/>
        <v>0</v>
      </c>
    </row>
    <row r="281" spans="1:19">
      <c r="A281" s="487"/>
      <c r="B281" s="346"/>
      <c r="C281" s="311">
        <f t="shared" si="43"/>
        <v>1</v>
      </c>
      <c r="D281" s="1119"/>
      <c r="E281" s="311">
        <f t="shared" si="44"/>
        <v>1</v>
      </c>
      <c r="F281" s="1119"/>
      <c r="G281" s="311">
        <f t="shared" si="45"/>
        <v>1</v>
      </c>
      <c r="H281" s="1119"/>
      <c r="I281" s="311">
        <f t="shared" si="46"/>
        <v>1</v>
      </c>
      <c r="J281" s="1119"/>
      <c r="K281" s="311">
        <f t="shared" si="47"/>
        <v>1</v>
      </c>
      <c r="L281" s="1119"/>
      <c r="M281" s="311">
        <f t="shared" si="48"/>
        <v>1</v>
      </c>
      <c r="N281" s="1119"/>
      <c r="O281" s="311">
        <f t="shared" si="49"/>
        <v>1</v>
      </c>
      <c r="P281" s="1119"/>
      <c r="Q281" s="311">
        <f t="shared" si="50"/>
        <v>1</v>
      </c>
      <c r="R281" s="1115">
        <f t="shared" si="51"/>
        <v>0</v>
      </c>
      <c r="S281" s="694">
        <f t="shared" si="52"/>
        <v>0</v>
      </c>
    </row>
    <row r="282" spans="1:19">
      <c r="A282" s="487"/>
      <c r="B282" s="346"/>
      <c r="C282" s="311">
        <f t="shared" ref="C282:C345" si="53">IF(B282="",1,(LOOKUP(B282,$3:$3,$4:$4)-LOOKUP($B$24,$3:$3,$4:$4)+100)/100)</f>
        <v>1</v>
      </c>
      <c r="D282" s="1119"/>
      <c r="E282" s="311">
        <f t="shared" ref="E282:E345" si="54">(SUMIF($5:$5,D282,$6:$6)-SUMIF($5:$5,$D$24,$6:$6)+100)/100</f>
        <v>1</v>
      </c>
      <c r="F282" s="1119"/>
      <c r="G282" s="311">
        <f t="shared" ref="G282:G345" si="55">(SUMIF($7:$7,F282,$8:$8)-SUMIF($7:$7,$F$24,$8:$8)+100)/100</f>
        <v>1</v>
      </c>
      <c r="H282" s="1119"/>
      <c r="I282" s="311">
        <f t="shared" ref="I282:I345" si="56">(SUMIF($9:$9,H282,$10:$10)-SUMIF($9:$9,$H$24,$10:$10)+100)/100</f>
        <v>1</v>
      </c>
      <c r="J282" s="1119"/>
      <c r="K282" s="311">
        <f t="shared" ref="K282:K345" si="57">(SUMIF($11:$11,J282,$12:$12)-SUMIF($11:$11,$J$24,$12:$12)+100)/100</f>
        <v>1</v>
      </c>
      <c r="L282" s="1119"/>
      <c r="M282" s="311">
        <f t="shared" ref="M282:M345" si="58">(SUMIF($13:$13,L282,$14:$14)-SUMIF($13:$13,$L$24,$14:$14)+100)/100</f>
        <v>1</v>
      </c>
      <c r="N282" s="1119"/>
      <c r="O282" s="311">
        <f t="shared" ref="O282:O345" si="59">(SUMIF($15:$15,N282,$16:$16)-SUMIF($15:$15,$N$24,$16:$16)+100)/100</f>
        <v>1</v>
      </c>
      <c r="P282" s="1119"/>
      <c r="Q282" s="311">
        <f t="shared" ref="Q282:Q345" si="60">(SUMIF($17:$17,P282,$18:$18)-SUMIF($17:$17,$P$24,$18:$18)+100)/100</f>
        <v>1</v>
      </c>
      <c r="R282" s="1115">
        <f t="shared" ref="R282:R345" si="61">IF(B282="",0,ROUND($R$24*C282*E282*G282*I282*K282*M282*O282*Q282,0))</f>
        <v>0</v>
      </c>
      <c r="S282" s="694">
        <f t="shared" si="52"/>
        <v>0</v>
      </c>
    </row>
    <row r="283" spans="1:19">
      <c r="A283" s="487"/>
      <c r="B283" s="346"/>
      <c r="C283" s="311">
        <f t="shared" si="53"/>
        <v>1</v>
      </c>
      <c r="D283" s="1119"/>
      <c r="E283" s="311">
        <f t="shared" si="54"/>
        <v>1</v>
      </c>
      <c r="F283" s="1119"/>
      <c r="G283" s="311">
        <f t="shared" si="55"/>
        <v>1</v>
      </c>
      <c r="H283" s="1119"/>
      <c r="I283" s="311">
        <f t="shared" si="56"/>
        <v>1</v>
      </c>
      <c r="J283" s="1119"/>
      <c r="K283" s="311">
        <f t="shared" si="57"/>
        <v>1</v>
      </c>
      <c r="L283" s="1119"/>
      <c r="M283" s="311">
        <f t="shared" si="58"/>
        <v>1</v>
      </c>
      <c r="N283" s="1119"/>
      <c r="O283" s="311">
        <f t="shared" si="59"/>
        <v>1</v>
      </c>
      <c r="P283" s="1119"/>
      <c r="Q283" s="311">
        <f t="shared" si="60"/>
        <v>1</v>
      </c>
      <c r="R283" s="1115">
        <f t="shared" si="61"/>
        <v>0</v>
      </c>
      <c r="S283" s="694">
        <f t="shared" si="52"/>
        <v>0</v>
      </c>
    </row>
    <row r="284" spans="1:19">
      <c r="A284" s="487"/>
      <c r="B284" s="346"/>
      <c r="C284" s="311">
        <f t="shared" si="53"/>
        <v>1</v>
      </c>
      <c r="D284" s="1119"/>
      <c r="E284" s="311">
        <f t="shared" si="54"/>
        <v>1</v>
      </c>
      <c r="F284" s="1119"/>
      <c r="G284" s="311">
        <f t="shared" si="55"/>
        <v>1</v>
      </c>
      <c r="H284" s="1119"/>
      <c r="I284" s="311">
        <f t="shared" si="56"/>
        <v>1</v>
      </c>
      <c r="J284" s="1119"/>
      <c r="K284" s="311">
        <f t="shared" si="57"/>
        <v>1</v>
      </c>
      <c r="L284" s="1119"/>
      <c r="M284" s="311">
        <f t="shared" si="58"/>
        <v>1</v>
      </c>
      <c r="N284" s="1119"/>
      <c r="O284" s="311">
        <f t="shared" si="59"/>
        <v>1</v>
      </c>
      <c r="P284" s="1119"/>
      <c r="Q284" s="311">
        <f t="shared" si="60"/>
        <v>1</v>
      </c>
      <c r="R284" s="1115">
        <f t="shared" si="61"/>
        <v>0</v>
      </c>
      <c r="S284" s="694">
        <f t="shared" si="52"/>
        <v>0</v>
      </c>
    </row>
    <row r="285" spans="1:19">
      <c r="A285" s="487"/>
      <c r="B285" s="346"/>
      <c r="C285" s="311">
        <f t="shared" si="53"/>
        <v>1</v>
      </c>
      <c r="D285" s="1119"/>
      <c r="E285" s="311">
        <f t="shared" si="54"/>
        <v>1</v>
      </c>
      <c r="F285" s="1119"/>
      <c r="G285" s="311">
        <f t="shared" si="55"/>
        <v>1</v>
      </c>
      <c r="H285" s="1119"/>
      <c r="I285" s="311">
        <f t="shared" si="56"/>
        <v>1</v>
      </c>
      <c r="J285" s="1119"/>
      <c r="K285" s="311">
        <f t="shared" si="57"/>
        <v>1</v>
      </c>
      <c r="L285" s="1119"/>
      <c r="M285" s="311">
        <f t="shared" si="58"/>
        <v>1</v>
      </c>
      <c r="N285" s="1119"/>
      <c r="O285" s="311">
        <f t="shared" si="59"/>
        <v>1</v>
      </c>
      <c r="P285" s="1119"/>
      <c r="Q285" s="311">
        <f t="shared" si="60"/>
        <v>1</v>
      </c>
      <c r="R285" s="1115">
        <f t="shared" si="61"/>
        <v>0</v>
      </c>
      <c r="S285" s="694">
        <f t="shared" si="52"/>
        <v>0</v>
      </c>
    </row>
    <row r="286" spans="1:19">
      <c r="A286" s="487"/>
      <c r="B286" s="346"/>
      <c r="C286" s="311">
        <f t="shared" si="53"/>
        <v>1</v>
      </c>
      <c r="D286" s="1119"/>
      <c r="E286" s="311">
        <f t="shared" si="54"/>
        <v>1</v>
      </c>
      <c r="F286" s="1119"/>
      <c r="G286" s="311">
        <f t="shared" si="55"/>
        <v>1</v>
      </c>
      <c r="H286" s="1119"/>
      <c r="I286" s="311">
        <f t="shared" si="56"/>
        <v>1</v>
      </c>
      <c r="J286" s="1119"/>
      <c r="K286" s="311">
        <f t="shared" si="57"/>
        <v>1</v>
      </c>
      <c r="L286" s="1119"/>
      <c r="M286" s="311">
        <f t="shared" si="58"/>
        <v>1</v>
      </c>
      <c r="N286" s="1119"/>
      <c r="O286" s="311">
        <f t="shared" si="59"/>
        <v>1</v>
      </c>
      <c r="P286" s="1119"/>
      <c r="Q286" s="311">
        <f t="shared" si="60"/>
        <v>1</v>
      </c>
      <c r="R286" s="1115">
        <f t="shared" si="61"/>
        <v>0</v>
      </c>
      <c r="S286" s="694">
        <f t="shared" si="52"/>
        <v>0</v>
      </c>
    </row>
    <row r="287" spans="1:19">
      <c r="A287" s="487"/>
      <c r="B287" s="346"/>
      <c r="C287" s="311">
        <f t="shared" si="53"/>
        <v>1</v>
      </c>
      <c r="D287" s="1119"/>
      <c r="E287" s="311">
        <f t="shared" si="54"/>
        <v>1</v>
      </c>
      <c r="F287" s="1119"/>
      <c r="G287" s="311">
        <f t="shared" si="55"/>
        <v>1</v>
      </c>
      <c r="H287" s="1119"/>
      <c r="I287" s="311">
        <f t="shared" si="56"/>
        <v>1</v>
      </c>
      <c r="J287" s="1119"/>
      <c r="K287" s="311">
        <f t="shared" si="57"/>
        <v>1</v>
      </c>
      <c r="L287" s="1119"/>
      <c r="M287" s="311">
        <f t="shared" si="58"/>
        <v>1</v>
      </c>
      <c r="N287" s="1119"/>
      <c r="O287" s="311">
        <f t="shared" si="59"/>
        <v>1</v>
      </c>
      <c r="P287" s="1119"/>
      <c r="Q287" s="311">
        <f t="shared" si="60"/>
        <v>1</v>
      </c>
      <c r="R287" s="1115">
        <f t="shared" si="61"/>
        <v>0</v>
      </c>
      <c r="S287" s="694">
        <f t="shared" ref="S287:S320" si="62">ROUND(R287*B287/10000,0)</f>
        <v>0</v>
      </c>
    </row>
    <row r="288" spans="1:19">
      <c r="A288" s="487"/>
      <c r="B288" s="346"/>
      <c r="C288" s="311">
        <f t="shared" si="53"/>
        <v>1</v>
      </c>
      <c r="D288" s="1119"/>
      <c r="E288" s="311">
        <f t="shared" si="54"/>
        <v>1</v>
      </c>
      <c r="F288" s="1119"/>
      <c r="G288" s="311">
        <f t="shared" si="55"/>
        <v>1</v>
      </c>
      <c r="H288" s="1119"/>
      <c r="I288" s="311">
        <f t="shared" si="56"/>
        <v>1</v>
      </c>
      <c r="J288" s="1119"/>
      <c r="K288" s="311">
        <f t="shared" si="57"/>
        <v>1</v>
      </c>
      <c r="L288" s="1119"/>
      <c r="M288" s="311">
        <f t="shared" si="58"/>
        <v>1</v>
      </c>
      <c r="N288" s="1119"/>
      <c r="O288" s="311">
        <f t="shared" si="59"/>
        <v>1</v>
      </c>
      <c r="P288" s="1119"/>
      <c r="Q288" s="311">
        <f t="shared" si="60"/>
        <v>1</v>
      </c>
      <c r="R288" s="1115">
        <f t="shared" si="61"/>
        <v>0</v>
      </c>
      <c r="S288" s="694">
        <f t="shared" si="62"/>
        <v>0</v>
      </c>
    </row>
    <row r="289" spans="1:19">
      <c r="A289" s="487"/>
      <c r="B289" s="346"/>
      <c r="C289" s="311">
        <f t="shared" si="53"/>
        <v>1</v>
      </c>
      <c r="D289" s="1119"/>
      <c r="E289" s="311">
        <f t="shared" si="54"/>
        <v>1</v>
      </c>
      <c r="F289" s="1119"/>
      <c r="G289" s="311">
        <f t="shared" si="55"/>
        <v>1</v>
      </c>
      <c r="H289" s="1119"/>
      <c r="I289" s="311">
        <f t="shared" si="56"/>
        <v>1</v>
      </c>
      <c r="J289" s="1119"/>
      <c r="K289" s="311">
        <f t="shared" si="57"/>
        <v>1</v>
      </c>
      <c r="L289" s="1119"/>
      <c r="M289" s="311">
        <f t="shared" si="58"/>
        <v>1</v>
      </c>
      <c r="N289" s="1119"/>
      <c r="O289" s="311">
        <f t="shared" si="59"/>
        <v>1</v>
      </c>
      <c r="P289" s="1119"/>
      <c r="Q289" s="311">
        <f t="shared" si="60"/>
        <v>1</v>
      </c>
      <c r="R289" s="1115">
        <f t="shared" si="61"/>
        <v>0</v>
      </c>
      <c r="S289" s="694">
        <f t="shared" si="62"/>
        <v>0</v>
      </c>
    </row>
    <row r="290" spans="1:19">
      <c r="A290" s="487"/>
      <c r="B290" s="346"/>
      <c r="C290" s="311">
        <f t="shared" si="53"/>
        <v>1</v>
      </c>
      <c r="D290" s="1119"/>
      <c r="E290" s="311">
        <f t="shared" si="54"/>
        <v>1</v>
      </c>
      <c r="F290" s="1119"/>
      <c r="G290" s="311">
        <f t="shared" si="55"/>
        <v>1</v>
      </c>
      <c r="H290" s="1119"/>
      <c r="I290" s="311">
        <f t="shared" si="56"/>
        <v>1</v>
      </c>
      <c r="J290" s="1119"/>
      <c r="K290" s="311">
        <f t="shared" si="57"/>
        <v>1</v>
      </c>
      <c r="L290" s="1119"/>
      <c r="M290" s="311">
        <f t="shared" si="58"/>
        <v>1</v>
      </c>
      <c r="N290" s="1119"/>
      <c r="O290" s="311">
        <f t="shared" si="59"/>
        <v>1</v>
      </c>
      <c r="P290" s="1119"/>
      <c r="Q290" s="311">
        <f t="shared" si="60"/>
        <v>1</v>
      </c>
      <c r="R290" s="1115">
        <f t="shared" si="61"/>
        <v>0</v>
      </c>
      <c r="S290" s="694">
        <f t="shared" si="62"/>
        <v>0</v>
      </c>
    </row>
    <row r="291" spans="1:19">
      <c r="A291" s="487"/>
      <c r="B291" s="346"/>
      <c r="C291" s="311">
        <f t="shared" si="53"/>
        <v>1</v>
      </c>
      <c r="D291" s="1119"/>
      <c r="E291" s="311">
        <f t="shared" si="54"/>
        <v>1</v>
      </c>
      <c r="F291" s="1119"/>
      <c r="G291" s="311">
        <f t="shared" si="55"/>
        <v>1</v>
      </c>
      <c r="H291" s="1119"/>
      <c r="I291" s="311">
        <f t="shared" si="56"/>
        <v>1</v>
      </c>
      <c r="J291" s="1119"/>
      <c r="K291" s="311">
        <f t="shared" si="57"/>
        <v>1</v>
      </c>
      <c r="L291" s="1119"/>
      <c r="M291" s="311">
        <f t="shared" si="58"/>
        <v>1</v>
      </c>
      <c r="N291" s="1119"/>
      <c r="O291" s="311">
        <f t="shared" si="59"/>
        <v>1</v>
      </c>
      <c r="P291" s="1119"/>
      <c r="Q291" s="311">
        <f t="shared" si="60"/>
        <v>1</v>
      </c>
      <c r="R291" s="1115">
        <f t="shared" si="61"/>
        <v>0</v>
      </c>
      <c r="S291" s="694">
        <f t="shared" si="62"/>
        <v>0</v>
      </c>
    </row>
    <row r="292" spans="1:19">
      <c r="A292" s="487"/>
      <c r="B292" s="346"/>
      <c r="C292" s="311">
        <f t="shared" si="53"/>
        <v>1</v>
      </c>
      <c r="D292" s="1119"/>
      <c r="E292" s="311">
        <f t="shared" si="54"/>
        <v>1</v>
      </c>
      <c r="F292" s="1119"/>
      <c r="G292" s="311">
        <f t="shared" si="55"/>
        <v>1</v>
      </c>
      <c r="H292" s="1119"/>
      <c r="I292" s="311">
        <f t="shared" si="56"/>
        <v>1</v>
      </c>
      <c r="J292" s="1119"/>
      <c r="K292" s="311">
        <f t="shared" si="57"/>
        <v>1</v>
      </c>
      <c r="L292" s="1119"/>
      <c r="M292" s="311">
        <f t="shared" si="58"/>
        <v>1</v>
      </c>
      <c r="N292" s="1119"/>
      <c r="O292" s="311">
        <f t="shared" si="59"/>
        <v>1</v>
      </c>
      <c r="P292" s="1119"/>
      <c r="Q292" s="311">
        <f t="shared" si="60"/>
        <v>1</v>
      </c>
      <c r="R292" s="1115">
        <f t="shared" si="61"/>
        <v>0</v>
      </c>
      <c r="S292" s="694">
        <f t="shared" si="62"/>
        <v>0</v>
      </c>
    </row>
    <row r="293" spans="1:19">
      <c r="A293" s="487"/>
      <c r="B293" s="346"/>
      <c r="C293" s="311">
        <f t="shared" si="53"/>
        <v>1</v>
      </c>
      <c r="D293" s="1119"/>
      <c r="E293" s="311">
        <f t="shared" si="54"/>
        <v>1</v>
      </c>
      <c r="F293" s="1119"/>
      <c r="G293" s="311">
        <f t="shared" si="55"/>
        <v>1</v>
      </c>
      <c r="H293" s="1119"/>
      <c r="I293" s="311">
        <f t="shared" si="56"/>
        <v>1</v>
      </c>
      <c r="J293" s="1119"/>
      <c r="K293" s="311">
        <f t="shared" si="57"/>
        <v>1</v>
      </c>
      <c r="L293" s="1119"/>
      <c r="M293" s="311">
        <f t="shared" si="58"/>
        <v>1</v>
      </c>
      <c r="N293" s="1119"/>
      <c r="O293" s="311">
        <f t="shared" si="59"/>
        <v>1</v>
      </c>
      <c r="P293" s="1119"/>
      <c r="Q293" s="311">
        <f t="shared" si="60"/>
        <v>1</v>
      </c>
      <c r="R293" s="1115">
        <f t="shared" si="61"/>
        <v>0</v>
      </c>
      <c r="S293" s="694">
        <f t="shared" si="62"/>
        <v>0</v>
      </c>
    </row>
    <row r="294" spans="1:19">
      <c r="A294" s="487"/>
      <c r="B294" s="346"/>
      <c r="C294" s="311">
        <f t="shared" si="53"/>
        <v>1</v>
      </c>
      <c r="D294" s="1119"/>
      <c r="E294" s="311">
        <f t="shared" si="54"/>
        <v>1</v>
      </c>
      <c r="F294" s="1119"/>
      <c r="G294" s="311">
        <f t="shared" si="55"/>
        <v>1</v>
      </c>
      <c r="H294" s="1119"/>
      <c r="I294" s="311">
        <f t="shared" si="56"/>
        <v>1</v>
      </c>
      <c r="J294" s="1119"/>
      <c r="K294" s="311">
        <f t="shared" si="57"/>
        <v>1</v>
      </c>
      <c r="L294" s="1119"/>
      <c r="M294" s="311">
        <f t="shared" si="58"/>
        <v>1</v>
      </c>
      <c r="N294" s="1119"/>
      <c r="O294" s="311">
        <f t="shared" si="59"/>
        <v>1</v>
      </c>
      <c r="P294" s="1119"/>
      <c r="Q294" s="311">
        <f t="shared" si="60"/>
        <v>1</v>
      </c>
      <c r="R294" s="1115">
        <f t="shared" si="61"/>
        <v>0</v>
      </c>
      <c r="S294" s="694">
        <f t="shared" si="62"/>
        <v>0</v>
      </c>
    </row>
    <row r="295" spans="1:19">
      <c r="A295" s="487"/>
      <c r="B295" s="346"/>
      <c r="C295" s="311">
        <f t="shared" si="53"/>
        <v>1</v>
      </c>
      <c r="D295" s="1119"/>
      <c r="E295" s="311">
        <f t="shared" si="54"/>
        <v>1</v>
      </c>
      <c r="F295" s="1119"/>
      <c r="G295" s="311">
        <f t="shared" si="55"/>
        <v>1</v>
      </c>
      <c r="H295" s="1119"/>
      <c r="I295" s="311">
        <f t="shared" si="56"/>
        <v>1</v>
      </c>
      <c r="J295" s="1119"/>
      <c r="K295" s="311">
        <f t="shared" si="57"/>
        <v>1</v>
      </c>
      <c r="L295" s="1119"/>
      <c r="M295" s="311">
        <f t="shared" si="58"/>
        <v>1</v>
      </c>
      <c r="N295" s="1119"/>
      <c r="O295" s="311">
        <f t="shared" si="59"/>
        <v>1</v>
      </c>
      <c r="P295" s="1119"/>
      <c r="Q295" s="311">
        <f t="shared" si="60"/>
        <v>1</v>
      </c>
      <c r="R295" s="1115">
        <f t="shared" si="61"/>
        <v>0</v>
      </c>
      <c r="S295" s="694">
        <f t="shared" si="62"/>
        <v>0</v>
      </c>
    </row>
    <row r="296" spans="1:19">
      <c r="A296" s="487"/>
      <c r="B296" s="346"/>
      <c r="C296" s="311">
        <f t="shared" si="53"/>
        <v>1</v>
      </c>
      <c r="D296" s="1119"/>
      <c r="E296" s="311">
        <f t="shared" si="54"/>
        <v>1</v>
      </c>
      <c r="F296" s="1119"/>
      <c r="G296" s="311">
        <f t="shared" si="55"/>
        <v>1</v>
      </c>
      <c r="H296" s="1119"/>
      <c r="I296" s="311">
        <f t="shared" si="56"/>
        <v>1</v>
      </c>
      <c r="J296" s="1119"/>
      <c r="K296" s="311">
        <f t="shared" si="57"/>
        <v>1</v>
      </c>
      <c r="L296" s="1119"/>
      <c r="M296" s="311">
        <f t="shared" si="58"/>
        <v>1</v>
      </c>
      <c r="N296" s="1119"/>
      <c r="O296" s="311">
        <f t="shared" si="59"/>
        <v>1</v>
      </c>
      <c r="P296" s="1119"/>
      <c r="Q296" s="311">
        <f t="shared" si="60"/>
        <v>1</v>
      </c>
      <c r="R296" s="1115">
        <f t="shared" si="61"/>
        <v>0</v>
      </c>
      <c r="S296" s="694">
        <f t="shared" si="62"/>
        <v>0</v>
      </c>
    </row>
    <row r="297" spans="1:19">
      <c r="A297" s="487"/>
      <c r="B297" s="346"/>
      <c r="C297" s="311">
        <f t="shared" si="53"/>
        <v>1</v>
      </c>
      <c r="D297" s="1119"/>
      <c r="E297" s="311">
        <f t="shared" si="54"/>
        <v>1</v>
      </c>
      <c r="F297" s="1119"/>
      <c r="G297" s="311">
        <f t="shared" si="55"/>
        <v>1</v>
      </c>
      <c r="H297" s="1119"/>
      <c r="I297" s="311">
        <f t="shared" si="56"/>
        <v>1</v>
      </c>
      <c r="J297" s="1119"/>
      <c r="K297" s="311">
        <f t="shared" si="57"/>
        <v>1</v>
      </c>
      <c r="L297" s="1119"/>
      <c r="M297" s="311">
        <f t="shared" si="58"/>
        <v>1</v>
      </c>
      <c r="N297" s="1119"/>
      <c r="O297" s="311">
        <f t="shared" si="59"/>
        <v>1</v>
      </c>
      <c r="P297" s="1119"/>
      <c r="Q297" s="311">
        <f t="shared" si="60"/>
        <v>1</v>
      </c>
      <c r="R297" s="1115">
        <f t="shared" si="61"/>
        <v>0</v>
      </c>
      <c r="S297" s="694">
        <f t="shared" si="62"/>
        <v>0</v>
      </c>
    </row>
    <row r="298" spans="1:19">
      <c r="A298" s="487"/>
      <c r="B298" s="346"/>
      <c r="C298" s="311">
        <f t="shared" si="53"/>
        <v>1</v>
      </c>
      <c r="D298" s="1119"/>
      <c r="E298" s="311">
        <f t="shared" si="54"/>
        <v>1</v>
      </c>
      <c r="F298" s="1119"/>
      <c r="G298" s="311">
        <f t="shared" si="55"/>
        <v>1</v>
      </c>
      <c r="H298" s="1119"/>
      <c r="I298" s="311">
        <f t="shared" si="56"/>
        <v>1</v>
      </c>
      <c r="J298" s="1119"/>
      <c r="K298" s="311">
        <f t="shared" si="57"/>
        <v>1</v>
      </c>
      <c r="L298" s="1119"/>
      <c r="M298" s="311">
        <f t="shared" si="58"/>
        <v>1</v>
      </c>
      <c r="N298" s="1119"/>
      <c r="O298" s="311">
        <f t="shared" si="59"/>
        <v>1</v>
      </c>
      <c r="P298" s="1119"/>
      <c r="Q298" s="311">
        <f t="shared" si="60"/>
        <v>1</v>
      </c>
      <c r="R298" s="1115">
        <f t="shared" si="61"/>
        <v>0</v>
      </c>
      <c r="S298" s="694">
        <f t="shared" si="62"/>
        <v>0</v>
      </c>
    </row>
    <row r="299" spans="1:19">
      <c r="A299" s="487"/>
      <c r="B299" s="346"/>
      <c r="C299" s="311">
        <f t="shared" si="53"/>
        <v>1</v>
      </c>
      <c r="D299" s="1119"/>
      <c r="E299" s="311">
        <f t="shared" si="54"/>
        <v>1</v>
      </c>
      <c r="F299" s="1119"/>
      <c r="G299" s="311">
        <f t="shared" si="55"/>
        <v>1</v>
      </c>
      <c r="H299" s="1119"/>
      <c r="I299" s="311">
        <f t="shared" si="56"/>
        <v>1</v>
      </c>
      <c r="J299" s="1119"/>
      <c r="K299" s="311">
        <f t="shared" si="57"/>
        <v>1</v>
      </c>
      <c r="L299" s="1119"/>
      <c r="M299" s="311">
        <f t="shared" si="58"/>
        <v>1</v>
      </c>
      <c r="N299" s="1119"/>
      <c r="O299" s="311">
        <f t="shared" si="59"/>
        <v>1</v>
      </c>
      <c r="P299" s="1119"/>
      <c r="Q299" s="311">
        <f t="shared" si="60"/>
        <v>1</v>
      </c>
      <c r="R299" s="1115">
        <f t="shared" si="61"/>
        <v>0</v>
      </c>
      <c r="S299" s="694">
        <f t="shared" si="62"/>
        <v>0</v>
      </c>
    </row>
    <row r="300" spans="1:19">
      <c r="A300" s="487"/>
      <c r="B300" s="346"/>
      <c r="C300" s="311">
        <f t="shared" si="53"/>
        <v>1</v>
      </c>
      <c r="D300" s="1119"/>
      <c r="E300" s="311">
        <f t="shared" si="54"/>
        <v>1</v>
      </c>
      <c r="F300" s="1119"/>
      <c r="G300" s="311">
        <f t="shared" si="55"/>
        <v>1</v>
      </c>
      <c r="H300" s="1119"/>
      <c r="I300" s="311">
        <f t="shared" si="56"/>
        <v>1</v>
      </c>
      <c r="J300" s="1119"/>
      <c r="K300" s="311">
        <f t="shared" si="57"/>
        <v>1</v>
      </c>
      <c r="L300" s="1119"/>
      <c r="M300" s="311">
        <f t="shared" si="58"/>
        <v>1</v>
      </c>
      <c r="N300" s="1119"/>
      <c r="O300" s="311">
        <f t="shared" si="59"/>
        <v>1</v>
      </c>
      <c r="P300" s="1119"/>
      <c r="Q300" s="311">
        <f t="shared" si="60"/>
        <v>1</v>
      </c>
      <c r="R300" s="1115">
        <f t="shared" si="61"/>
        <v>0</v>
      </c>
      <c r="S300" s="694">
        <f t="shared" si="62"/>
        <v>0</v>
      </c>
    </row>
    <row r="301" spans="1:19">
      <c r="A301" s="487"/>
      <c r="B301" s="346"/>
      <c r="C301" s="311">
        <f t="shared" si="53"/>
        <v>1</v>
      </c>
      <c r="D301" s="1119"/>
      <c r="E301" s="311">
        <f t="shared" si="54"/>
        <v>1</v>
      </c>
      <c r="F301" s="1119"/>
      <c r="G301" s="311">
        <f t="shared" si="55"/>
        <v>1</v>
      </c>
      <c r="H301" s="1119"/>
      <c r="I301" s="311">
        <f t="shared" si="56"/>
        <v>1</v>
      </c>
      <c r="J301" s="1119"/>
      <c r="K301" s="311">
        <f t="shared" si="57"/>
        <v>1</v>
      </c>
      <c r="L301" s="1119"/>
      <c r="M301" s="311">
        <f t="shared" si="58"/>
        <v>1</v>
      </c>
      <c r="N301" s="1119"/>
      <c r="O301" s="311">
        <f t="shared" si="59"/>
        <v>1</v>
      </c>
      <c r="P301" s="1119"/>
      <c r="Q301" s="311">
        <f t="shared" si="60"/>
        <v>1</v>
      </c>
      <c r="R301" s="1115">
        <f t="shared" si="61"/>
        <v>0</v>
      </c>
      <c r="S301" s="694">
        <f t="shared" si="62"/>
        <v>0</v>
      </c>
    </row>
    <row r="302" spans="1:19">
      <c r="A302" s="487"/>
      <c r="B302" s="346"/>
      <c r="C302" s="311">
        <f t="shared" si="53"/>
        <v>1</v>
      </c>
      <c r="D302" s="1119"/>
      <c r="E302" s="311">
        <f t="shared" si="54"/>
        <v>1</v>
      </c>
      <c r="F302" s="1119"/>
      <c r="G302" s="311">
        <f t="shared" si="55"/>
        <v>1</v>
      </c>
      <c r="H302" s="1119"/>
      <c r="I302" s="311">
        <f t="shared" si="56"/>
        <v>1</v>
      </c>
      <c r="J302" s="1119"/>
      <c r="K302" s="311">
        <f t="shared" si="57"/>
        <v>1</v>
      </c>
      <c r="L302" s="1119"/>
      <c r="M302" s="311">
        <f t="shared" si="58"/>
        <v>1</v>
      </c>
      <c r="N302" s="1119"/>
      <c r="O302" s="311">
        <f t="shared" si="59"/>
        <v>1</v>
      </c>
      <c r="P302" s="1119"/>
      <c r="Q302" s="311">
        <f t="shared" si="60"/>
        <v>1</v>
      </c>
      <c r="R302" s="1115">
        <f t="shared" si="61"/>
        <v>0</v>
      </c>
      <c r="S302" s="694">
        <f t="shared" si="62"/>
        <v>0</v>
      </c>
    </row>
    <row r="303" spans="1:19">
      <c r="A303" s="487"/>
      <c r="B303" s="346"/>
      <c r="C303" s="311">
        <f t="shared" si="53"/>
        <v>1</v>
      </c>
      <c r="D303" s="1119"/>
      <c r="E303" s="311">
        <f t="shared" si="54"/>
        <v>1</v>
      </c>
      <c r="F303" s="1119"/>
      <c r="G303" s="311">
        <f t="shared" si="55"/>
        <v>1</v>
      </c>
      <c r="H303" s="1119"/>
      <c r="I303" s="311">
        <f t="shared" si="56"/>
        <v>1</v>
      </c>
      <c r="J303" s="1119"/>
      <c r="K303" s="311">
        <f t="shared" si="57"/>
        <v>1</v>
      </c>
      <c r="L303" s="1119"/>
      <c r="M303" s="311">
        <f t="shared" si="58"/>
        <v>1</v>
      </c>
      <c r="N303" s="1119"/>
      <c r="O303" s="311">
        <f t="shared" si="59"/>
        <v>1</v>
      </c>
      <c r="P303" s="1119"/>
      <c r="Q303" s="311">
        <f t="shared" si="60"/>
        <v>1</v>
      </c>
      <c r="R303" s="1115">
        <f t="shared" si="61"/>
        <v>0</v>
      </c>
      <c r="S303" s="694">
        <f t="shared" si="62"/>
        <v>0</v>
      </c>
    </row>
    <row r="304" spans="1:19">
      <c r="A304" s="487"/>
      <c r="B304" s="346"/>
      <c r="C304" s="311">
        <f t="shared" si="53"/>
        <v>1</v>
      </c>
      <c r="D304" s="1119"/>
      <c r="E304" s="311">
        <f t="shared" si="54"/>
        <v>1</v>
      </c>
      <c r="F304" s="1119"/>
      <c r="G304" s="311">
        <f t="shared" si="55"/>
        <v>1</v>
      </c>
      <c r="H304" s="1119"/>
      <c r="I304" s="311">
        <f t="shared" si="56"/>
        <v>1</v>
      </c>
      <c r="J304" s="1119"/>
      <c r="K304" s="311">
        <f t="shared" si="57"/>
        <v>1</v>
      </c>
      <c r="L304" s="1119"/>
      <c r="M304" s="311">
        <f t="shared" si="58"/>
        <v>1</v>
      </c>
      <c r="N304" s="1119"/>
      <c r="O304" s="311">
        <f t="shared" si="59"/>
        <v>1</v>
      </c>
      <c r="P304" s="1119"/>
      <c r="Q304" s="311">
        <f t="shared" si="60"/>
        <v>1</v>
      </c>
      <c r="R304" s="1115">
        <f t="shared" si="61"/>
        <v>0</v>
      </c>
      <c r="S304" s="694">
        <f t="shared" si="62"/>
        <v>0</v>
      </c>
    </row>
    <row r="305" spans="1:19">
      <c r="A305" s="487"/>
      <c r="B305" s="346"/>
      <c r="C305" s="311">
        <f t="shared" si="53"/>
        <v>1</v>
      </c>
      <c r="D305" s="1119"/>
      <c r="E305" s="311">
        <f t="shared" si="54"/>
        <v>1</v>
      </c>
      <c r="F305" s="1119"/>
      <c r="G305" s="311">
        <f t="shared" si="55"/>
        <v>1</v>
      </c>
      <c r="H305" s="1119"/>
      <c r="I305" s="311">
        <f t="shared" si="56"/>
        <v>1</v>
      </c>
      <c r="J305" s="1119"/>
      <c r="K305" s="311">
        <f t="shared" si="57"/>
        <v>1</v>
      </c>
      <c r="L305" s="1119"/>
      <c r="M305" s="311">
        <f t="shared" si="58"/>
        <v>1</v>
      </c>
      <c r="N305" s="1119"/>
      <c r="O305" s="311">
        <f t="shared" si="59"/>
        <v>1</v>
      </c>
      <c r="P305" s="1119"/>
      <c r="Q305" s="311">
        <f t="shared" si="60"/>
        <v>1</v>
      </c>
      <c r="R305" s="1115">
        <f t="shared" si="61"/>
        <v>0</v>
      </c>
      <c r="S305" s="694">
        <f t="shared" si="62"/>
        <v>0</v>
      </c>
    </row>
    <row r="306" spans="1:19">
      <c r="A306" s="487"/>
      <c r="B306" s="346"/>
      <c r="C306" s="311">
        <f t="shared" si="53"/>
        <v>1</v>
      </c>
      <c r="D306" s="1119"/>
      <c r="E306" s="311">
        <f t="shared" si="54"/>
        <v>1</v>
      </c>
      <c r="F306" s="1119"/>
      <c r="G306" s="311">
        <f t="shared" si="55"/>
        <v>1</v>
      </c>
      <c r="H306" s="1119"/>
      <c r="I306" s="311">
        <f t="shared" si="56"/>
        <v>1</v>
      </c>
      <c r="J306" s="1119"/>
      <c r="K306" s="311">
        <f t="shared" si="57"/>
        <v>1</v>
      </c>
      <c r="L306" s="1119"/>
      <c r="M306" s="311">
        <f t="shared" si="58"/>
        <v>1</v>
      </c>
      <c r="N306" s="1119"/>
      <c r="O306" s="311">
        <f t="shared" si="59"/>
        <v>1</v>
      </c>
      <c r="P306" s="1119"/>
      <c r="Q306" s="311">
        <f t="shared" si="60"/>
        <v>1</v>
      </c>
      <c r="R306" s="1115">
        <f t="shared" si="61"/>
        <v>0</v>
      </c>
      <c r="S306" s="694">
        <f t="shared" si="62"/>
        <v>0</v>
      </c>
    </row>
    <row r="307" spans="1:19">
      <c r="A307" s="487"/>
      <c r="B307" s="346"/>
      <c r="C307" s="311">
        <f t="shared" si="53"/>
        <v>1</v>
      </c>
      <c r="D307" s="1119"/>
      <c r="E307" s="311">
        <f t="shared" si="54"/>
        <v>1</v>
      </c>
      <c r="F307" s="1119"/>
      <c r="G307" s="311">
        <f t="shared" si="55"/>
        <v>1</v>
      </c>
      <c r="H307" s="1119"/>
      <c r="I307" s="311">
        <f t="shared" si="56"/>
        <v>1</v>
      </c>
      <c r="J307" s="1119"/>
      <c r="K307" s="311">
        <f t="shared" si="57"/>
        <v>1</v>
      </c>
      <c r="L307" s="1119"/>
      <c r="M307" s="311">
        <f t="shared" si="58"/>
        <v>1</v>
      </c>
      <c r="N307" s="1119"/>
      <c r="O307" s="311">
        <f t="shared" si="59"/>
        <v>1</v>
      </c>
      <c r="P307" s="1119"/>
      <c r="Q307" s="311">
        <f t="shared" si="60"/>
        <v>1</v>
      </c>
      <c r="R307" s="1115">
        <f t="shared" si="61"/>
        <v>0</v>
      </c>
      <c r="S307" s="694">
        <f t="shared" si="62"/>
        <v>0</v>
      </c>
    </row>
    <row r="308" spans="1:19">
      <c r="A308" s="487"/>
      <c r="B308" s="346"/>
      <c r="C308" s="311">
        <f t="shared" si="53"/>
        <v>1</v>
      </c>
      <c r="D308" s="1119"/>
      <c r="E308" s="311">
        <f t="shared" si="54"/>
        <v>1</v>
      </c>
      <c r="F308" s="1119"/>
      <c r="G308" s="311">
        <f t="shared" si="55"/>
        <v>1</v>
      </c>
      <c r="H308" s="1119"/>
      <c r="I308" s="311">
        <f t="shared" si="56"/>
        <v>1</v>
      </c>
      <c r="J308" s="1119"/>
      <c r="K308" s="311">
        <f t="shared" si="57"/>
        <v>1</v>
      </c>
      <c r="L308" s="1119"/>
      <c r="M308" s="311">
        <f t="shared" si="58"/>
        <v>1</v>
      </c>
      <c r="N308" s="1119"/>
      <c r="O308" s="311">
        <f t="shared" si="59"/>
        <v>1</v>
      </c>
      <c r="P308" s="1119"/>
      <c r="Q308" s="311">
        <f t="shared" si="60"/>
        <v>1</v>
      </c>
      <c r="R308" s="1115">
        <f t="shared" si="61"/>
        <v>0</v>
      </c>
      <c r="S308" s="694">
        <f t="shared" si="62"/>
        <v>0</v>
      </c>
    </row>
    <row r="309" spans="1:19">
      <c r="A309" s="487"/>
      <c r="B309" s="346"/>
      <c r="C309" s="311">
        <f t="shared" si="53"/>
        <v>1</v>
      </c>
      <c r="D309" s="1119"/>
      <c r="E309" s="311">
        <f t="shared" si="54"/>
        <v>1</v>
      </c>
      <c r="F309" s="1119"/>
      <c r="G309" s="311">
        <f t="shared" si="55"/>
        <v>1</v>
      </c>
      <c r="H309" s="1119"/>
      <c r="I309" s="311">
        <f t="shared" si="56"/>
        <v>1</v>
      </c>
      <c r="J309" s="1119"/>
      <c r="K309" s="311">
        <f t="shared" si="57"/>
        <v>1</v>
      </c>
      <c r="L309" s="1119"/>
      <c r="M309" s="311">
        <f t="shared" si="58"/>
        <v>1</v>
      </c>
      <c r="N309" s="1119"/>
      <c r="O309" s="311">
        <f t="shared" si="59"/>
        <v>1</v>
      </c>
      <c r="P309" s="1119"/>
      <c r="Q309" s="311">
        <f t="shared" si="60"/>
        <v>1</v>
      </c>
      <c r="R309" s="1115">
        <f t="shared" si="61"/>
        <v>0</v>
      </c>
      <c r="S309" s="694">
        <f t="shared" si="62"/>
        <v>0</v>
      </c>
    </row>
    <row r="310" spans="1:19">
      <c r="A310" s="487"/>
      <c r="B310" s="346"/>
      <c r="C310" s="311">
        <f t="shared" si="53"/>
        <v>1</v>
      </c>
      <c r="D310" s="1119"/>
      <c r="E310" s="311">
        <f t="shared" si="54"/>
        <v>1</v>
      </c>
      <c r="F310" s="1119"/>
      <c r="G310" s="311">
        <f t="shared" si="55"/>
        <v>1</v>
      </c>
      <c r="H310" s="1119"/>
      <c r="I310" s="311">
        <f t="shared" si="56"/>
        <v>1</v>
      </c>
      <c r="J310" s="1119"/>
      <c r="K310" s="311">
        <f t="shared" si="57"/>
        <v>1</v>
      </c>
      <c r="L310" s="1119"/>
      <c r="M310" s="311">
        <f t="shared" si="58"/>
        <v>1</v>
      </c>
      <c r="N310" s="1119"/>
      <c r="O310" s="311">
        <f t="shared" si="59"/>
        <v>1</v>
      </c>
      <c r="P310" s="1119"/>
      <c r="Q310" s="311">
        <f t="shared" si="60"/>
        <v>1</v>
      </c>
      <c r="R310" s="1115">
        <f t="shared" si="61"/>
        <v>0</v>
      </c>
      <c r="S310" s="694">
        <f t="shared" si="62"/>
        <v>0</v>
      </c>
    </row>
    <row r="311" spans="1:19">
      <c r="A311" s="487"/>
      <c r="B311" s="346"/>
      <c r="C311" s="311">
        <f t="shared" si="53"/>
        <v>1</v>
      </c>
      <c r="D311" s="1119"/>
      <c r="E311" s="311">
        <f t="shared" si="54"/>
        <v>1</v>
      </c>
      <c r="F311" s="1119"/>
      <c r="G311" s="311">
        <f t="shared" si="55"/>
        <v>1</v>
      </c>
      <c r="H311" s="1119"/>
      <c r="I311" s="311">
        <f t="shared" si="56"/>
        <v>1</v>
      </c>
      <c r="J311" s="1119"/>
      <c r="K311" s="311">
        <f t="shared" si="57"/>
        <v>1</v>
      </c>
      <c r="L311" s="1119"/>
      <c r="M311" s="311">
        <f t="shared" si="58"/>
        <v>1</v>
      </c>
      <c r="N311" s="1119"/>
      <c r="O311" s="311">
        <f t="shared" si="59"/>
        <v>1</v>
      </c>
      <c r="P311" s="1119"/>
      <c r="Q311" s="311">
        <f t="shared" si="60"/>
        <v>1</v>
      </c>
      <c r="R311" s="1115">
        <f t="shared" si="61"/>
        <v>0</v>
      </c>
      <c r="S311" s="694">
        <f t="shared" si="62"/>
        <v>0</v>
      </c>
    </row>
    <row r="312" spans="1:19">
      <c r="A312" s="487"/>
      <c r="B312" s="346"/>
      <c r="C312" s="311">
        <f t="shared" si="53"/>
        <v>1</v>
      </c>
      <c r="D312" s="1119"/>
      <c r="E312" s="311">
        <f t="shared" si="54"/>
        <v>1</v>
      </c>
      <c r="F312" s="1119"/>
      <c r="G312" s="311">
        <f t="shared" si="55"/>
        <v>1</v>
      </c>
      <c r="H312" s="1119"/>
      <c r="I312" s="311">
        <f t="shared" si="56"/>
        <v>1</v>
      </c>
      <c r="J312" s="1119"/>
      <c r="K312" s="311">
        <f t="shared" si="57"/>
        <v>1</v>
      </c>
      <c r="L312" s="1119"/>
      <c r="M312" s="311">
        <f t="shared" si="58"/>
        <v>1</v>
      </c>
      <c r="N312" s="1119"/>
      <c r="O312" s="311">
        <f t="shared" si="59"/>
        <v>1</v>
      </c>
      <c r="P312" s="1119"/>
      <c r="Q312" s="311">
        <f t="shared" si="60"/>
        <v>1</v>
      </c>
      <c r="R312" s="1115">
        <f t="shared" si="61"/>
        <v>0</v>
      </c>
      <c r="S312" s="694">
        <f t="shared" si="62"/>
        <v>0</v>
      </c>
    </row>
    <row r="313" spans="1:19">
      <c r="A313" s="487"/>
      <c r="B313" s="346"/>
      <c r="C313" s="311">
        <f t="shared" si="53"/>
        <v>1</v>
      </c>
      <c r="D313" s="1119"/>
      <c r="E313" s="311">
        <f t="shared" si="54"/>
        <v>1</v>
      </c>
      <c r="F313" s="1119"/>
      <c r="G313" s="311">
        <f t="shared" si="55"/>
        <v>1</v>
      </c>
      <c r="H313" s="1119"/>
      <c r="I313" s="311">
        <f t="shared" si="56"/>
        <v>1</v>
      </c>
      <c r="J313" s="1119"/>
      <c r="K313" s="311">
        <f t="shared" si="57"/>
        <v>1</v>
      </c>
      <c r="L313" s="1119"/>
      <c r="M313" s="311">
        <f t="shared" si="58"/>
        <v>1</v>
      </c>
      <c r="N313" s="1119"/>
      <c r="O313" s="311">
        <f t="shared" si="59"/>
        <v>1</v>
      </c>
      <c r="P313" s="1119"/>
      <c r="Q313" s="311">
        <f t="shared" si="60"/>
        <v>1</v>
      </c>
      <c r="R313" s="1115">
        <f t="shared" si="61"/>
        <v>0</v>
      </c>
      <c r="S313" s="694">
        <f t="shared" si="62"/>
        <v>0</v>
      </c>
    </row>
    <row r="314" spans="1:19">
      <c r="A314" s="487"/>
      <c r="B314" s="346"/>
      <c r="C314" s="311">
        <f t="shared" si="53"/>
        <v>1</v>
      </c>
      <c r="D314" s="1119"/>
      <c r="E314" s="311">
        <f t="shared" si="54"/>
        <v>1</v>
      </c>
      <c r="F314" s="1119"/>
      <c r="G314" s="311">
        <f t="shared" si="55"/>
        <v>1</v>
      </c>
      <c r="H314" s="1119"/>
      <c r="I314" s="311">
        <f t="shared" si="56"/>
        <v>1</v>
      </c>
      <c r="J314" s="1119"/>
      <c r="K314" s="311">
        <f t="shared" si="57"/>
        <v>1</v>
      </c>
      <c r="L314" s="1119"/>
      <c r="M314" s="311">
        <f t="shared" si="58"/>
        <v>1</v>
      </c>
      <c r="N314" s="1119"/>
      <c r="O314" s="311">
        <f t="shared" si="59"/>
        <v>1</v>
      </c>
      <c r="P314" s="1119"/>
      <c r="Q314" s="311">
        <f t="shared" si="60"/>
        <v>1</v>
      </c>
      <c r="R314" s="1115">
        <f t="shared" si="61"/>
        <v>0</v>
      </c>
      <c r="S314" s="694">
        <f t="shared" si="62"/>
        <v>0</v>
      </c>
    </row>
    <row r="315" spans="1:19">
      <c r="A315" s="487"/>
      <c r="B315" s="346"/>
      <c r="C315" s="311">
        <f t="shared" si="53"/>
        <v>1</v>
      </c>
      <c r="D315" s="1119"/>
      <c r="E315" s="311">
        <f t="shared" si="54"/>
        <v>1</v>
      </c>
      <c r="F315" s="1119"/>
      <c r="G315" s="311">
        <f t="shared" si="55"/>
        <v>1</v>
      </c>
      <c r="H315" s="1119"/>
      <c r="I315" s="311">
        <f t="shared" si="56"/>
        <v>1</v>
      </c>
      <c r="J315" s="1119"/>
      <c r="K315" s="311">
        <f t="shared" si="57"/>
        <v>1</v>
      </c>
      <c r="L315" s="1119"/>
      <c r="M315" s="311">
        <f t="shared" si="58"/>
        <v>1</v>
      </c>
      <c r="N315" s="1119"/>
      <c r="O315" s="311">
        <f t="shared" si="59"/>
        <v>1</v>
      </c>
      <c r="P315" s="1119"/>
      <c r="Q315" s="311">
        <f t="shared" si="60"/>
        <v>1</v>
      </c>
      <c r="R315" s="1115">
        <f t="shared" si="61"/>
        <v>0</v>
      </c>
      <c r="S315" s="694">
        <f t="shared" si="62"/>
        <v>0</v>
      </c>
    </row>
    <row r="316" spans="1:19">
      <c r="A316" s="487"/>
      <c r="B316" s="346"/>
      <c r="C316" s="311">
        <f t="shared" si="53"/>
        <v>1</v>
      </c>
      <c r="D316" s="1119"/>
      <c r="E316" s="311">
        <f t="shared" si="54"/>
        <v>1</v>
      </c>
      <c r="F316" s="1119"/>
      <c r="G316" s="311">
        <f t="shared" si="55"/>
        <v>1</v>
      </c>
      <c r="H316" s="1119"/>
      <c r="I316" s="311">
        <f t="shared" si="56"/>
        <v>1</v>
      </c>
      <c r="J316" s="1119"/>
      <c r="K316" s="311">
        <f t="shared" si="57"/>
        <v>1</v>
      </c>
      <c r="L316" s="1119"/>
      <c r="M316" s="311">
        <f t="shared" si="58"/>
        <v>1</v>
      </c>
      <c r="N316" s="1119"/>
      <c r="O316" s="311">
        <f t="shared" si="59"/>
        <v>1</v>
      </c>
      <c r="P316" s="1119"/>
      <c r="Q316" s="311">
        <f t="shared" si="60"/>
        <v>1</v>
      </c>
      <c r="R316" s="1115">
        <f t="shared" si="61"/>
        <v>0</v>
      </c>
      <c r="S316" s="694">
        <f t="shared" si="62"/>
        <v>0</v>
      </c>
    </row>
    <row r="317" spans="1:19">
      <c r="A317" s="487"/>
      <c r="B317" s="346"/>
      <c r="C317" s="311">
        <f t="shared" si="53"/>
        <v>1</v>
      </c>
      <c r="D317" s="1119"/>
      <c r="E317" s="311">
        <f t="shared" si="54"/>
        <v>1</v>
      </c>
      <c r="F317" s="1119"/>
      <c r="G317" s="311">
        <f t="shared" si="55"/>
        <v>1</v>
      </c>
      <c r="H317" s="1119"/>
      <c r="I317" s="311">
        <f t="shared" si="56"/>
        <v>1</v>
      </c>
      <c r="J317" s="1119"/>
      <c r="K317" s="311">
        <f t="shared" si="57"/>
        <v>1</v>
      </c>
      <c r="L317" s="1119"/>
      <c r="M317" s="311">
        <f t="shared" si="58"/>
        <v>1</v>
      </c>
      <c r="N317" s="1119"/>
      <c r="O317" s="311">
        <f t="shared" si="59"/>
        <v>1</v>
      </c>
      <c r="P317" s="1119"/>
      <c r="Q317" s="311">
        <f t="shared" si="60"/>
        <v>1</v>
      </c>
      <c r="R317" s="1115">
        <f t="shared" si="61"/>
        <v>0</v>
      </c>
      <c r="S317" s="694">
        <f t="shared" si="62"/>
        <v>0</v>
      </c>
    </row>
    <row r="318" spans="1:19">
      <c r="A318" s="487"/>
      <c r="B318" s="346"/>
      <c r="C318" s="311">
        <f t="shared" si="53"/>
        <v>1</v>
      </c>
      <c r="D318" s="1119"/>
      <c r="E318" s="311">
        <f t="shared" si="54"/>
        <v>1</v>
      </c>
      <c r="F318" s="1119"/>
      <c r="G318" s="311">
        <f t="shared" si="55"/>
        <v>1</v>
      </c>
      <c r="H318" s="1119"/>
      <c r="I318" s="311">
        <f t="shared" si="56"/>
        <v>1</v>
      </c>
      <c r="J318" s="1119"/>
      <c r="K318" s="311">
        <f t="shared" si="57"/>
        <v>1</v>
      </c>
      <c r="L318" s="1119"/>
      <c r="M318" s="311">
        <f t="shared" si="58"/>
        <v>1</v>
      </c>
      <c r="N318" s="1119"/>
      <c r="O318" s="311">
        <f t="shared" si="59"/>
        <v>1</v>
      </c>
      <c r="P318" s="1119"/>
      <c r="Q318" s="311">
        <f t="shared" si="60"/>
        <v>1</v>
      </c>
      <c r="R318" s="1115">
        <f t="shared" si="61"/>
        <v>0</v>
      </c>
      <c r="S318" s="694">
        <f t="shared" si="62"/>
        <v>0</v>
      </c>
    </row>
    <row r="319" spans="1:19">
      <c r="A319" s="487"/>
      <c r="B319" s="346"/>
      <c r="C319" s="311">
        <f t="shared" si="53"/>
        <v>1</v>
      </c>
      <c r="D319" s="1119"/>
      <c r="E319" s="311">
        <f t="shared" si="54"/>
        <v>1</v>
      </c>
      <c r="F319" s="1119"/>
      <c r="G319" s="311">
        <f t="shared" si="55"/>
        <v>1</v>
      </c>
      <c r="H319" s="1119"/>
      <c r="I319" s="311">
        <f t="shared" si="56"/>
        <v>1</v>
      </c>
      <c r="J319" s="1119"/>
      <c r="K319" s="311">
        <f t="shared" si="57"/>
        <v>1</v>
      </c>
      <c r="L319" s="1119"/>
      <c r="M319" s="311">
        <f t="shared" si="58"/>
        <v>1</v>
      </c>
      <c r="N319" s="1119"/>
      <c r="O319" s="311">
        <f t="shared" si="59"/>
        <v>1</v>
      </c>
      <c r="P319" s="1119"/>
      <c r="Q319" s="311">
        <f t="shared" si="60"/>
        <v>1</v>
      </c>
      <c r="R319" s="1115">
        <f t="shared" si="61"/>
        <v>0</v>
      </c>
      <c r="S319" s="694">
        <f t="shared" si="62"/>
        <v>0</v>
      </c>
    </row>
    <row r="320" spans="1:19">
      <c r="A320" s="487"/>
      <c r="B320" s="346"/>
      <c r="C320" s="311">
        <f t="shared" si="53"/>
        <v>1</v>
      </c>
      <c r="D320" s="1119"/>
      <c r="E320" s="311">
        <f t="shared" si="54"/>
        <v>1</v>
      </c>
      <c r="F320" s="1119"/>
      <c r="G320" s="311">
        <f t="shared" si="55"/>
        <v>1</v>
      </c>
      <c r="H320" s="1119"/>
      <c r="I320" s="311">
        <f t="shared" si="56"/>
        <v>1</v>
      </c>
      <c r="J320" s="1119"/>
      <c r="K320" s="311">
        <f t="shared" si="57"/>
        <v>1</v>
      </c>
      <c r="L320" s="1119"/>
      <c r="M320" s="311">
        <f t="shared" si="58"/>
        <v>1</v>
      </c>
      <c r="N320" s="1119"/>
      <c r="O320" s="311">
        <f t="shared" si="59"/>
        <v>1</v>
      </c>
      <c r="P320" s="1119"/>
      <c r="Q320" s="311">
        <f t="shared" si="60"/>
        <v>1</v>
      </c>
      <c r="R320" s="1115">
        <f t="shared" si="61"/>
        <v>0</v>
      </c>
      <c r="S320" s="694">
        <f t="shared" si="62"/>
        <v>0</v>
      </c>
    </row>
    <row r="321" spans="1:19">
      <c r="A321" s="487"/>
      <c r="B321" s="346"/>
      <c r="C321" s="311">
        <f t="shared" si="53"/>
        <v>1</v>
      </c>
      <c r="D321" s="1119"/>
      <c r="E321" s="311">
        <f t="shared" si="54"/>
        <v>1</v>
      </c>
      <c r="F321" s="1119"/>
      <c r="G321" s="311">
        <f t="shared" si="55"/>
        <v>1</v>
      </c>
      <c r="H321" s="1119"/>
      <c r="I321" s="311">
        <f t="shared" si="56"/>
        <v>1</v>
      </c>
      <c r="J321" s="1119"/>
      <c r="K321" s="311">
        <f t="shared" si="57"/>
        <v>1</v>
      </c>
      <c r="L321" s="1119"/>
      <c r="M321" s="311">
        <f t="shared" si="58"/>
        <v>1</v>
      </c>
      <c r="N321" s="1119"/>
      <c r="O321" s="311">
        <f t="shared" si="59"/>
        <v>1</v>
      </c>
      <c r="P321" s="1119"/>
      <c r="Q321" s="311">
        <f t="shared" si="60"/>
        <v>1</v>
      </c>
      <c r="R321" s="1115">
        <f t="shared" si="61"/>
        <v>0</v>
      </c>
      <c r="S321" s="694">
        <f t="shared" ref="S321:S384" si="63">ROUND(R321*B321/10000,0)</f>
        <v>0</v>
      </c>
    </row>
    <row r="322" spans="1:19">
      <c r="A322" s="487"/>
      <c r="B322" s="346"/>
      <c r="C322" s="311">
        <f t="shared" si="53"/>
        <v>1</v>
      </c>
      <c r="D322" s="1119"/>
      <c r="E322" s="311">
        <f t="shared" si="54"/>
        <v>1</v>
      </c>
      <c r="F322" s="1119"/>
      <c r="G322" s="311">
        <f t="shared" si="55"/>
        <v>1</v>
      </c>
      <c r="H322" s="1119"/>
      <c r="I322" s="311">
        <f t="shared" si="56"/>
        <v>1</v>
      </c>
      <c r="J322" s="1119"/>
      <c r="K322" s="311">
        <f t="shared" si="57"/>
        <v>1</v>
      </c>
      <c r="L322" s="1119"/>
      <c r="M322" s="311">
        <f t="shared" si="58"/>
        <v>1</v>
      </c>
      <c r="N322" s="1119"/>
      <c r="O322" s="311">
        <f t="shared" si="59"/>
        <v>1</v>
      </c>
      <c r="P322" s="1119"/>
      <c r="Q322" s="311">
        <f t="shared" si="60"/>
        <v>1</v>
      </c>
      <c r="R322" s="1115">
        <f t="shared" si="61"/>
        <v>0</v>
      </c>
      <c r="S322" s="694">
        <f t="shared" si="63"/>
        <v>0</v>
      </c>
    </row>
    <row r="323" spans="1:19">
      <c r="A323" s="487"/>
      <c r="B323" s="346"/>
      <c r="C323" s="311">
        <f t="shared" si="53"/>
        <v>1</v>
      </c>
      <c r="D323" s="1119"/>
      <c r="E323" s="311">
        <f t="shared" si="54"/>
        <v>1</v>
      </c>
      <c r="F323" s="1119"/>
      <c r="G323" s="311">
        <f t="shared" si="55"/>
        <v>1</v>
      </c>
      <c r="H323" s="1119"/>
      <c r="I323" s="311">
        <f t="shared" si="56"/>
        <v>1</v>
      </c>
      <c r="J323" s="1119"/>
      <c r="K323" s="311">
        <f t="shared" si="57"/>
        <v>1</v>
      </c>
      <c r="L323" s="1119"/>
      <c r="M323" s="311">
        <f t="shared" si="58"/>
        <v>1</v>
      </c>
      <c r="N323" s="1119"/>
      <c r="O323" s="311">
        <f t="shared" si="59"/>
        <v>1</v>
      </c>
      <c r="P323" s="1119"/>
      <c r="Q323" s="311">
        <f t="shared" si="60"/>
        <v>1</v>
      </c>
      <c r="R323" s="1115">
        <f t="shared" si="61"/>
        <v>0</v>
      </c>
      <c r="S323" s="694">
        <f t="shared" si="63"/>
        <v>0</v>
      </c>
    </row>
    <row r="324" spans="1:19">
      <c r="A324" s="487"/>
      <c r="B324" s="346"/>
      <c r="C324" s="311">
        <f t="shared" si="53"/>
        <v>1</v>
      </c>
      <c r="D324" s="1119"/>
      <c r="E324" s="311">
        <f t="shared" si="54"/>
        <v>1</v>
      </c>
      <c r="F324" s="1119"/>
      <c r="G324" s="311">
        <f t="shared" si="55"/>
        <v>1</v>
      </c>
      <c r="H324" s="1119"/>
      <c r="I324" s="311">
        <f t="shared" si="56"/>
        <v>1</v>
      </c>
      <c r="J324" s="1119"/>
      <c r="K324" s="311">
        <f t="shared" si="57"/>
        <v>1</v>
      </c>
      <c r="L324" s="1119"/>
      <c r="M324" s="311">
        <f t="shared" si="58"/>
        <v>1</v>
      </c>
      <c r="N324" s="1119"/>
      <c r="O324" s="311">
        <f t="shared" si="59"/>
        <v>1</v>
      </c>
      <c r="P324" s="1119"/>
      <c r="Q324" s="311">
        <f t="shared" si="60"/>
        <v>1</v>
      </c>
      <c r="R324" s="1115">
        <f t="shared" si="61"/>
        <v>0</v>
      </c>
      <c r="S324" s="694">
        <f t="shared" si="63"/>
        <v>0</v>
      </c>
    </row>
    <row r="325" spans="1:19">
      <c r="A325" s="487"/>
      <c r="B325" s="346"/>
      <c r="C325" s="311">
        <f t="shared" si="53"/>
        <v>1</v>
      </c>
      <c r="D325" s="1119"/>
      <c r="E325" s="311">
        <f t="shared" si="54"/>
        <v>1</v>
      </c>
      <c r="F325" s="1119"/>
      <c r="G325" s="311">
        <f t="shared" si="55"/>
        <v>1</v>
      </c>
      <c r="H325" s="1119"/>
      <c r="I325" s="311">
        <f t="shared" si="56"/>
        <v>1</v>
      </c>
      <c r="J325" s="1119"/>
      <c r="K325" s="311">
        <f t="shared" si="57"/>
        <v>1</v>
      </c>
      <c r="L325" s="1119"/>
      <c r="M325" s="311">
        <f t="shared" si="58"/>
        <v>1</v>
      </c>
      <c r="N325" s="1119"/>
      <c r="O325" s="311">
        <f t="shared" si="59"/>
        <v>1</v>
      </c>
      <c r="P325" s="1119"/>
      <c r="Q325" s="311">
        <f t="shared" si="60"/>
        <v>1</v>
      </c>
      <c r="R325" s="1115">
        <f t="shared" si="61"/>
        <v>0</v>
      </c>
      <c r="S325" s="694">
        <f t="shared" si="63"/>
        <v>0</v>
      </c>
    </row>
    <row r="326" spans="1:19">
      <c r="A326" s="487"/>
      <c r="B326" s="346"/>
      <c r="C326" s="311">
        <f t="shared" si="53"/>
        <v>1</v>
      </c>
      <c r="D326" s="1119"/>
      <c r="E326" s="311">
        <f t="shared" si="54"/>
        <v>1</v>
      </c>
      <c r="F326" s="1119"/>
      <c r="G326" s="311">
        <f t="shared" si="55"/>
        <v>1</v>
      </c>
      <c r="H326" s="1119"/>
      <c r="I326" s="311">
        <f t="shared" si="56"/>
        <v>1</v>
      </c>
      <c r="J326" s="1119"/>
      <c r="K326" s="311">
        <f t="shared" si="57"/>
        <v>1</v>
      </c>
      <c r="L326" s="1119"/>
      <c r="M326" s="311">
        <f t="shared" si="58"/>
        <v>1</v>
      </c>
      <c r="N326" s="1119"/>
      <c r="O326" s="311">
        <f t="shared" si="59"/>
        <v>1</v>
      </c>
      <c r="P326" s="1119"/>
      <c r="Q326" s="311">
        <f t="shared" si="60"/>
        <v>1</v>
      </c>
      <c r="R326" s="1115">
        <f t="shared" si="61"/>
        <v>0</v>
      </c>
      <c r="S326" s="694">
        <f t="shared" si="63"/>
        <v>0</v>
      </c>
    </row>
    <row r="327" spans="1:19">
      <c r="A327" s="487"/>
      <c r="B327" s="346"/>
      <c r="C327" s="311">
        <f t="shared" si="53"/>
        <v>1</v>
      </c>
      <c r="D327" s="1119"/>
      <c r="E327" s="311">
        <f t="shared" si="54"/>
        <v>1</v>
      </c>
      <c r="F327" s="1119"/>
      <c r="G327" s="311">
        <f t="shared" si="55"/>
        <v>1</v>
      </c>
      <c r="H327" s="1119"/>
      <c r="I327" s="311">
        <f t="shared" si="56"/>
        <v>1</v>
      </c>
      <c r="J327" s="1119"/>
      <c r="K327" s="311">
        <f t="shared" si="57"/>
        <v>1</v>
      </c>
      <c r="L327" s="1119"/>
      <c r="M327" s="311">
        <f t="shared" si="58"/>
        <v>1</v>
      </c>
      <c r="N327" s="1119"/>
      <c r="O327" s="311">
        <f t="shared" si="59"/>
        <v>1</v>
      </c>
      <c r="P327" s="1119"/>
      <c r="Q327" s="311">
        <f t="shared" si="60"/>
        <v>1</v>
      </c>
      <c r="R327" s="1115">
        <f t="shared" si="61"/>
        <v>0</v>
      </c>
      <c r="S327" s="694">
        <f t="shared" si="63"/>
        <v>0</v>
      </c>
    </row>
    <row r="328" spans="1:19">
      <c r="A328" s="487"/>
      <c r="B328" s="346"/>
      <c r="C328" s="311">
        <f t="shared" si="53"/>
        <v>1</v>
      </c>
      <c r="D328" s="1119"/>
      <c r="E328" s="311">
        <f t="shared" si="54"/>
        <v>1</v>
      </c>
      <c r="F328" s="1119"/>
      <c r="G328" s="311">
        <f t="shared" si="55"/>
        <v>1</v>
      </c>
      <c r="H328" s="1119"/>
      <c r="I328" s="311">
        <f t="shared" si="56"/>
        <v>1</v>
      </c>
      <c r="J328" s="1119"/>
      <c r="K328" s="311">
        <f t="shared" si="57"/>
        <v>1</v>
      </c>
      <c r="L328" s="1119"/>
      <c r="M328" s="311">
        <f t="shared" si="58"/>
        <v>1</v>
      </c>
      <c r="N328" s="1119"/>
      <c r="O328" s="311">
        <f t="shared" si="59"/>
        <v>1</v>
      </c>
      <c r="P328" s="1119"/>
      <c r="Q328" s="311">
        <f t="shared" si="60"/>
        <v>1</v>
      </c>
      <c r="R328" s="1115">
        <f t="shared" si="61"/>
        <v>0</v>
      </c>
      <c r="S328" s="694">
        <f t="shared" si="63"/>
        <v>0</v>
      </c>
    </row>
    <row r="329" spans="1:19">
      <c r="A329" s="487"/>
      <c r="B329" s="346"/>
      <c r="C329" s="311">
        <f t="shared" si="53"/>
        <v>1</v>
      </c>
      <c r="D329" s="1119"/>
      <c r="E329" s="311">
        <f t="shared" si="54"/>
        <v>1</v>
      </c>
      <c r="F329" s="1119"/>
      <c r="G329" s="311">
        <f t="shared" si="55"/>
        <v>1</v>
      </c>
      <c r="H329" s="1119"/>
      <c r="I329" s="311">
        <f t="shared" si="56"/>
        <v>1</v>
      </c>
      <c r="J329" s="1119"/>
      <c r="K329" s="311">
        <f t="shared" si="57"/>
        <v>1</v>
      </c>
      <c r="L329" s="1119"/>
      <c r="M329" s="311">
        <f t="shared" si="58"/>
        <v>1</v>
      </c>
      <c r="N329" s="1119"/>
      <c r="O329" s="311">
        <f t="shared" si="59"/>
        <v>1</v>
      </c>
      <c r="P329" s="1119"/>
      <c r="Q329" s="311">
        <f t="shared" si="60"/>
        <v>1</v>
      </c>
      <c r="R329" s="1115">
        <f t="shared" si="61"/>
        <v>0</v>
      </c>
      <c r="S329" s="694">
        <f t="shared" si="63"/>
        <v>0</v>
      </c>
    </row>
    <row r="330" spans="1:19">
      <c r="A330" s="487"/>
      <c r="B330" s="346"/>
      <c r="C330" s="311">
        <f t="shared" si="53"/>
        <v>1</v>
      </c>
      <c r="D330" s="1119"/>
      <c r="E330" s="311">
        <f t="shared" si="54"/>
        <v>1</v>
      </c>
      <c r="F330" s="1119"/>
      <c r="G330" s="311">
        <f t="shared" si="55"/>
        <v>1</v>
      </c>
      <c r="H330" s="1119"/>
      <c r="I330" s="311">
        <f t="shared" si="56"/>
        <v>1</v>
      </c>
      <c r="J330" s="1119"/>
      <c r="K330" s="311">
        <f t="shared" si="57"/>
        <v>1</v>
      </c>
      <c r="L330" s="1119"/>
      <c r="M330" s="311">
        <f t="shared" si="58"/>
        <v>1</v>
      </c>
      <c r="N330" s="1119"/>
      <c r="O330" s="311">
        <f t="shared" si="59"/>
        <v>1</v>
      </c>
      <c r="P330" s="1119"/>
      <c r="Q330" s="311">
        <f t="shared" si="60"/>
        <v>1</v>
      </c>
      <c r="R330" s="1115">
        <f t="shared" si="61"/>
        <v>0</v>
      </c>
      <c r="S330" s="694">
        <f t="shared" si="63"/>
        <v>0</v>
      </c>
    </row>
    <row r="331" spans="1:19">
      <c r="A331" s="487"/>
      <c r="B331" s="346"/>
      <c r="C331" s="311">
        <f t="shared" si="53"/>
        <v>1</v>
      </c>
      <c r="D331" s="1119"/>
      <c r="E331" s="311">
        <f t="shared" si="54"/>
        <v>1</v>
      </c>
      <c r="F331" s="1119"/>
      <c r="G331" s="311">
        <f t="shared" si="55"/>
        <v>1</v>
      </c>
      <c r="H331" s="1119"/>
      <c r="I331" s="311">
        <f t="shared" si="56"/>
        <v>1</v>
      </c>
      <c r="J331" s="1119"/>
      <c r="K331" s="311">
        <f t="shared" si="57"/>
        <v>1</v>
      </c>
      <c r="L331" s="1119"/>
      <c r="M331" s="311">
        <f t="shared" si="58"/>
        <v>1</v>
      </c>
      <c r="N331" s="1119"/>
      <c r="O331" s="311">
        <f t="shared" si="59"/>
        <v>1</v>
      </c>
      <c r="P331" s="1119"/>
      <c r="Q331" s="311">
        <f t="shared" si="60"/>
        <v>1</v>
      </c>
      <c r="R331" s="1115">
        <f t="shared" si="61"/>
        <v>0</v>
      </c>
      <c r="S331" s="694">
        <f t="shared" si="63"/>
        <v>0</v>
      </c>
    </row>
    <row r="332" spans="1:19">
      <c r="A332" s="487"/>
      <c r="B332" s="346"/>
      <c r="C332" s="311">
        <f t="shared" si="53"/>
        <v>1</v>
      </c>
      <c r="D332" s="1119"/>
      <c r="E332" s="311">
        <f t="shared" si="54"/>
        <v>1</v>
      </c>
      <c r="F332" s="1119"/>
      <c r="G332" s="311">
        <f t="shared" si="55"/>
        <v>1</v>
      </c>
      <c r="H332" s="1119"/>
      <c r="I332" s="311">
        <f t="shared" si="56"/>
        <v>1</v>
      </c>
      <c r="J332" s="1119"/>
      <c r="K332" s="311">
        <f t="shared" si="57"/>
        <v>1</v>
      </c>
      <c r="L332" s="1119"/>
      <c r="M332" s="311">
        <f t="shared" si="58"/>
        <v>1</v>
      </c>
      <c r="N332" s="1119"/>
      <c r="O332" s="311">
        <f t="shared" si="59"/>
        <v>1</v>
      </c>
      <c r="P332" s="1119"/>
      <c r="Q332" s="311">
        <f t="shared" si="60"/>
        <v>1</v>
      </c>
      <c r="R332" s="1115">
        <f t="shared" si="61"/>
        <v>0</v>
      </c>
      <c r="S332" s="694">
        <f t="shared" si="63"/>
        <v>0</v>
      </c>
    </row>
    <row r="333" spans="1:19">
      <c r="A333" s="487"/>
      <c r="B333" s="346"/>
      <c r="C333" s="311">
        <f t="shared" si="53"/>
        <v>1</v>
      </c>
      <c r="D333" s="1119"/>
      <c r="E333" s="311">
        <f t="shared" si="54"/>
        <v>1</v>
      </c>
      <c r="F333" s="1119"/>
      <c r="G333" s="311">
        <f t="shared" si="55"/>
        <v>1</v>
      </c>
      <c r="H333" s="1119"/>
      <c r="I333" s="311">
        <f t="shared" si="56"/>
        <v>1</v>
      </c>
      <c r="J333" s="1119"/>
      <c r="K333" s="311">
        <f t="shared" si="57"/>
        <v>1</v>
      </c>
      <c r="L333" s="1119"/>
      <c r="M333" s="311">
        <f t="shared" si="58"/>
        <v>1</v>
      </c>
      <c r="N333" s="1119"/>
      <c r="O333" s="311">
        <f t="shared" si="59"/>
        <v>1</v>
      </c>
      <c r="P333" s="1119"/>
      <c r="Q333" s="311">
        <f t="shared" si="60"/>
        <v>1</v>
      </c>
      <c r="R333" s="1115">
        <f t="shared" si="61"/>
        <v>0</v>
      </c>
      <c r="S333" s="694">
        <f t="shared" si="63"/>
        <v>0</v>
      </c>
    </row>
    <row r="334" spans="1:19">
      <c r="A334" s="487"/>
      <c r="B334" s="346"/>
      <c r="C334" s="311">
        <f t="shared" si="53"/>
        <v>1</v>
      </c>
      <c r="D334" s="1119"/>
      <c r="E334" s="311">
        <f t="shared" si="54"/>
        <v>1</v>
      </c>
      <c r="F334" s="1119"/>
      <c r="G334" s="311">
        <f t="shared" si="55"/>
        <v>1</v>
      </c>
      <c r="H334" s="1119"/>
      <c r="I334" s="311">
        <f t="shared" si="56"/>
        <v>1</v>
      </c>
      <c r="J334" s="1119"/>
      <c r="K334" s="311">
        <f t="shared" si="57"/>
        <v>1</v>
      </c>
      <c r="L334" s="1119"/>
      <c r="M334" s="311">
        <f t="shared" si="58"/>
        <v>1</v>
      </c>
      <c r="N334" s="1119"/>
      <c r="O334" s="311">
        <f t="shared" si="59"/>
        <v>1</v>
      </c>
      <c r="P334" s="1119"/>
      <c r="Q334" s="311">
        <f t="shared" si="60"/>
        <v>1</v>
      </c>
      <c r="R334" s="1115">
        <f t="shared" si="61"/>
        <v>0</v>
      </c>
      <c r="S334" s="694">
        <f t="shared" si="63"/>
        <v>0</v>
      </c>
    </row>
    <row r="335" spans="1:19">
      <c r="A335" s="487"/>
      <c r="B335" s="346"/>
      <c r="C335" s="311">
        <f t="shared" si="53"/>
        <v>1</v>
      </c>
      <c r="D335" s="1119"/>
      <c r="E335" s="311">
        <f t="shared" si="54"/>
        <v>1</v>
      </c>
      <c r="F335" s="1119"/>
      <c r="G335" s="311">
        <f t="shared" si="55"/>
        <v>1</v>
      </c>
      <c r="H335" s="1119"/>
      <c r="I335" s="311">
        <f t="shared" si="56"/>
        <v>1</v>
      </c>
      <c r="J335" s="1119"/>
      <c r="K335" s="311">
        <f t="shared" si="57"/>
        <v>1</v>
      </c>
      <c r="L335" s="1119"/>
      <c r="M335" s="311">
        <f t="shared" si="58"/>
        <v>1</v>
      </c>
      <c r="N335" s="1119"/>
      <c r="O335" s="311">
        <f t="shared" si="59"/>
        <v>1</v>
      </c>
      <c r="P335" s="1119"/>
      <c r="Q335" s="311">
        <f t="shared" si="60"/>
        <v>1</v>
      </c>
      <c r="R335" s="1115">
        <f t="shared" si="61"/>
        <v>0</v>
      </c>
      <c r="S335" s="694">
        <f t="shared" si="63"/>
        <v>0</v>
      </c>
    </row>
    <row r="336" spans="1:19">
      <c r="A336" s="487"/>
      <c r="B336" s="346"/>
      <c r="C336" s="311">
        <f t="shared" si="53"/>
        <v>1</v>
      </c>
      <c r="D336" s="1119"/>
      <c r="E336" s="311">
        <f t="shared" si="54"/>
        <v>1</v>
      </c>
      <c r="F336" s="1119"/>
      <c r="G336" s="311">
        <f t="shared" si="55"/>
        <v>1</v>
      </c>
      <c r="H336" s="1119"/>
      <c r="I336" s="311">
        <f t="shared" si="56"/>
        <v>1</v>
      </c>
      <c r="J336" s="1119"/>
      <c r="K336" s="311">
        <f t="shared" si="57"/>
        <v>1</v>
      </c>
      <c r="L336" s="1119"/>
      <c r="M336" s="311">
        <f t="shared" si="58"/>
        <v>1</v>
      </c>
      <c r="N336" s="1119"/>
      <c r="O336" s="311">
        <f t="shared" si="59"/>
        <v>1</v>
      </c>
      <c r="P336" s="1119"/>
      <c r="Q336" s="311">
        <f t="shared" si="60"/>
        <v>1</v>
      </c>
      <c r="R336" s="1115">
        <f t="shared" si="61"/>
        <v>0</v>
      </c>
      <c r="S336" s="694">
        <f t="shared" si="63"/>
        <v>0</v>
      </c>
    </row>
    <row r="337" spans="1:19">
      <c r="A337" s="487"/>
      <c r="B337" s="346"/>
      <c r="C337" s="311">
        <f t="shared" si="53"/>
        <v>1</v>
      </c>
      <c r="D337" s="1119"/>
      <c r="E337" s="311">
        <f t="shared" si="54"/>
        <v>1</v>
      </c>
      <c r="F337" s="1119"/>
      <c r="G337" s="311">
        <f t="shared" si="55"/>
        <v>1</v>
      </c>
      <c r="H337" s="1119"/>
      <c r="I337" s="311">
        <f t="shared" si="56"/>
        <v>1</v>
      </c>
      <c r="J337" s="1119"/>
      <c r="K337" s="311">
        <f t="shared" si="57"/>
        <v>1</v>
      </c>
      <c r="L337" s="1119"/>
      <c r="M337" s="311">
        <f t="shared" si="58"/>
        <v>1</v>
      </c>
      <c r="N337" s="1119"/>
      <c r="O337" s="311">
        <f t="shared" si="59"/>
        <v>1</v>
      </c>
      <c r="P337" s="1119"/>
      <c r="Q337" s="311">
        <f t="shared" si="60"/>
        <v>1</v>
      </c>
      <c r="R337" s="1115">
        <f t="shared" si="61"/>
        <v>0</v>
      </c>
      <c r="S337" s="694">
        <f t="shared" si="63"/>
        <v>0</v>
      </c>
    </row>
    <row r="338" spans="1:19">
      <c r="A338" s="487"/>
      <c r="B338" s="346"/>
      <c r="C338" s="311">
        <f t="shared" si="53"/>
        <v>1</v>
      </c>
      <c r="D338" s="1119"/>
      <c r="E338" s="311">
        <f t="shared" si="54"/>
        <v>1</v>
      </c>
      <c r="F338" s="1119"/>
      <c r="G338" s="311">
        <f t="shared" si="55"/>
        <v>1</v>
      </c>
      <c r="H338" s="1119"/>
      <c r="I338" s="311">
        <f t="shared" si="56"/>
        <v>1</v>
      </c>
      <c r="J338" s="1119"/>
      <c r="K338" s="311">
        <f t="shared" si="57"/>
        <v>1</v>
      </c>
      <c r="L338" s="1119"/>
      <c r="M338" s="311">
        <f t="shared" si="58"/>
        <v>1</v>
      </c>
      <c r="N338" s="1119"/>
      <c r="O338" s="311">
        <f t="shared" si="59"/>
        <v>1</v>
      </c>
      <c r="P338" s="1119"/>
      <c r="Q338" s="311">
        <f t="shared" si="60"/>
        <v>1</v>
      </c>
      <c r="R338" s="1115">
        <f t="shared" si="61"/>
        <v>0</v>
      </c>
      <c r="S338" s="694">
        <f t="shared" si="63"/>
        <v>0</v>
      </c>
    </row>
    <row r="339" spans="1:19">
      <c r="A339" s="487"/>
      <c r="B339" s="346"/>
      <c r="C339" s="311">
        <f t="shared" si="53"/>
        <v>1</v>
      </c>
      <c r="D339" s="1119"/>
      <c r="E339" s="311">
        <f t="shared" si="54"/>
        <v>1</v>
      </c>
      <c r="F339" s="1119"/>
      <c r="G339" s="311">
        <f t="shared" si="55"/>
        <v>1</v>
      </c>
      <c r="H339" s="1119"/>
      <c r="I339" s="311">
        <f t="shared" si="56"/>
        <v>1</v>
      </c>
      <c r="J339" s="1119"/>
      <c r="K339" s="311">
        <f t="shared" si="57"/>
        <v>1</v>
      </c>
      <c r="L339" s="1119"/>
      <c r="M339" s="311">
        <f t="shared" si="58"/>
        <v>1</v>
      </c>
      <c r="N339" s="1119"/>
      <c r="O339" s="311">
        <f t="shared" si="59"/>
        <v>1</v>
      </c>
      <c r="P339" s="1119"/>
      <c r="Q339" s="311">
        <f t="shared" si="60"/>
        <v>1</v>
      </c>
      <c r="R339" s="1115">
        <f t="shared" si="61"/>
        <v>0</v>
      </c>
      <c r="S339" s="694">
        <f t="shared" si="63"/>
        <v>0</v>
      </c>
    </row>
    <row r="340" spans="1:19">
      <c r="A340" s="487"/>
      <c r="B340" s="346"/>
      <c r="C340" s="311">
        <f t="shared" si="53"/>
        <v>1</v>
      </c>
      <c r="D340" s="1119"/>
      <c r="E340" s="311">
        <f t="shared" si="54"/>
        <v>1</v>
      </c>
      <c r="F340" s="1119"/>
      <c r="G340" s="311">
        <f t="shared" si="55"/>
        <v>1</v>
      </c>
      <c r="H340" s="1119"/>
      <c r="I340" s="311">
        <f t="shared" si="56"/>
        <v>1</v>
      </c>
      <c r="J340" s="1119"/>
      <c r="K340" s="311">
        <f t="shared" si="57"/>
        <v>1</v>
      </c>
      <c r="L340" s="1119"/>
      <c r="M340" s="311">
        <f t="shared" si="58"/>
        <v>1</v>
      </c>
      <c r="N340" s="1119"/>
      <c r="O340" s="311">
        <f t="shared" si="59"/>
        <v>1</v>
      </c>
      <c r="P340" s="1119"/>
      <c r="Q340" s="311">
        <f t="shared" si="60"/>
        <v>1</v>
      </c>
      <c r="R340" s="1115">
        <f t="shared" si="61"/>
        <v>0</v>
      </c>
      <c r="S340" s="694">
        <f t="shared" si="63"/>
        <v>0</v>
      </c>
    </row>
    <row r="341" spans="1:19">
      <c r="A341" s="487"/>
      <c r="B341" s="346"/>
      <c r="C341" s="311">
        <f t="shared" si="53"/>
        <v>1</v>
      </c>
      <c r="D341" s="1119"/>
      <c r="E341" s="311">
        <f t="shared" si="54"/>
        <v>1</v>
      </c>
      <c r="F341" s="1119"/>
      <c r="G341" s="311">
        <f t="shared" si="55"/>
        <v>1</v>
      </c>
      <c r="H341" s="1119"/>
      <c r="I341" s="311">
        <f t="shared" si="56"/>
        <v>1</v>
      </c>
      <c r="J341" s="1119"/>
      <c r="K341" s="311">
        <f t="shared" si="57"/>
        <v>1</v>
      </c>
      <c r="L341" s="1119"/>
      <c r="M341" s="311">
        <f t="shared" si="58"/>
        <v>1</v>
      </c>
      <c r="N341" s="1119"/>
      <c r="O341" s="311">
        <f t="shared" si="59"/>
        <v>1</v>
      </c>
      <c r="P341" s="1119"/>
      <c r="Q341" s="311">
        <f t="shared" si="60"/>
        <v>1</v>
      </c>
      <c r="R341" s="1115">
        <f t="shared" si="61"/>
        <v>0</v>
      </c>
      <c r="S341" s="694">
        <f t="shared" si="63"/>
        <v>0</v>
      </c>
    </row>
    <row r="342" spans="1:19">
      <c r="A342" s="487"/>
      <c r="B342" s="346"/>
      <c r="C342" s="311">
        <f t="shared" si="53"/>
        <v>1</v>
      </c>
      <c r="D342" s="1119"/>
      <c r="E342" s="311">
        <f t="shared" si="54"/>
        <v>1</v>
      </c>
      <c r="F342" s="1119"/>
      <c r="G342" s="311">
        <f t="shared" si="55"/>
        <v>1</v>
      </c>
      <c r="H342" s="1119"/>
      <c r="I342" s="311">
        <f t="shared" si="56"/>
        <v>1</v>
      </c>
      <c r="J342" s="1119"/>
      <c r="K342" s="311">
        <f t="shared" si="57"/>
        <v>1</v>
      </c>
      <c r="L342" s="1119"/>
      <c r="M342" s="311">
        <f t="shared" si="58"/>
        <v>1</v>
      </c>
      <c r="N342" s="1119"/>
      <c r="O342" s="311">
        <f t="shared" si="59"/>
        <v>1</v>
      </c>
      <c r="P342" s="1119"/>
      <c r="Q342" s="311">
        <f t="shared" si="60"/>
        <v>1</v>
      </c>
      <c r="R342" s="1115">
        <f t="shared" si="61"/>
        <v>0</v>
      </c>
      <c r="S342" s="694">
        <f t="shared" si="63"/>
        <v>0</v>
      </c>
    </row>
    <row r="343" spans="1:19">
      <c r="A343" s="487"/>
      <c r="B343" s="346"/>
      <c r="C343" s="311">
        <f t="shared" si="53"/>
        <v>1</v>
      </c>
      <c r="D343" s="1119"/>
      <c r="E343" s="311">
        <f t="shared" si="54"/>
        <v>1</v>
      </c>
      <c r="F343" s="1119"/>
      <c r="G343" s="311">
        <f t="shared" si="55"/>
        <v>1</v>
      </c>
      <c r="H343" s="1119"/>
      <c r="I343" s="311">
        <f t="shared" si="56"/>
        <v>1</v>
      </c>
      <c r="J343" s="1119"/>
      <c r="K343" s="311">
        <f t="shared" si="57"/>
        <v>1</v>
      </c>
      <c r="L343" s="1119"/>
      <c r="M343" s="311">
        <f t="shared" si="58"/>
        <v>1</v>
      </c>
      <c r="N343" s="1119"/>
      <c r="O343" s="311">
        <f t="shared" si="59"/>
        <v>1</v>
      </c>
      <c r="P343" s="1119"/>
      <c r="Q343" s="311">
        <f t="shared" si="60"/>
        <v>1</v>
      </c>
      <c r="R343" s="1115">
        <f t="shared" si="61"/>
        <v>0</v>
      </c>
      <c r="S343" s="694">
        <f t="shared" si="63"/>
        <v>0</v>
      </c>
    </row>
    <row r="344" spans="1:19">
      <c r="A344" s="487"/>
      <c r="B344" s="346"/>
      <c r="C344" s="311">
        <f t="shared" si="53"/>
        <v>1</v>
      </c>
      <c r="D344" s="1119"/>
      <c r="E344" s="311">
        <f t="shared" si="54"/>
        <v>1</v>
      </c>
      <c r="F344" s="1119"/>
      <c r="G344" s="311">
        <f t="shared" si="55"/>
        <v>1</v>
      </c>
      <c r="H344" s="1119"/>
      <c r="I344" s="311">
        <f t="shared" si="56"/>
        <v>1</v>
      </c>
      <c r="J344" s="1119"/>
      <c r="K344" s="311">
        <f t="shared" si="57"/>
        <v>1</v>
      </c>
      <c r="L344" s="1119"/>
      <c r="M344" s="311">
        <f t="shared" si="58"/>
        <v>1</v>
      </c>
      <c r="N344" s="1119"/>
      <c r="O344" s="311">
        <f t="shared" si="59"/>
        <v>1</v>
      </c>
      <c r="P344" s="1119"/>
      <c r="Q344" s="311">
        <f t="shared" si="60"/>
        <v>1</v>
      </c>
      <c r="R344" s="1115">
        <f t="shared" si="61"/>
        <v>0</v>
      </c>
      <c r="S344" s="694">
        <f t="shared" si="63"/>
        <v>0</v>
      </c>
    </row>
    <row r="345" spans="1:19">
      <c r="A345" s="487"/>
      <c r="B345" s="346"/>
      <c r="C345" s="311">
        <f t="shared" si="53"/>
        <v>1</v>
      </c>
      <c r="D345" s="1119"/>
      <c r="E345" s="311">
        <f t="shared" si="54"/>
        <v>1</v>
      </c>
      <c r="F345" s="1119"/>
      <c r="G345" s="311">
        <f t="shared" si="55"/>
        <v>1</v>
      </c>
      <c r="H345" s="1119"/>
      <c r="I345" s="311">
        <f t="shared" si="56"/>
        <v>1</v>
      </c>
      <c r="J345" s="1119"/>
      <c r="K345" s="311">
        <f t="shared" si="57"/>
        <v>1</v>
      </c>
      <c r="L345" s="1119"/>
      <c r="M345" s="311">
        <f t="shared" si="58"/>
        <v>1</v>
      </c>
      <c r="N345" s="1119"/>
      <c r="O345" s="311">
        <f t="shared" si="59"/>
        <v>1</v>
      </c>
      <c r="P345" s="1119"/>
      <c r="Q345" s="311">
        <f t="shared" si="60"/>
        <v>1</v>
      </c>
      <c r="R345" s="1115">
        <f t="shared" si="61"/>
        <v>0</v>
      </c>
      <c r="S345" s="694">
        <f t="shared" si="63"/>
        <v>0</v>
      </c>
    </row>
    <row r="346" spans="1:19">
      <c r="A346" s="487"/>
      <c r="B346" s="346"/>
      <c r="C346" s="311">
        <f t="shared" ref="C346:C409" si="64">IF(B346="",1,(LOOKUP(B346,$3:$3,$4:$4)-LOOKUP($B$24,$3:$3,$4:$4)+100)/100)</f>
        <v>1</v>
      </c>
      <c r="D346" s="1119"/>
      <c r="E346" s="311">
        <f t="shared" ref="E346:E409" si="65">(SUMIF($5:$5,D346,$6:$6)-SUMIF($5:$5,$D$24,$6:$6)+100)/100</f>
        <v>1</v>
      </c>
      <c r="F346" s="1119"/>
      <c r="G346" s="311">
        <f t="shared" ref="G346:G409" si="66">(SUMIF($7:$7,F346,$8:$8)-SUMIF($7:$7,$F$24,$8:$8)+100)/100</f>
        <v>1</v>
      </c>
      <c r="H346" s="1119"/>
      <c r="I346" s="311">
        <f t="shared" ref="I346:I409" si="67">(SUMIF($9:$9,H346,$10:$10)-SUMIF($9:$9,$H$24,$10:$10)+100)/100</f>
        <v>1</v>
      </c>
      <c r="J346" s="1119"/>
      <c r="K346" s="311">
        <f t="shared" ref="K346:K409" si="68">(SUMIF($11:$11,J346,$12:$12)-SUMIF($11:$11,$J$24,$12:$12)+100)/100</f>
        <v>1</v>
      </c>
      <c r="L346" s="1119"/>
      <c r="M346" s="311">
        <f t="shared" ref="M346:M409" si="69">(SUMIF($13:$13,L346,$14:$14)-SUMIF($13:$13,$L$24,$14:$14)+100)/100</f>
        <v>1</v>
      </c>
      <c r="N346" s="1119"/>
      <c r="O346" s="311">
        <f t="shared" ref="O346:O409" si="70">(SUMIF($15:$15,N346,$16:$16)-SUMIF($15:$15,$N$24,$16:$16)+100)/100</f>
        <v>1</v>
      </c>
      <c r="P346" s="1119"/>
      <c r="Q346" s="311">
        <f t="shared" ref="Q346:Q409" si="71">(SUMIF($17:$17,P346,$18:$18)-SUMIF($17:$17,$P$24,$18:$18)+100)/100</f>
        <v>1</v>
      </c>
      <c r="R346" s="1115">
        <f t="shared" ref="R346:R409" si="72">IF(B346="",0,ROUND($R$24*C346*E346*G346*I346*K346*M346*O346*Q346,0))</f>
        <v>0</v>
      </c>
      <c r="S346" s="694">
        <f t="shared" si="63"/>
        <v>0</v>
      </c>
    </row>
    <row r="347" spans="1:19">
      <c r="A347" s="487"/>
      <c r="B347" s="346"/>
      <c r="C347" s="311">
        <f t="shared" si="64"/>
        <v>1</v>
      </c>
      <c r="D347" s="1119"/>
      <c r="E347" s="311">
        <f t="shared" si="65"/>
        <v>1</v>
      </c>
      <c r="F347" s="1119"/>
      <c r="G347" s="311">
        <f t="shared" si="66"/>
        <v>1</v>
      </c>
      <c r="H347" s="1119"/>
      <c r="I347" s="311">
        <f t="shared" si="67"/>
        <v>1</v>
      </c>
      <c r="J347" s="1119"/>
      <c r="K347" s="311">
        <f t="shared" si="68"/>
        <v>1</v>
      </c>
      <c r="L347" s="1119"/>
      <c r="M347" s="311">
        <f t="shared" si="69"/>
        <v>1</v>
      </c>
      <c r="N347" s="1119"/>
      <c r="O347" s="311">
        <f t="shared" si="70"/>
        <v>1</v>
      </c>
      <c r="P347" s="1119"/>
      <c r="Q347" s="311">
        <f t="shared" si="71"/>
        <v>1</v>
      </c>
      <c r="R347" s="1115">
        <f t="shared" si="72"/>
        <v>0</v>
      </c>
      <c r="S347" s="694">
        <f t="shared" si="63"/>
        <v>0</v>
      </c>
    </row>
    <row r="348" spans="1:19">
      <c r="A348" s="487"/>
      <c r="B348" s="346"/>
      <c r="C348" s="311">
        <f t="shared" si="64"/>
        <v>1</v>
      </c>
      <c r="D348" s="1119"/>
      <c r="E348" s="311">
        <f t="shared" si="65"/>
        <v>1</v>
      </c>
      <c r="F348" s="1119"/>
      <c r="G348" s="311">
        <f t="shared" si="66"/>
        <v>1</v>
      </c>
      <c r="H348" s="1119"/>
      <c r="I348" s="311">
        <f t="shared" si="67"/>
        <v>1</v>
      </c>
      <c r="J348" s="1119"/>
      <c r="K348" s="311">
        <f t="shared" si="68"/>
        <v>1</v>
      </c>
      <c r="L348" s="1119"/>
      <c r="M348" s="311">
        <f t="shared" si="69"/>
        <v>1</v>
      </c>
      <c r="N348" s="1119"/>
      <c r="O348" s="311">
        <f t="shared" si="70"/>
        <v>1</v>
      </c>
      <c r="P348" s="1119"/>
      <c r="Q348" s="311">
        <f t="shared" si="71"/>
        <v>1</v>
      </c>
      <c r="R348" s="1115">
        <f t="shared" si="72"/>
        <v>0</v>
      </c>
      <c r="S348" s="694">
        <f t="shared" si="63"/>
        <v>0</v>
      </c>
    </row>
    <row r="349" spans="1:19">
      <c r="A349" s="487"/>
      <c r="B349" s="346"/>
      <c r="C349" s="311">
        <f t="shared" si="64"/>
        <v>1</v>
      </c>
      <c r="D349" s="1119"/>
      <c r="E349" s="311">
        <f t="shared" si="65"/>
        <v>1</v>
      </c>
      <c r="F349" s="1119"/>
      <c r="G349" s="311">
        <f t="shared" si="66"/>
        <v>1</v>
      </c>
      <c r="H349" s="1119"/>
      <c r="I349" s="311">
        <f t="shared" si="67"/>
        <v>1</v>
      </c>
      <c r="J349" s="1119"/>
      <c r="K349" s="311">
        <f t="shared" si="68"/>
        <v>1</v>
      </c>
      <c r="L349" s="1119"/>
      <c r="M349" s="311">
        <f t="shared" si="69"/>
        <v>1</v>
      </c>
      <c r="N349" s="1119"/>
      <c r="O349" s="311">
        <f t="shared" si="70"/>
        <v>1</v>
      </c>
      <c r="P349" s="1119"/>
      <c r="Q349" s="311">
        <f t="shared" si="71"/>
        <v>1</v>
      </c>
      <c r="R349" s="1115">
        <f t="shared" si="72"/>
        <v>0</v>
      </c>
      <c r="S349" s="694">
        <f t="shared" si="63"/>
        <v>0</v>
      </c>
    </row>
    <row r="350" spans="1:19">
      <c r="A350" s="487"/>
      <c r="B350" s="346"/>
      <c r="C350" s="311">
        <f t="shared" si="64"/>
        <v>1</v>
      </c>
      <c r="D350" s="1119"/>
      <c r="E350" s="311">
        <f t="shared" si="65"/>
        <v>1</v>
      </c>
      <c r="F350" s="1119"/>
      <c r="G350" s="311">
        <f t="shared" si="66"/>
        <v>1</v>
      </c>
      <c r="H350" s="1119"/>
      <c r="I350" s="311">
        <f t="shared" si="67"/>
        <v>1</v>
      </c>
      <c r="J350" s="1119"/>
      <c r="K350" s="311">
        <f t="shared" si="68"/>
        <v>1</v>
      </c>
      <c r="L350" s="1119"/>
      <c r="M350" s="311">
        <f t="shared" si="69"/>
        <v>1</v>
      </c>
      <c r="N350" s="1119"/>
      <c r="O350" s="311">
        <f t="shared" si="70"/>
        <v>1</v>
      </c>
      <c r="P350" s="1119"/>
      <c r="Q350" s="311">
        <f t="shared" si="71"/>
        <v>1</v>
      </c>
      <c r="R350" s="1115">
        <f t="shared" si="72"/>
        <v>0</v>
      </c>
      <c r="S350" s="694">
        <f t="shared" si="63"/>
        <v>0</v>
      </c>
    </row>
    <row r="351" spans="1:19">
      <c r="A351" s="487"/>
      <c r="B351" s="346"/>
      <c r="C351" s="311">
        <f t="shared" si="64"/>
        <v>1</v>
      </c>
      <c r="D351" s="1119"/>
      <c r="E351" s="311">
        <f t="shared" si="65"/>
        <v>1</v>
      </c>
      <c r="F351" s="1119"/>
      <c r="G351" s="311">
        <f t="shared" si="66"/>
        <v>1</v>
      </c>
      <c r="H351" s="1119"/>
      <c r="I351" s="311">
        <f t="shared" si="67"/>
        <v>1</v>
      </c>
      <c r="J351" s="1119"/>
      <c r="K351" s="311">
        <f t="shared" si="68"/>
        <v>1</v>
      </c>
      <c r="L351" s="1119"/>
      <c r="M351" s="311">
        <f t="shared" si="69"/>
        <v>1</v>
      </c>
      <c r="N351" s="1119"/>
      <c r="O351" s="311">
        <f t="shared" si="70"/>
        <v>1</v>
      </c>
      <c r="P351" s="1119"/>
      <c r="Q351" s="311">
        <f t="shared" si="71"/>
        <v>1</v>
      </c>
      <c r="R351" s="1115">
        <f t="shared" si="72"/>
        <v>0</v>
      </c>
      <c r="S351" s="694">
        <f t="shared" si="63"/>
        <v>0</v>
      </c>
    </row>
    <row r="352" spans="1:19">
      <c r="A352" s="487"/>
      <c r="B352" s="346"/>
      <c r="C352" s="311">
        <f t="shared" si="64"/>
        <v>1</v>
      </c>
      <c r="D352" s="1119"/>
      <c r="E352" s="311">
        <f t="shared" si="65"/>
        <v>1</v>
      </c>
      <c r="F352" s="1119"/>
      <c r="G352" s="311">
        <f t="shared" si="66"/>
        <v>1</v>
      </c>
      <c r="H352" s="1119"/>
      <c r="I352" s="311">
        <f t="shared" si="67"/>
        <v>1</v>
      </c>
      <c r="J352" s="1119"/>
      <c r="K352" s="311">
        <f t="shared" si="68"/>
        <v>1</v>
      </c>
      <c r="L352" s="1119"/>
      <c r="M352" s="311">
        <f t="shared" si="69"/>
        <v>1</v>
      </c>
      <c r="N352" s="1119"/>
      <c r="O352" s="311">
        <f t="shared" si="70"/>
        <v>1</v>
      </c>
      <c r="P352" s="1119"/>
      <c r="Q352" s="311">
        <f t="shared" si="71"/>
        <v>1</v>
      </c>
      <c r="R352" s="1115">
        <f t="shared" si="72"/>
        <v>0</v>
      </c>
      <c r="S352" s="694">
        <f t="shared" si="63"/>
        <v>0</v>
      </c>
    </row>
    <row r="353" spans="1:19">
      <c r="A353" s="487"/>
      <c r="B353" s="346"/>
      <c r="C353" s="311">
        <f t="shared" si="64"/>
        <v>1</v>
      </c>
      <c r="D353" s="1119"/>
      <c r="E353" s="311">
        <f t="shared" si="65"/>
        <v>1</v>
      </c>
      <c r="F353" s="1119"/>
      <c r="G353" s="311">
        <f t="shared" si="66"/>
        <v>1</v>
      </c>
      <c r="H353" s="1119"/>
      <c r="I353" s="311">
        <f t="shared" si="67"/>
        <v>1</v>
      </c>
      <c r="J353" s="1119"/>
      <c r="K353" s="311">
        <f t="shared" si="68"/>
        <v>1</v>
      </c>
      <c r="L353" s="1119"/>
      <c r="M353" s="311">
        <f t="shared" si="69"/>
        <v>1</v>
      </c>
      <c r="N353" s="1119"/>
      <c r="O353" s="311">
        <f t="shared" si="70"/>
        <v>1</v>
      </c>
      <c r="P353" s="1119"/>
      <c r="Q353" s="311">
        <f t="shared" si="71"/>
        <v>1</v>
      </c>
      <c r="R353" s="1115">
        <f t="shared" si="72"/>
        <v>0</v>
      </c>
      <c r="S353" s="694">
        <f t="shared" si="63"/>
        <v>0</v>
      </c>
    </row>
    <row r="354" spans="1:19">
      <c r="A354" s="487"/>
      <c r="B354" s="346"/>
      <c r="C354" s="311">
        <f t="shared" si="64"/>
        <v>1</v>
      </c>
      <c r="D354" s="1119"/>
      <c r="E354" s="311">
        <f t="shared" si="65"/>
        <v>1</v>
      </c>
      <c r="F354" s="1119"/>
      <c r="G354" s="311">
        <f t="shared" si="66"/>
        <v>1</v>
      </c>
      <c r="H354" s="1119"/>
      <c r="I354" s="311">
        <f t="shared" si="67"/>
        <v>1</v>
      </c>
      <c r="J354" s="1119"/>
      <c r="K354" s="311">
        <f t="shared" si="68"/>
        <v>1</v>
      </c>
      <c r="L354" s="1119"/>
      <c r="M354" s="311">
        <f t="shared" si="69"/>
        <v>1</v>
      </c>
      <c r="N354" s="1119"/>
      <c r="O354" s="311">
        <f t="shared" si="70"/>
        <v>1</v>
      </c>
      <c r="P354" s="1119"/>
      <c r="Q354" s="311">
        <f t="shared" si="71"/>
        <v>1</v>
      </c>
      <c r="R354" s="1115">
        <f t="shared" si="72"/>
        <v>0</v>
      </c>
      <c r="S354" s="694">
        <f t="shared" si="63"/>
        <v>0</v>
      </c>
    </row>
    <row r="355" spans="1:19">
      <c r="A355" s="487"/>
      <c r="B355" s="346"/>
      <c r="C355" s="311">
        <f t="shared" si="64"/>
        <v>1</v>
      </c>
      <c r="D355" s="1119"/>
      <c r="E355" s="311">
        <f t="shared" si="65"/>
        <v>1</v>
      </c>
      <c r="F355" s="1119"/>
      <c r="G355" s="311">
        <f t="shared" si="66"/>
        <v>1</v>
      </c>
      <c r="H355" s="1119"/>
      <c r="I355" s="311">
        <f t="shared" si="67"/>
        <v>1</v>
      </c>
      <c r="J355" s="1119"/>
      <c r="K355" s="311">
        <f t="shared" si="68"/>
        <v>1</v>
      </c>
      <c r="L355" s="1119"/>
      <c r="M355" s="311">
        <f t="shared" si="69"/>
        <v>1</v>
      </c>
      <c r="N355" s="1119"/>
      <c r="O355" s="311">
        <f t="shared" si="70"/>
        <v>1</v>
      </c>
      <c r="P355" s="1119"/>
      <c r="Q355" s="311">
        <f t="shared" si="71"/>
        <v>1</v>
      </c>
      <c r="R355" s="1115">
        <f t="shared" si="72"/>
        <v>0</v>
      </c>
      <c r="S355" s="694">
        <f t="shared" si="63"/>
        <v>0</v>
      </c>
    </row>
    <row r="356" spans="1:19">
      <c r="A356" s="487"/>
      <c r="B356" s="346"/>
      <c r="C356" s="311">
        <f t="shared" si="64"/>
        <v>1</v>
      </c>
      <c r="D356" s="1119"/>
      <c r="E356" s="311">
        <f t="shared" si="65"/>
        <v>1</v>
      </c>
      <c r="F356" s="1119"/>
      <c r="G356" s="311">
        <f t="shared" si="66"/>
        <v>1</v>
      </c>
      <c r="H356" s="1119"/>
      <c r="I356" s="311">
        <f t="shared" si="67"/>
        <v>1</v>
      </c>
      <c r="J356" s="1119"/>
      <c r="K356" s="311">
        <f t="shared" si="68"/>
        <v>1</v>
      </c>
      <c r="L356" s="1119"/>
      <c r="M356" s="311">
        <f t="shared" si="69"/>
        <v>1</v>
      </c>
      <c r="N356" s="1119"/>
      <c r="O356" s="311">
        <f t="shared" si="70"/>
        <v>1</v>
      </c>
      <c r="P356" s="1119"/>
      <c r="Q356" s="311">
        <f t="shared" si="71"/>
        <v>1</v>
      </c>
      <c r="R356" s="1115">
        <f t="shared" si="72"/>
        <v>0</v>
      </c>
      <c r="S356" s="694">
        <f t="shared" si="63"/>
        <v>0</v>
      </c>
    </row>
    <row r="357" spans="1:19">
      <c r="A357" s="487"/>
      <c r="B357" s="346"/>
      <c r="C357" s="311">
        <f t="shared" si="64"/>
        <v>1</v>
      </c>
      <c r="D357" s="1119"/>
      <c r="E357" s="311">
        <f t="shared" si="65"/>
        <v>1</v>
      </c>
      <c r="F357" s="1119"/>
      <c r="G357" s="311">
        <f t="shared" si="66"/>
        <v>1</v>
      </c>
      <c r="H357" s="1119"/>
      <c r="I357" s="311">
        <f t="shared" si="67"/>
        <v>1</v>
      </c>
      <c r="J357" s="1119"/>
      <c r="K357" s="311">
        <f t="shared" si="68"/>
        <v>1</v>
      </c>
      <c r="L357" s="1119"/>
      <c r="M357" s="311">
        <f t="shared" si="69"/>
        <v>1</v>
      </c>
      <c r="N357" s="1119"/>
      <c r="O357" s="311">
        <f t="shared" si="70"/>
        <v>1</v>
      </c>
      <c r="P357" s="1119"/>
      <c r="Q357" s="311">
        <f t="shared" si="71"/>
        <v>1</v>
      </c>
      <c r="R357" s="1115">
        <f t="shared" si="72"/>
        <v>0</v>
      </c>
      <c r="S357" s="694">
        <f t="shared" si="63"/>
        <v>0</v>
      </c>
    </row>
    <row r="358" spans="1:19">
      <c r="A358" s="487"/>
      <c r="B358" s="346"/>
      <c r="C358" s="311">
        <f t="shared" si="64"/>
        <v>1</v>
      </c>
      <c r="D358" s="1119"/>
      <c r="E358" s="311">
        <f t="shared" si="65"/>
        <v>1</v>
      </c>
      <c r="F358" s="1119"/>
      <c r="G358" s="311">
        <f t="shared" si="66"/>
        <v>1</v>
      </c>
      <c r="H358" s="1119"/>
      <c r="I358" s="311">
        <f t="shared" si="67"/>
        <v>1</v>
      </c>
      <c r="J358" s="1119"/>
      <c r="K358" s="311">
        <f t="shared" si="68"/>
        <v>1</v>
      </c>
      <c r="L358" s="1119"/>
      <c r="M358" s="311">
        <f t="shared" si="69"/>
        <v>1</v>
      </c>
      <c r="N358" s="1119"/>
      <c r="O358" s="311">
        <f t="shared" si="70"/>
        <v>1</v>
      </c>
      <c r="P358" s="1119"/>
      <c r="Q358" s="311">
        <f t="shared" si="71"/>
        <v>1</v>
      </c>
      <c r="R358" s="1115">
        <f t="shared" si="72"/>
        <v>0</v>
      </c>
      <c r="S358" s="694">
        <f t="shared" si="63"/>
        <v>0</v>
      </c>
    </row>
    <row r="359" spans="1:19">
      <c r="A359" s="487"/>
      <c r="B359" s="346"/>
      <c r="C359" s="311">
        <f t="shared" si="64"/>
        <v>1</v>
      </c>
      <c r="D359" s="1119"/>
      <c r="E359" s="311">
        <f t="shared" si="65"/>
        <v>1</v>
      </c>
      <c r="F359" s="1119"/>
      <c r="G359" s="311">
        <f t="shared" si="66"/>
        <v>1</v>
      </c>
      <c r="H359" s="1119"/>
      <c r="I359" s="311">
        <f t="shared" si="67"/>
        <v>1</v>
      </c>
      <c r="J359" s="1119"/>
      <c r="K359" s="311">
        <f t="shared" si="68"/>
        <v>1</v>
      </c>
      <c r="L359" s="1119"/>
      <c r="M359" s="311">
        <f t="shared" si="69"/>
        <v>1</v>
      </c>
      <c r="N359" s="1119"/>
      <c r="O359" s="311">
        <f t="shared" si="70"/>
        <v>1</v>
      </c>
      <c r="P359" s="1119"/>
      <c r="Q359" s="311">
        <f t="shared" si="71"/>
        <v>1</v>
      </c>
      <c r="R359" s="1115">
        <f t="shared" si="72"/>
        <v>0</v>
      </c>
      <c r="S359" s="694">
        <f t="shared" si="63"/>
        <v>0</v>
      </c>
    </row>
    <row r="360" spans="1:19">
      <c r="A360" s="487"/>
      <c r="B360" s="346"/>
      <c r="C360" s="311">
        <f t="shared" si="64"/>
        <v>1</v>
      </c>
      <c r="D360" s="1119"/>
      <c r="E360" s="311">
        <f t="shared" si="65"/>
        <v>1</v>
      </c>
      <c r="F360" s="1119"/>
      <c r="G360" s="311">
        <f t="shared" si="66"/>
        <v>1</v>
      </c>
      <c r="H360" s="1119"/>
      <c r="I360" s="311">
        <f t="shared" si="67"/>
        <v>1</v>
      </c>
      <c r="J360" s="1119"/>
      <c r="K360" s="311">
        <f t="shared" si="68"/>
        <v>1</v>
      </c>
      <c r="L360" s="1119"/>
      <c r="M360" s="311">
        <f t="shared" si="69"/>
        <v>1</v>
      </c>
      <c r="N360" s="1119"/>
      <c r="O360" s="311">
        <f t="shared" si="70"/>
        <v>1</v>
      </c>
      <c r="P360" s="1119"/>
      <c r="Q360" s="311">
        <f t="shared" si="71"/>
        <v>1</v>
      </c>
      <c r="R360" s="1115">
        <f t="shared" si="72"/>
        <v>0</v>
      </c>
      <c r="S360" s="694">
        <f t="shared" si="63"/>
        <v>0</v>
      </c>
    </row>
    <row r="361" spans="1:19">
      <c r="A361" s="487"/>
      <c r="B361" s="346"/>
      <c r="C361" s="311">
        <f t="shared" si="64"/>
        <v>1</v>
      </c>
      <c r="D361" s="1119"/>
      <c r="E361" s="311">
        <f t="shared" si="65"/>
        <v>1</v>
      </c>
      <c r="F361" s="1119"/>
      <c r="G361" s="311">
        <f t="shared" si="66"/>
        <v>1</v>
      </c>
      <c r="H361" s="1119"/>
      <c r="I361" s="311">
        <f t="shared" si="67"/>
        <v>1</v>
      </c>
      <c r="J361" s="1119"/>
      <c r="K361" s="311">
        <f t="shared" si="68"/>
        <v>1</v>
      </c>
      <c r="L361" s="1119"/>
      <c r="M361" s="311">
        <f t="shared" si="69"/>
        <v>1</v>
      </c>
      <c r="N361" s="1119"/>
      <c r="O361" s="311">
        <f t="shared" si="70"/>
        <v>1</v>
      </c>
      <c r="P361" s="1119"/>
      <c r="Q361" s="311">
        <f t="shared" si="71"/>
        <v>1</v>
      </c>
      <c r="R361" s="1115">
        <f t="shared" si="72"/>
        <v>0</v>
      </c>
      <c r="S361" s="694">
        <f t="shared" si="63"/>
        <v>0</v>
      </c>
    </row>
    <row r="362" spans="1:19">
      <c r="A362" s="487"/>
      <c r="B362" s="346"/>
      <c r="C362" s="311">
        <f t="shared" si="64"/>
        <v>1</v>
      </c>
      <c r="D362" s="1119"/>
      <c r="E362" s="311">
        <f t="shared" si="65"/>
        <v>1</v>
      </c>
      <c r="F362" s="1119"/>
      <c r="G362" s="311">
        <f t="shared" si="66"/>
        <v>1</v>
      </c>
      <c r="H362" s="1119"/>
      <c r="I362" s="311">
        <f t="shared" si="67"/>
        <v>1</v>
      </c>
      <c r="J362" s="1119"/>
      <c r="K362" s="311">
        <f t="shared" si="68"/>
        <v>1</v>
      </c>
      <c r="L362" s="1119"/>
      <c r="M362" s="311">
        <f t="shared" si="69"/>
        <v>1</v>
      </c>
      <c r="N362" s="1119"/>
      <c r="O362" s="311">
        <f t="shared" si="70"/>
        <v>1</v>
      </c>
      <c r="P362" s="1119"/>
      <c r="Q362" s="311">
        <f t="shared" si="71"/>
        <v>1</v>
      </c>
      <c r="R362" s="1115">
        <f t="shared" si="72"/>
        <v>0</v>
      </c>
      <c r="S362" s="694">
        <f t="shared" si="63"/>
        <v>0</v>
      </c>
    </row>
    <row r="363" spans="1:19">
      <c r="A363" s="487"/>
      <c r="B363" s="346"/>
      <c r="C363" s="311">
        <f t="shared" si="64"/>
        <v>1</v>
      </c>
      <c r="D363" s="1119"/>
      <c r="E363" s="311">
        <f t="shared" si="65"/>
        <v>1</v>
      </c>
      <c r="F363" s="1119"/>
      <c r="G363" s="311">
        <f t="shared" si="66"/>
        <v>1</v>
      </c>
      <c r="H363" s="1119"/>
      <c r="I363" s="311">
        <f t="shared" si="67"/>
        <v>1</v>
      </c>
      <c r="J363" s="1119"/>
      <c r="K363" s="311">
        <f t="shared" si="68"/>
        <v>1</v>
      </c>
      <c r="L363" s="1119"/>
      <c r="M363" s="311">
        <f t="shared" si="69"/>
        <v>1</v>
      </c>
      <c r="N363" s="1119"/>
      <c r="O363" s="311">
        <f t="shared" si="70"/>
        <v>1</v>
      </c>
      <c r="P363" s="1119"/>
      <c r="Q363" s="311">
        <f t="shared" si="71"/>
        <v>1</v>
      </c>
      <c r="R363" s="1115">
        <f t="shared" si="72"/>
        <v>0</v>
      </c>
      <c r="S363" s="694">
        <f t="shared" si="63"/>
        <v>0</v>
      </c>
    </row>
    <row r="364" spans="1:19">
      <c r="A364" s="487"/>
      <c r="B364" s="346"/>
      <c r="C364" s="311">
        <f t="shared" si="64"/>
        <v>1</v>
      </c>
      <c r="D364" s="1119"/>
      <c r="E364" s="311">
        <f t="shared" si="65"/>
        <v>1</v>
      </c>
      <c r="F364" s="1119"/>
      <c r="G364" s="311">
        <f t="shared" si="66"/>
        <v>1</v>
      </c>
      <c r="H364" s="1119"/>
      <c r="I364" s="311">
        <f t="shared" si="67"/>
        <v>1</v>
      </c>
      <c r="J364" s="1119"/>
      <c r="K364" s="311">
        <f t="shared" si="68"/>
        <v>1</v>
      </c>
      <c r="L364" s="1119"/>
      <c r="M364" s="311">
        <f t="shared" si="69"/>
        <v>1</v>
      </c>
      <c r="N364" s="1119"/>
      <c r="O364" s="311">
        <f t="shared" si="70"/>
        <v>1</v>
      </c>
      <c r="P364" s="1119"/>
      <c r="Q364" s="311">
        <f t="shared" si="71"/>
        <v>1</v>
      </c>
      <c r="R364" s="1115">
        <f t="shared" si="72"/>
        <v>0</v>
      </c>
      <c r="S364" s="694">
        <f t="shared" si="63"/>
        <v>0</v>
      </c>
    </row>
    <row r="365" spans="1:19">
      <c r="A365" s="487"/>
      <c r="B365" s="346"/>
      <c r="C365" s="311">
        <f t="shared" si="64"/>
        <v>1</v>
      </c>
      <c r="D365" s="1119"/>
      <c r="E365" s="311">
        <f t="shared" si="65"/>
        <v>1</v>
      </c>
      <c r="F365" s="1119"/>
      <c r="G365" s="311">
        <f t="shared" si="66"/>
        <v>1</v>
      </c>
      <c r="H365" s="1119"/>
      <c r="I365" s="311">
        <f t="shared" si="67"/>
        <v>1</v>
      </c>
      <c r="J365" s="1119"/>
      <c r="K365" s="311">
        <f t="shared" si="68"/>
        <v>1</v>
      </c>
      <c r="L365" s="1119"/>
      <c r="M365" s="311">
        <f t="shared" si="69"/>
        <v>1</v>
      </c>
      <c r="N365" s="1119"/>
      <c r="O365" s="311">
        <f t="shared" si="70"/>
        <v>1</v>
      </c>
      <c r="P365" s="1119"/>
      <c r="Q365" s="311">
        <f t="shared" si="71"/>
        <v>1</v>
      </c>
      <c r="R365" s="1115">
        <f t="shared" si="72"/>
        <v>0</v>
      </c>
      <c r="S365" s="694">
        <f t="shared" si="63"/>
        <v>0</v>
      </c>
    </row>
    <row r="366" spans="1:19">
      <c r="A366" s="487"/>
      <c r="B366" s="346"/>
      <c r="C366" s="311">
        <f t="shared" si="64"/>
        <v>1</v>
      </c>
      <c r="D366" s="1119"/>
      <c r="E366" s="311">
        <f t="shared" si="65"/>
        <v>1</v>
      </c>
      <c r="F366" s="1119"/>
      <c r="G366" s="311">
        <f t="shared" si="66"/>
        <v>1</v>
      </c>
      <c r="H366" s="1119"/>
      <c r="I366" s="311">
        <f t="shared" si="67"/>
        <v>1</v>
      </c>
      <c r="J366" s="1119"/>
      <c r="K366" s="311">
        <f t="shared" si="68"/>
        <v>1</v>
      </c>
      <c r="L366" s="1119"/>
      <c r="M366" s="311">
        <f t="shared" si="69"/>
        <v>1</v>
      </c>
      <c r="N366" s="1119"/>
      <c r="O366" s="311">
        <f t="shared" si="70"/>
        <v>1</v>
      </c>
      <c r="P366" s="1119"/>
      <c r="Q366" s="311">
        <f t="shared" si="71"/>
        <v>1</v>
      </c>
      <c r="R366" s="1115">
        <f t="shared" si="72"/>
        <v>0</v>
      </c>
      <c r="S366" s="694">
        <f t="shared" si="63"/>
        <v>0</v>
      </c>
    </row>
    <row r="367" spans="1:19">
      <c r="A367" s="487"/>
      <c r="B367" s="346"/>
      <c r="C367" s="311">
        <f t="shared" si="64"/>
        <v>1</v>
      </c>
      <c r="D367" s="1119"/>
      <c r="E367" s="311">
        <f t="shared" si="65"/>
        <v>1</v>
      </c>
      <c r="F367" s="1119"/>
      <c r="G367" s="311">
        <f t="shared" si="66"/>
        <v>1</v>
      </c>
      <c r="H367" s="1119"/>
      <c r="I367" s="311">
        <f t="shared" si="67"/>
        <v>1</v>
      </c>
      <c r="J367" s="1119"/>
      <c r="K367" s="311">
        <f t="shared" si="68"/>
        <v>1</v>
      </c>
      <c r="L367" s="1119"/>
      <c r="M367" s="311">
        <f t="shared" si="69"/>
        <v>1</v>
      </c>
      <c r="N367" s="1119"/>
      <c r="O367" s="311">
        <f t="shared" si="70"/>
        <v>1</v>
      </c>
      <c r="P367" s="1119"/>
      <c r="Q367" s="311">
        <f t="shared" si="71"/>
        <v>1</v>
      </c>
      <c r="R367" s="1115">
        <f t="shared" si="72"/>
        <v>0</v>
      </c>
      <c r="S367" s="694">
        <f t="shared" si="63"/>
        <v>0</v>
      </c>
    </row>
    <row r="368" spans="1:19">
      <c r="A368" s="487"/>
      <c r="B368" s="346"/>
      <c r="C368" s="311">
        <f t="shared" si="64"/>
        <v>1</v>
      </c>
      <c r="D368" s="1119"/>
      <c r="E368" s="311">
        <f t="shared" si="65"/>
        <v>1</v>
      </c>
      <c r="F368" s="1119"/>
      <c r="G368" s="311">
        <f t="shared" si="66"/>
        <v>1</v>
      </c>
      <c r="H368" s="1119"/>
      <c r="I368" s="311">
        <f t="shared" si="67"/>
        <v>1</v>
      </c>
      <c r="J368" s="1119"/>
      <c r="K368" s="311">
        <f t="shared" si="68"/>
        <v>1</v>
      </c>
      <c r="L368" s="1119"/>
      <c r="M368" s="311">
        <f t="shared" si="69"/>
        <v>1</v>
      </c>
      <c r="N368" s="1119"/>
      <c r="O368" s="311">
        <f t="shared" si="70"/>
        <v>1</v>
      </c>
      <c r="P368" s="1119"/>
      <c r="Q368" s="311">
        <f t="shared" si="71"/>
        <v>1</v>
      </c>
      <c r="R368" s="1115">
        <f t="shared" si="72"/>
        <v>0</v>
      </c>
      <c r="S368" s="694">
        <f t="shared" si="63"/>
        <v>0</v>
      </c>
    </row>
    <row r="369" spans="1:19">
      <c r="A369" s="487"/>
      <c r="B369" s="346"/>
      <c r="C369" s="311">
        <f t="shared" si="64"/>
        <v>1</v>
      </c>
      <c r="D369" s="1119"/>
      <c r="E369" s="311">
        <f t="shared" si="65"/>
        <v>1</v>
      </c>
      <c r="F369" s="1119"/>
      <c r="G369" s="311">
        <f t="shared" si="66"/>
        <v>1</v>
      </c>
      <c r="H369" s="1119"/>
      <c r="I369" s="311">
        <f t="shared" si="67"/>
        <v>1</v>
      </c>
      <c r="J369" s="1119"/>
      <c r="K369" s="311">
        <f t="shared" si="68"/>
        <v>1</v>
      </c>
      <c r="L369" s="1119"/>
      <c r="M369" s="311">
        <f t="shared" si="69"/>
        <v>1</v>
      </c>
      <c r="N369" s="1119"/>
      <c r="O369" s="311">
        <f t="shared" si="70"/>
        <v>1</v>
      </c>
      <c r="P369" s="1119"/>
      <c r="Q369" s="311">
        <f t="shared" si="71"/>
        <v>1</v>
      </c>
      <c r="R369" s="1115">
        <f t="shared" si="72"/>
        <v>0</v>
      </c>
      <c r="S369" s="694">
        <f t="shared" si="63"/>
        <v>0</v>
      </c>
    </row>
    <row r="370" spans="1:19">
      <c r="A370" s="487"/>
      <c r="B370" s="346"/>
      <c r="C370" s="311">
        <f t="shared" si="64"/>
        <v>1</v>
      </c>
      <c r="D370" s="1119"/>
      <c r="E370" s="311">
        <f t="shared" si="65"/>
        <v>1</v>
      </c>
      <c r="F370" s="1119"/>
      <c r="G370" s="311">
        <f t="shared" si="66"/>
        <v>1</v>
      </c>
      <c r="H370" s="1119"/>
      <c r="I370" s="311">
        <f t="shared" si="67"/>
        <v>1</v>
      </c>
      <c r="J370" s="1119"/>
      <c r="K370" s="311">
        <f t="shared" si="68"/>
        <v>1</v>
      </c>
      <c r="L370" s="1119"/>
      <c r="M370" s="311">
        <f t="shared" si="69"/>
        <v>1</v>
      </c>
      <c r="N370" s="1119"/>
      <c r="O370" s="311">
        <f t="shared" si="70"/>
        <v>1</v>
      </c>
      <c r="P370" s="1119"/>
      <c r="Q370" s="311">
        <f t="shared" si="71"/>
        <v>1</v>
      </c>
      <c r="R370" s="1115">
        <f t="shared" si="72"/>
        <v>0</v>
      </c>
      <c r="S370" s="694">
        <f t="shared" si="63"/>
        <v>0</v>
      </c>
    </row>
    <row r="371" spans="1:19">
      <c r="A371" s="487"/>
      <c r="B371" s="346"/>
      <c r="C371" s="311">
        <f t="shared" si="64"/>
        <v>1</v>
      </c>
      <c r="D371" s="1119"/>
      <c r="E371" s="311">
        <f t="shared" si="65"/>
        <v>1</v>
      </c>
      <c r="F371" s="1119"/>
      <c r="G371" s="311">
        <f t="shared" si="66"/>
        <v>1</v>
      </c>
      <c r="H371" s="1119"/>
      <c r="I371" s="311">
        <f t="shared" si="67"/>
        <v>1</v>
      </c>
      <c r="J371" s="1119"/>
      <c r="K371" s="311">
        <f t="shared" si="68"/>
        <v>1</v>
      </c>
      <c r="L371" s="1119"/>
      <c r="M371" s="311">
        <f t="shared" si="69"/>
        <v>1</v>
      </c>
      <c r="N371" s="1119"/>
      <c r="O371" s="311">
        <f t="shared" si="70"/>
        <v>1</v>
      </c>
      <c r="P371" s="1119"/>
      <c r="Q371" s="311">
        <f t="shared" si="71"/>
        <v>1</v>
      </c>
      <c r="R371" s="1115">
        <f t="shared" si="72"/>
        <v>0</v>
      </c>
      <c r="S371" s="694">
        <f t="shared" si="63"/>
        <v>0</v>
      </c>
    </row>
    <row r="372" spans="1:19">
      <c r="A372" s="487"/>
      <c r="B372" s="346"/>
      <c r="C372" s="311">
        <f t="shared" si="64"/>
        <v>1</v>
      </c>
      <c r="D372" s="1119"/>
      <c r="E372" s="311">
        <f t="shared" si="65"/>
        <v>1</v>
      </c>
      <c r="F372" s="1119"/>
      <c r="G372" s="311">
        <f t="shared" si="66"/>
        <v>1</v>
      </c>
      <c r="H372" s="1119"/>
      <c r="I372" s="311">
        <f t="shared" si="67"/>
        <v>1</v>
      </c>
      <c r="J372" s="1119"/>
      <c r="K372" s="311">
        <f t="shared" si="68"/>
        <v>1</v>
      </c>
      <c r="L372" s="1119"/>
      <c r="M372" s="311">
        <f t="shared" si="69"/>
        <v>1</v>
      </c>
      <c r="N372" s="1119"/>
      <c r="O372" s="311">
        <f t="shared" si="70"/>
        <v>1</v>
      </c>
      <c r="P372" s="1119"/>
      <c r="Q372" s="311">
        <f t="shared" si="71"/>
        <v>1</v>
      </c>
      <c r="R372" s="1115">
        <f t="shared" si="72"/>
        <v>0</v>
      </c>
      <c r="S372" s="694">
        <f t="shared" si="63"/>
        <v>0</v>
      </c>
    </row>
    <row r="373" spans="1:19">
      <c r="A373" s="487"/>
      <c r="B373" s="346"/>
      <c r="C373" s="311">
        <f t="shared" si="64"/>
        <v>1</v>
      </c>
      <c r="D373" s="1119"/>
      <c r="E373" s="311">
        <f t="shared" si="65"/>
        <v>1</v>
      </c>
      <c r="F373" s="1119"/>
      <c r="G373" s="311">
        <f t="shared" si="66"/>
        <v>1</v>
      </c>
      <c r="H373" s="1119"/>
      <c r="I373" s="311">
        <f t="shared" si="67"/>
        <v>1</v>
      </c>
      <c r="J373" s="1119"/>
      <c r="K373" s="311">
        <f t="shared" si="68"/>
        <v>1</v>
      </c>
      <c r="L373" s="1119"/>
      <c r="M373" s="311">
        <f t="shared" si="69"/>
        <v>1</v>
      </c>
      <c r="N373" s="1119"/>
      <c r="O373" s="311">
        <f t="shared" si="70"/>
        <v>1</v>
      </c>
      <c r="P373" s="1119"/>
      <c r="Q373" s="311">
        <f t="shared" si="71"/>
        <v>1</v>
      </c>
      <c r="R373" s="1115">
        <f t="shared" si="72"/>
        <v>0</v>
      </c>
      <c r="S373" s="694">
        <f t="shared" si="63"/>
        <v>0</v>
      </c>
    </row>
    <row r="374" spans="1:19">
      <c r="A374" s="487"/>
      <c r="B374" s="346"/>
      <c r="C374" s="311">
        <f t="shared" si="64"/>
        <v>1</v>
      </c>
      <c r="D374" s="1119"/>
      <c r="E374" s="311">
        <f t="shared" si="65"/>
        <v>1</v>
      </c>
      <c r="F374" s="1119"/>
      <c r="G374" s="311">
        <f t="shared" si="66"/>
        <v>1</v>
      </c>
      <c r="H374" s="1119"/>
      <c r="I374" s="311">
        <f t="shared" si="67"/>
        <v>1</v>
      </c>
      <c r="J374" s="1119"/>
      <c r="K374" s="311">
        <f t="shared" si="68"/>
        <v>1</v>
      </c>
      <c r="L374" s="1119"/>
      <c r="M374" s="311">
        <f t="shared" si="69"/>
        <v>1</v>
      </c>
      <c r="N374" s="1119"/>
      <c r="O374" s="311">
        <f t="shared" si="70"/>
        <v>1</v>
      </c>
      <c r="P374" s="1119"/>
      <c r="Q374" s="311">
        <f t="shared" si="71"/>
        <v>1</v>
      </c>
      <c r="R374" s="1115">
        <f t="shared" si="72"/>
        <v>0</v>
      </c>
      <c r="S374" s="694">
        <f t="shared" si="63"/>
        <v>0</v>
      </c>
    </row>
    <row r="375" spans="1:19">
      <c r="A375" s="487"/>
      <c r="B375" s="346"/>
      <c r="C375" s="311">
        <f t="shared" si="64"/>
        <v>1</v>
      </c>
      <c r="D375" s="1119"/>
      <c r="E375" s="311">
        <f t="shared" si="65"/>
        <v>1</v>
      </c>
      <c r="F375" s="1119"/>
      <c r="G375" s="311">
        <f t="shared" si="66"/>
        <v>1</v>
      </c>
      <c r="H375" s="1119"/>
      <c r="I375" s="311">
        <f t="shared" si="67"/>
        <v>1</v>
      </c>
      <c r="J375" s="1119"/>
      <c r="K375" s="311">
        <f t="shared" si="68"/>
        <v>1</v>
      </c>
      <c r="L375" s="1119"/>
      <c r="M375" s="311">
        <f t="shared" si="69"/>
        <v>1</v>
      </c>
      <c r="N375" s="1119"/>
      <c r="O375" s="311">
        <f t="shared" si="70"/>
        <v>1</v>
      </c>
      <c r="P375" s="1119"/>
      <c r="Q375" s="311">
        <f t="shared" si="71"/>
        <v>1</v>
      </c>
      <c r="R375" s="1115">
        <f t="shared" si="72"/>
        <v>0</v>
      </c>
      <c r="S375" s="694">
        <f t="shared" si="63"/>
        <v>0</v>
      </c>
    </row>
    <row r="376" spans="1:19">
      <c r="A376" s="487"/>
      <c r="B376" s="346"/>
      <c r="C376" s="311">
        <f t="shared" si="64"/>
        <v>1</v>
      </c>
      <c r="D376" s="1119"/>
      <c r="E376" s="311">
        <f t="shared" si="65"/>
        <v>1</v>
      </c>
      <c r="F376" s="1119"/>
      <c r="G376" s="311">
        <f t="shared" si="66"/>
        <v>1</v>
      </c>
      <c r="H376" s="1119"/>
      <c r="I376" s="311">
        <f t="shared" si="67"/>
        <v>1</v>
      </c>
      <c r="J376" s="1119"/>
      <c r="K376" s="311">
        <f t="shared" si="68"/>
        <v>1</v>
      </c>
      <c r="L376" s="1119"/>
      <c r="M376" s="311">
        <f t="shared" si="69"/>
        <v>1</v>
      </c>
      <c r="N376" s="1119"/>
      <c r="O376" s="311">
        <f t="shared" si="70"/>
        <v>1</v>
      </c>
      <c r="P376" s="1119"/>
      <c r="Q376" s="311">
        <f t="shared" si="71"/>
        <v>1</v>
      </c>
      <c r="R376" s="1115">
        <f t="shared" si="72"/>
        <v>0</v>
      </c>
      <c r="S376" s="694">
        <f t="shared" si="63"/>
        <v>0</v>
      </c>
    </row>
    <row r="377" spans="1:19">
      <c r="A377" s="487"/>
      <c r="B377" s="346"/>
      <c r="C377" s="311">
        <f t="shared" si="64"/>
        <v>1</v>
      </c>
      <c r="D377" s="1119"/>
      <c r="E377" s="311">
        <f t="shared" si="65"/>
        <v>1</v>
      </c>
      <c r="F377" s="1119"/>
      <c r="G377" s="311">
        <f t="shared" si="66"/>
        <v>1</v>
      </c>
      <c r="H377" s="1119"/>
      <c r="I377" s="311">
        <f t="shared" si="67"/>
        <v>1</v>
      </c>
      <c r="J377" s="1119"/>
      <c r="K377" s="311">
        <f t="shared" si="68"/>
        <v>1</v>
      </c>
      <c r="L377" s="1119"/>
      <c r="M377" s="311">
        <f t="shared" si="69"/>
        <v>1</v>
      </c>
      <c r="N377" s="1119"/>
      <c r="O377" s="311">
        <f t="shared" si="70"/>
        <v>1</v>
      </c>
      <c r="P377" s="1119"/>
      <c r="Q377" s="311">
        <f t="shared" si="71"/>
        <v>1</v>
      </c>
      <c r="R377" s="1115">
        <f t="shared" si="72"/>
        <v>0</v>
      </c>
      <c r="S377" s="694">
        <f t="shared" si="63"/>
        <v>0</v>
      </c>
    </row>
    <row r="378" spans="1:19">
      <c r="A378" s="487"/>
      <c r="B378" s="346"/>
      <c r="C378" s="311">
        <f t="shared" si="64"/>
        <v>1</v>
      </c>
      <c r="D378" s="1119"/>
      <c r="E378" s="311">
        <f t="shared" si="65"/>
        <v>1</v>
      </c>
      <c r="F378" s="1119"/>
      <c r="G378" s="311">
        <f t="shared" si="66"/>
        <v>1</v>
      </c>
      <c r="H378" s="1119"/>
      <c r="I378" s="311">
        <f t="shared" si="67"/>
        <v>1</v>
      </c>
      <c r="J378" s="1119"/>
      <c r="K378" s="311">
        <f t="shared" si="68"/>
        <v>1</v>
      </c>
      <c r="L378" s="1119"/>
      <c r="M378" s="311">
        <f t="shared" si="69"/>
        <v>1</v>
      </c>
      <c r="N378" s="1119"/>
      <c r="O378" s="311">
        <f t="shared" si="70"/>
        <v>1</v>
      </c>
      <c r="P378" s="1119"/>
      <c r="Q378" s="311">
        <f t="shared" si="71"/>
        <v>1</v>
      </c>
      <c r="R378" s="1115">
        <f t="shared" si="72"/>
        <v>0</v>
      </c>
      <c r="S378" s="694">
        <f t="shared" si="63"/>
        <v>0</v>
      </c>
    </row>
    <row r="379" spans="1:19">
      <c r="A379" s="487"/>
      <c r="B379" s="346"/>
      <c r="C379" s="311">
        <f t="shared" si="64"/>
        <v>1</v>
      </c>
      <c r="D379" s="1119"/>
      <c r="E379" s="311">
        <f t="shared" si="65"/>
        <v>1</v>
      </c>
      <c r="F379" s="1119"/>
      <c r="G379" s="311">
        <f t="shared" si="66"/>
        <v>1</v>
      </c>
      <c r="H379" s="1119"/>
      <c r="I379" s="311">
        <f t="shared" si="67"/>
        <v>1</v>
      </c>
      <c r="J379" s="1119"/>
      <c r="K379" s="311">
        <f t="shared" si="68"/>
        <v>1</v>
      </c>
      <c r="L379" s="1119"/>
      <c r="M379" s="311">
        <f t="shared" si="69"/>
        <v>1</v>
      </c>
      <c r="N379" s="1119"/>
      <c r="O379" s="311">
        <f t="shared" si="70"/>
        <v>1</v>
      </c>
      <c r="P379" s="1119"/>
      <c r="Q379" s="311">
        <f t="shared" si="71"/>
        <v>1</v>
      </c>
      <c r="R379" s="1115">
        <f t="shared" si="72"/>
        <v>0</v>
      </c>
      <c r="S379" s="694">
        <f t="shared" si="63"/>
        <v>0</v>
      </c>
    </row>
    <row r="380" spans="1:19">
      <c r="A380" s="487"/>
      <c r="B380" s="346"/>
      <c r="C380" s="311">
        <f t="shared" si="64"/>
        <v>1</v>
      </c>
      <c r="D380" s="1119"/>
      <c r="E380" s="311">
        <f t="shared" si="65"/>
        <v>1</v>
      </c>
      <c r="F380" s="1119"/>
      <c r="G380" s="311">
        <f t="shared" si="66"/>
        <v>1</v>
      </c>
      <c r="H380" s="1119"/>
      <c r="I380" s="311">
        <f t="shared" si="67"/>
        <v>1</v>
      </c>
      <c r="J380" s="1119"/>
      <c r="K380" s="311">
        <f t="shared" si="68"/>
        <v>1</v>
      </c>
      <c r="L380" s="1119"/>
      <c r="M380" s="311">
        <f t="shared" si="69"/>
        <v>1</v>
      </c>
      <c r="N380" s="1119"/>
      <c r="O380" s="311">
        <f t="shared" si="70"/>
        <v>1</v>
      </c>
      <c r="P380" s="1119"/>
      <c r="Q380" s="311">
        <f t="shared" si="71"/>
        <v>1</v>
      </c>
      <c r="R380" s="1115">
        <f t="shared" si="72"/>
        <v>0</v>
      </c>
      <c r="S380" s="694">
        <f t="shared" si="63"/>
        <v>0</v>
      </c>
    </row>
    <row r="381" spans="1:19">
      <c r="A381" s="487"/>
      <c r="B381" s="346"/>
      <c r="C381" s="311">
        <f t="shared" si="64"/>
        <v>1</v>
      </c>
      <c r="D381" s="1119"/>
      <c r="E381" s="311">
        <f t="shared" si="65"/>
        <v>1</v>
      </c>
      <c r="F381" s="1119"/>
      <c r="G381" s="311">
        <f t="shared" si="66"/>
        <v>1</v>
      </c>
      <c r="H381" s="1119"/>
      <c r="I381" s="311">
        <f t="shared" si="67"/>
        <v>1</v>
      </c>
      <c r="J381" s="1119"/>
      <c r="K381" s="311">
        <f t="shared" si="68"/>
        <v>1</v>
      </c>
      <c r="L381" s="1119"/>
      <c r="M381" s="311">
        <f t="shared" si="69"/>
        <v>1</v>
      </c>
      <c r="N381" s="1119"/>
      <c r="O381" s="311">
        <f t="shared" si="70"/>
        <v>1</v>
      </c>
      <c r="P381" s="1119"/>
      <c r="Q381" s="311">
        <f t="shared" si="71"/>
        <v>1</v>
      </c>
      <c r="R381" s="1115">
        <f t="shared" si="72"/>
        <v>0</v>
      </c>
      <c r="S381" s="694">
        <f t="shared" si="63"/>
        <v>0</v>
      </c>
    </row>
    <row r="382" spans="1:19">
      <c r="A382" s="487"/>
      <c r="B382" s="346"/>
      <c r="C382" s="311">
        <f t="shared" si="64"/>
        <v>1</v>
      </c>
      <c r="D382" s="1119"/>
      <c r="E382" s="311">
        <f t="shared" si="65"/>
        <v>1</v>
      </c>
      <c r="F382" s="1119"/>
      <c r="G382" s="311">
        <f t="shared" si="66"/>
        <v>1</v>
      </c>
      <c r="H382" s="1119"/>
      <c r="I382" s="311">
        <f t="shared" si="67"/>
        <v>1</v>
      </c>
      <c r="J382" s="1119"/>
      <c r="K382" s="311">
        <f t="shared" si="68"/>
        <v>1</v>
      </c>
      <c r="L382" s="1119"/>
      <c r="M382" s="311">
        <f t="shared" si="69"/>
        <v>1</v>
      </c>
      <c r="N382" s="1119"/>
      <c r="O382" s="311">
        <f t="shared" si="70"/>
        <v>1</v>
      </c>
      <c r="P382" s="1119"/>
      <c r="Q382" s="311">
        <f t="shared" si="71"/>
        <v>1</v>
      </c>
      <c r="R382" s="1115">
        <f t="shared" si="72"/>
        <v>0</v>
      </c>
      <c r="S382" s="694">
        <f t="shared" si="63"/>
        <v>0</v>
      </c>
    </row>
    <row r="383" spans="1:19">
      <c r="A383" s="487"/>
      <c r="B383" s="346"/>
      <c r="C383" s="311">
        <f t="shared" si="64"/>
        <v>1</v>
      </c>
      <c r="D383" s="1119"/>
      <c r="E383" s="311">
        <f t="shared" si="65"/>
        <v>1</v>
      </c>
      <c r="F383" s="1119"/>
      <c r="G383" s="311">
        <f t="shared" si="66"/>
        <v>1</v>
      </c>
      <c r="H383" s="1119"/>
      <c r="I383" s="311">
        <f t="shared" si="67"/>
        <v>1</v>
      </c>
      <c r="J383" s="1119"/>
      <c r="K383" s="311">
        <f t="shared" si="68"/>
        <v>1</v>
      </c>
      <c r="L383" s="1119"/>
      <c r="M383" s="311">
        <f t="shared" si="69"/>
        <v>1</v>
      </c>
      <c r="N383" s="1119"/>
      <c r="O383" s="311">
        <f t="shared" si="70"/>
        <v>1</v>
      </c>
      <c r="P383" s="1119"/>
      <c r="Q383" s="311">
        <f t="shared" si="71"/>
        <v>1</v>
      </c>
      <c r="R383" s="1115">
        <f t="shared" si="72"/>
        <v>0</v>
      </c>
      <c r="S383" s="694">
        <f t="shared" si="63"/>
        <v>0</v>
      </c>
    </row>
    <row r="384" spans="1:19">
      <c r="A384" s="487"/>
      <c r="B384" s="346"/>
      <c r="C384" s="311">
        <f t="shared" si="64"/>
        <v>1</v>
      </c>
      <c r="D384" s="1119"/>
      <c r="E384" s="311">
        <f t="shared" si="65"/>
        <v>1</v>
      </c>
      <c r="F384" s="1119"/>
      <c r="G384" s="311">
        <f t="shared" si="66"/>
        <v>1</v>
      </c>
      <c r="H384" s="1119"/>
      <c r="I384" s="311">
        <f t="shared" si="67"/>
        <v>1</v>
      </c>
      <c r="J384" s="1119"/>
      <c r="K384" s="311">
        <f t="shared" si="68"/>
        <v>1</v>
      </c>
      <c r="L384" s="1119"/>
      <c r="M384" s="311">
        <f t="shared" si="69"/>
        <v>1</v>
      </c>
      <c r="N384" s="1119"/>
      <c r="O384" s="311">
        <f t="shared" si="70"/>
        <v>1</v>
      </c>
      <c r="P384" s="1119"/>
      <c r="Q384" s="311">
        <f t="shared" si="71"/>
        <v>1</v>
      </c>
      <c r="R384" s="1115">
        <f t="shared" si="72"/>
        <v>0</v>
      </c>
      <c r="S384" s="694">
        <f t="shared" si="63"/>
        <v>0</v>
      </c>
    </row>
    <row r="385" spans="1:19">
      <c r="A385" s="487"/>
      <c r="B385" s="346"/>
      <c r="C385" s="311">
        <f t="shared" si="64"/>
        <v>1</v>
      </c>
      <c r="D385" s="1119"/>
      <c r="E385" s="311">
        <f t="shared" si="65"/>
        <v>1</v>
      </c>
      <c r="F385" s="1119"/>
      <c r="G385" s="311">
        <f t="shared" si="66"/>
        <v>1</v>
      </c>
      <c r="H385" s="1119"/>
      <c r="I385" s="311">
        <f t="shared" si="67"/>
        <v>1</v>
      </c>
      <c r="J385" s="1119"/>
      <c r="K385" s="311">
        <f t="shared" si="68"/>
        <v>1</v>
      </c>
      <c r="L385" s="1119"/>
      <c r="M385" s="311">
        <f t="shared" si="69"/>
        <v>1</v>
      </c>
      <c r="N385" s="1119"/>
      <c r="O385" s="311">
        <f t="shared" si="70"/>
        <v>1</v>
      </c>
      <c r="P385" s="1119"/>
      <c r="Q385" s="311">
        <f t="shared" si="71"/>
        <v>1</v>
      </c>
      <c r="R385" s="1115">
        <f t="shared" si="72"/>
        <v>0</v>
      </c>
      <c r="S385" s="694">
        <f t="shared" ref="S385:S422" si="73">ROUND(R385*B385/10000,0)</f>
        <v>0</v>
      </c>
    </row>
    <row r="386" spans="1:19">
      <c r="A386" s="487"/>
      <c r="B386" s="346"/>
      <c r="C386" s="311">
        <f t="shared" si="64"/>
        <v>1</v>
      </c>
      <c r="D386" s="1119"/>
      <c r="E386" s="311">
        <f t="shared" si="65"/>
        <v>1</v>
      </c>
      <c r="F386" s="1119"/>
      <c r="G386" s="311">
        <f t="shared" si="66"/>
        <v>1</v>
      </c>
      <c r="H386" s="1119"/>
      <c r="I386" s="311">
        <f t="shared" si="67"/>
        <v>1</v>
      </c>
      <c r="J386" s="1119"/>
      <c r="K386" s="311">
        <f t="shared" si="68"/>
        <v>1</v>
      </c>
      <c r="L386" s="1119"/>
      <c r="M386" s="311">
        <f t="shared" si="69"/>
        <v>1</v>
      </c>
      <c r="N386" s="1119"/>
      <c r="O386" s="311">
        <f t="shared" si="70"/>
        <v>1</v>
      </c>
      <c r="P386" s="1119"/>
      <c r="Q386" s="311">
        <f t="shared" si="71"/>
        <v>1</v>
      </c>
      <c r="R386" s="1115">
        <f t="shared" si="72"/>
        <v>0</v>
      </c>
      <c r="S386" s="694">
        <f t="shared" si="73"/>
        <v>0</v>
      </c>
    </row>
    <row r="387" spans="1:19">
      <c r="A387" s="487"/>
      <c r="B387" s="346"/>
      <c r="C387" s="311">
        <f t="shared" si="64"/>
        <v>1</v>
      </c>
      <c r="D387" s="1119"/>
      <c r="E387" s="311">
        <f t="shared" si="65"/>
        <v>1</v>
      </c>
      <c r="F387" s="1119"/>
      <c r="G387" s="311">
        <f t="shared" si="66"/>
        <v>1</v>
      </c>
      <c r="H387" s="1119"/>
      <c r="I387" s="311">
        <f t="shared" si="67"/>
        <v>1</v>
      </c>
      <c r="J387" s="1119"/>
      <c r="K387" s="311">
        <f t="shared" si="68"/>
        <v>1</v>
      </c>
      <c r="L387" s="1119"/>
      <c r="M387" s="311">
        <f t="shared" si="69"/>
        <v>1</v>
      </c>
      <c r="N387" s="1119"/>
      <c r="O387" s="311">
        <f t="shared" si="70"/>
        <v>1</v>
      </c>
      <c r="P387" s="1119"/>
      <c r="Q387" s="311">
        <f t="shared" si="71"/>
        <v>1</v>
      </c>
      <c r="R387" s="1115">
        <f t="shared" si="72"/>
        <v>0</v>
      </c>
      <c r="S387" s="694">
        <f t="shared" si="73"/>
        <v>0</v>
      </c>
    </row>
    <row r="388" spans="1:19">
      <c r="A388" s="487"/>
      <c r="B388" s="346"/>
      <c r="C388" s="311">
        <f t="shared" si="64"/>
        <v>1</v>
      </c>
      <c r="D388" s="1119"/>
      <c r="E388" s="311">
        <f t="shared" si="65"/>
        <v>1</v>
      </c>
      <c r="F388" s="1119"/>
      <c r="G388" s="311">
        <f t="shared" si="66"/>
        <v>1</v>
      </c>
      <c r="H388" s="1119"/>
      <c r="I388" s="311">
        <f t="shared" si="67"/>
        <v>1</v>
      </c>
      <c r="J388" s="1119"/>
      <c r="K388" s="311">
        <f t="shared" si="68"/>
        <v>1</v>
      </c>
      <c r="L388" s="1119"/>
      <c r="M388" s="311">
        <f t="shared" si="69"/>
        <v>1</v>
      </c>
      <c r="N388" s="1119"/>
      <c r="O388" s="311">
        <f t="shared" si="70"/>
        <v>1</v>
      </c>
      <c r="P388" s="1119"/>
      <c r="Q388" s="311">
        <f t="shared" si="71"/>
        <v>1</v>
      </c>
      <c r="R388" s="1115">
        <f t="shared" si="72"/>
        <v>0</v>
      </c>
      <c r="S388" s="694">
        <f t="shared" si="73"/>
        <v>0</v>
      </c>
    </row>
    <row r="389" spans="1:19">
      <c r="A389" s="487"/>
      <c r="B389" s="346"/>
      <c r="C389" s="311">
        <f t="shared" si="64"/>
        <v>1</v>
      </c>
      <c r="D389" s="1119"/>
      <c r="E389" s="311">
        <f t="shared" si="65"/>
        <v>1</v>
      </c>
      <c r="F389" s="1119"/>
      <c r="G389" s="311">
        <f t="shared" si="66"/>
        <v>1</v>
      </c>
      <c r="H389" s="1119"/>
      <c r="I389" s="311">
        <f t="shared" si="67"/>
        <v>1</v>
      </c>
      <c r="J389" s="1119"/>
      <c r="K389" s="311">
        <f t="shared" si="68"/>
        <v>1</v>
      </c>
      <c r="L389" s="1119"/>
      <c r="M389" s="311">
        <f t="shared" si="69"/>
        <v>1</v>
      </c>
      <c r="N389" s="1119"/>
      <c r="O389" s="311">
        <f t="shared" si="70"/>
        <v>1</v>
      </c>
      <c r="P389" s="1119"/>
      <c r="Q389" s="311">
        <f t="shared" si="71"/>
        <v>1</v>
      </c>
      <c r="R389" s="1115">
        <f t="shared" si="72"/>
        <v>0</v>
      </c>
      <c r="S389" s="694">
        <f t="shared" si="73"/>
        <v>0</v>
      </c>
    </row>
    <row r="390" spans="1:19">
      <c r="A390" s="487"/>
      <c r="B390" s="346"/>
      <c r="C390" s="311">
        <f t="shared" si="64"/>
        <v>1</v>
      </c>
      <c r="D390" s="1119"/>
      <c r="E390" s="311">
        <f t="shared" si="65"/>
        <v>1</v>
      </c>
      <c r="F390" s="1119"/>
      <c r="G390" s="311">
        <f t="shared" si="66"/>
        <v>1</v>
      </c>
      <c r="H390" s="1119"/>
      <c r="I390" s="311">
        <f t="shared" si="67"/>
        <v>1</v>
      </c>
      <c r="J390" s="1119"/>
      <c r="K390" s="311">
        <f t="shared" si="68"/>
        <v>1</v>
      </c>
      <c r="L390" s="1119"/>
      <c r="M390" s="311">
        <f t="shared" si="69"/>
        <v>1</v>
      </c>
      <c r="N390" s="1119"/>
      <c r="O390" s="311">
        <f t="shared" si="70"/>
        <v>1</v>
      </c>
      <c r="P390" s="1119"/>
      <c r="Q390" s="311">
        <f t="shared" si="71"/>
        <v>1</v>
      </c>
      <c r="R390" s="1115">
        <f t="shared" si="72"/>
        <v>0</v>
      </c>
      <c r="S390" s="694">
        <f t="shared" si="73"/>
        <v>0</v>
      </c>
    </row>
    <row r="391" spans="1:19">
      <c r="A391" s="487"/>
      <c r="B391" s="346"/>
      <c r="C391" s="311">
        <f t="shared" si="64"/>
        <v>1</v>
      </c>
      <c r="D391" s="1119"/>
      <c r="E391" s="311">
        <f t="shared" si="65"/>
        <v>1</v>
      </c>
      <c r="F391" s="1119"/>
      <c r="G391" s="311">
        <f t="shared" si="66"/>
        <v>1</v>
      </c>
      <c r="H391" s="1119"/>
      <c r="I391" s="311">
        <f t="shared" si="67"/>
        <v>1</v>
      </c>
      <c r="J391" s="1119"/>
      <c r="K391" s="311">
        <f t="shared" si="68"/>
        <v>1</v>
      </c>
      <c r="L391" s="1119"/>
      <c r="M391" s="311">
        <f t="shared" si="69"/>
        <v>1</v>
      </c>
      <c r="N391" s="1119"/>
      <c r="O391" s="311">
        <f t="shared" si="70"/>
        <v>1</v>
      </c>
      <c r="P391" s="1119"/>
      <c r="Q391" s="311">
        <f t="shared" si="71"/>
        <v>1</v>
      </c>
      <c r="R391" s="1115">
        <f t="shared" si="72"/>
        <v>0</v>
      </c>
      <c r="S391" s="694">
        <f t="shared" si="73"/>
        <v>0</v>
      </c>
    </row>
    <row r="392" spans="1:19">
      <c r="A392" s="487"/>
      <c r="B392" s="346"/>
      <c r="C392" s="311">
        <f t="shared" si="64"/>
        <v>1</v>
      </c>
      <c r="D392" s="1119"/>
      <c r="E392" s="311">
        <f t="shared" si="65"/>
        <v>1</v>
      </c>
      <c r="F392" s="1119"/>
      <c r="G392" s="311">
        <f t="shared" si="66"/>
        <v>1</v>
      </c>
      <c r="H392" s="1119"/>
      <c r="I392" s="311">
        <f t="shared" si="67"/>
        <v>1</v>
      </c>
      <c r="J392" s="1119"/>
      <c r="K392" s="311">
        <f t="shared" si="68"/>
        <v>1</v>
      </c>
      <c r="L392" s="1119"/>
      <c r="M392" s="311">
        <f t="shared" si="69"/>
        <v>1</v>
      </c>
      <c r="N392" s="1119"/>
      <c r="O392" s="311">
        <f t="shared" si="70"/>
        <v>1</v>
      </c>
      <c r="P392" s="1119"/>
      <c r="Q392" s="311">
        <f t="shared" si="71"/>
        <v>1</v>
      </c>
      <c r="R392" s="1115">
        <f t="shared" si="72"/>
        <v>0</v>
      </c>
      <c r="S392" s="694">
        <f t="shared" si="73"/>
        <v>0</v>
      </c>
    </row>
    <row r="393" spans="1:19">
      <c r="A393" s="487"/>
      <c r="B393" s="346"/>
      <c r="C393" s="311">
        <f t="shared" si="64"/>
        <v>1</v>
      </c>
      <c r="D393" s="1119"/>
      <c r="E393" s="311">
        <f t="shared" si="65"/>
        <v>1</v>
      </c>
      <c r="F393" s="1119"/>
      <c r="G393" s="311">
        <f t="shared" si="66"/>
        <v>1</v>
      </c>
      <c r="H393" s="1119"/>
      <c r="I393" s="311">
        <f t="shared" si="67"/>
        <v>1</v>
      </c>
      <c r="J393" s="1119"/>
      <c r="K393" s="311">
        <f t="shared" si="68"/>
        <v>1</v>
      </c>
      <c r="L393" s="1119"/>
      <c r="M393" s="311">
        <f t="shared" si="69"/>
        <v>1</v>
      </c>
      <c r="N393" s="1119"/>
      <c r="O393" s="311">
        <f t="shared" si="70"/>
        <v>1</v>
      </c>
      <c r="P393" s="1119"/>
      <c r="Q393" s="311">
        <f t="shared" si="71"/>
        <v>1</v>
      </c>
      <c r="R393" s="1115">
        <f t="shared" si="72"/>
        <v>0</v>
      </c>
      <c r="S393" s="694">
        <f t="shared" si="73"/>
        <v>0</v>
      </c>
    </row>
    <row r="394" spans="1:19">
      <c r="A394" s="487"/>
      <c r="B394" s="346"/>
      <c r="C394" s="311">
        <f t="shared" si="64"/>
        <v>1</v>
      </c>
      <c r="D394" s="1119"/>
      <c r="E394" s="311">
        <f t="shared" si="65"/>
        <v>1</v>
      </c>
      <c r="F394" s="1119"/>
      <c r="G394" s="311">
        <f t="shared" si="66"/>
        <v>1</v>
      </c>
      <c r="H394" s="1119"/>
      <c r="I394" s="311">
        <f t="shared" si="67"/>
        <v>1</v>
      </c>
      <c r="J394" s="1119"/>
      <c r="K394" s="311">
        <f t="shared" si="68"/>
        <v>1</v>
      </c>
      <c r="L394" s="1119"/>
      <c r="M394" s="311">
        <f t="shared" si="69"/>
        <v>1</v>
      </c>
      <c r="N394" s="1119"/>
      <c r="O394" s="311">
        <f t="shared" si="70"/>
        <v>1</v>
      </c>
      <c r="P394" s="1119"/>
      <c r="Q394" s="311">
        <f t="shared" si="71"/>
        <v>1</v>
      </c>
      <c r="R394" s="1115">
        <f t="shared" si="72"/>
        <v>0</v>
      </c>
      <c r="S394" s="694">
        <f t="shared" si="73"/>
        <v>0</v>
      </c>
    </row>
    <row r="395" spans="1:19">
      <c r="A395" s="487"/>
      <c r="B395" s="346"/>
      <c r="C395" s="311">
        <f t="shared" si="64"/>
        <v>1</v>
      </c>
      <c r="D395" s="1119"/>
      <c r="E395" s="311">
        <f t="shared" si="65"/>
        <v>1</v>
      </c>
      <c r="F395" s="1119"/>
      <c r="G395" s="311">
        <f t="shared" si="66"/>
        <v>1</v>
      </c>
      <c r="H395" s="1119"/>
      <c r="I395" s="311">
        <f t="shared" si="67"/>
        <v>1</v>
      </c>
      <c r="J395" s="1119"/>
      <c r="K395" s="311">
        <f t="shared" si="68"/>
        <v>1</v>
      </c>
      <c r="L395" s="1119"/>
      <c r="M395" s="311">
        <f t="shared" si="69"/>
        <v>1</v>
      </c>
      <c r="N395" s="1119"/>
      <c r="O395" s="311">
        <f t="shared" si="70"/>
        <v>1</v>
      </c>
      <c r="P395" s="1119"/>
      <c r="Q395" s="311">
        <f t="shared" si="71"/>
        <v>1</v>
      </c>
      <c r="R395" s="1115">
        <f t="shared" si="72"/>
        <v>0</v>
      </c>
      <c r="S395" s="694">
        <f t="shared" si="73"/>
        <v>0</v>
      </c>
    </row>
    <row r="396" spans="1:19">
      <c r="A396" s="487"/>
      <c r="B396" s="346"/>
      <c r="C396" s="311">
        <f t="shared" si="64"/>
        <v>1</v>
      </c>
      <c r="D396" s="1119"/>
      <c r="E396" s="311">
        <f t="shared" si="65"/>
        <v>1</v>
      </c>
      <c r="F396" s="1119"/>
      <c r="G396" s="311">
        <f t="shared" si="66"/>
        <v>1</v>
      </c>
      <c r="H396" s="1119"/>
      <c r="I396" s="311">
        <f t="shared" si="67"/>
        <v>1</v>
      </c>
      <c r="J396" s="1119"/>
      <c r="K396" s="311">
        <f t="shared" si="68"/>
        <v>1</v>
      </c>
      <c r="L396" s="1119"/>
      <c r="M396" s="311">
        <f t="shared" si="69"/>
        <v>1</v>
      </c>
      <c r="N396" s="1119"/>
      <c r="O396" s="311">
        <f t="shared" si="70"/>
        <v>1</v>
      </c>
      <c r="P396" s="1119"/>
      <c r="Q396" s="311">
        <f t="shared" si="71"/>
        <v>1</v>
      </c>
      <c r="R396" s="1115">
        <f t="shared" si="72"/>
        <v>0</v>
      </c>
      <c r="S396" s="694">
        <f t="shared" si="73"/>
        <v>0</v>
      </c>
    </row>
    <row r="397" spans="1:19">
      <c r="A397" s="487"/>
      <c r="B397" s="346"/>
      <c r="C397" s="311">
        <f t="shared" si="64"/>
        <v>1</v>
      </c>
      <c r="D397" s="1119"/>
      <c r="E397" s="311">
        <f t="shared" si="65"/>
        <v>1</v>
      </c>
      <c r="F397" s="1119"/>
      <c r="G397" s="311">
        <f t="shared" si="66"/>
        <v>1</v>
      </c>
      <c r="H397" s="1119"/>
      <c r="I397" s="311">
        <f t="shared" si="67"/>
        <v>1</v>
      </c>
      <c r="J397" s="1119"/>
      <c r="K397" s="311">
        <f t="shared" si="68"/>
        <v>1</v>
      </c>
      <c r="L397" s="1119"/>
      <c r="M397" s="311">
        <f t="shared" si="69"/>
        <v>1</v>
      </c>
      <c r="N397" s="1119"/>
      <c r="O397" s="311">
        <f t="shared" si="70"/>
        <v>1</v>
      </c>
      <c r="P397" s="1119"/>
      <c r="Q397" s="311">
        <f t="shared" si="71"/>
        <v>1</v>
      </c>
      <c r="R397" s="1115">
        <f t="shared" si="72"/>
        <v>0</v>
      </c>
      <c r="S397" s="694">
        <f t="shared" si="73"/>
        <v>0</v>
      </c>
    </row>
    <row r="398" spans="1:19">
      <c r="A398" s="487"/>
      <c r="B398" s="346"/>
      <c r="C398" s="311">
        <f t="shared" si="64"/>
        <v>1</v>
      </c>
      <c r="D398" s="1119"/>
      <c r="E398" s="311">
        <f t="shared" si="65"/>
        <v>1</v>
      </c>
      <c r="F398" s="1119"/>
      <c r="G398" s="311">
        <f t="shared" si="66"/>
        <v>1</v>
      </c>
      <c r="H398" s="1119"/>
      <c r="I398" s="311">
        <f t="shared" si="67"/>
        <v>1</v>
      </c>
      <c r="J398" s="1119"/>
      <c r="K398" s="311">
        <f t="shared" si="68"/>
        <v>1</v>
      </c>
      <c r="L398" s="1119"/>
      <c r="M398" s="311">
        <f t="shared" si="69"/>
        <v>1</v>
      </c>
      <c r="N398" s="1119"/>
      <c r="O398" s="311">
        <f t="shared" si="70"/>
        <v>1</v>
      </c>
      <c r="P398" s="1119"/>
      <c r="Q398" s="311">
        <f t="shared" si="71"/>
        <v>1</v>
      </c>
      <c r="R398" s="1115">
        <f t="shared" si="72"/>
        <v>0</v>
      </c>
      <c r="S398" s="694">
        <f t="shared" si="73"/>
        <v>0</v>
      </c>
    </row>
    <row r="399" spans="1:19">
      <c r="A399" s="487"/>
      <c r="B399" s="346"/>
      <c r="C399" s="311">
        <f t="shared" si="64"/>
        <v>1</v>
      </c>
      <c r="D399" s="1119"/>
      <c r="E399" s="311">
        <f t="shared" si="65"/>
        <v>1</v>
      </c>
      <c r="F399" s="1119"/>
      <c r="G399" s="311">
        <f t="shared" si="66"/>
        <v>1</v>
      </c>
      <c r="H399" s="1119"/>
      <c r="I399" s="311">
        <f t="shared" si="67"/>
        <v>1</v>
      </c>
      <c r="J399" s="1119"/>
      <c r="K399" s="311">
        <f t="shared" si="68"/>
        <v>1</v>
      </c>
      <c r="L399" s="1119"/>
      <c r="M399" s="311">
        <f t="shared" si="69"/>
        <v>1</v>
      </c>
      <c r="N399" s="1119"/>
      <c r="O399" s="311">
        <f t="shared" si="70"/>
        <v>1</v>
      </c>
      <c r="P399" s="1119"/>
      <c r="Q399" s="311">
        <f t="shared" si="71"/>
        <v>1</v>
      </c>
      <c r="R399" s="1115">
        <f t="shared" si="72"/>
        <v>0</v>
      </c>
      <c r="S399" s="694">
        <f t="shared" si="73"/>
        <v>0</v>
      </c>
    </row>
    <row r="400" spans="1:19">
      <c r="A400" s="487"/>
      <c r="B400" s="346"/>
      <c r="C400" s="311">
        <f t="shared" si="64"/>
        <v>1</v>
      </c>
      <c r="D400" s="1119"/>
      <c r="E400" s="311">
        <f t="shared" si="65"/>
        <v>1</v>
      </c>
      <c r="F400" s="1119"/>
      <c r="G400" s="311">
        <f t="shared" si="66"/>
        <v>1</v>
      </c>
      <c r="H400" s="1119"/>
      <c r="I400" s="311">
        <f t="shared" si="67"/>
        <v>1</v>
      </c>
      <c r="J400" s="1119"/>
      <c r="K400" s="311">
        <f t="shared" si="68"/>
        <v>1</v>
      </c>
      <c r="L400" s="1119"/>
      <c r="M400" s="311">
        <f t="shared" si="69"/>
        <v>1</v>
      </c>
      <c r="N400" s="1119"/>
      <c r="O400" s="311">
        <f t="shared" si="70"/>
        <v>1</v>
      </c>
      <c r="P400" s="1119"/>
      <c r="Q400" s="311">
        <f t="shared" si="71"/>
        <v>1</v>
      </c>
      <c r="R400" s="1115">
        <f t="shared" si="72"/>
        <v>0</v>
      </c>
      <c r="S400" s="694">
        <f t="shared" si="73"/>
        <v>0</v>
      </c>
    </row>
    <row r="401" spans="1:19">
      <c r="A401" s="487"/>
      <c r="B401" s="346"/>
      <c r="C401" s="311">
        <f t="shared" si="64"/>
        <v>1</v>
      </c>
      <c r="D401" s="1119"/>
      <c r="E401" s="311">
        <f t="shared" si="65"/>
        <v>1</v>
      </c>
      <c r="F401" s="1119"/>
      <c r="G401" s="311">
        <f t="shared" si="66"/>
        <v>1</v>
      </c>
      <c r="H401" s="1119"/>
      <c r="I401" s="311">
        <f t="shared" si="67"/>
        <v>1</v>
      </c>
      <c r="J401" s="1119"/>
      <c r="K401" s="311">
        <f t="shared" si="68"/>
        <v>1</v>
      </c>
      <c r="L401" s="1119"/>
      <c r="M401" s="311">
        <f t="shared" si="69"/>
        <v>1</v>
      </c>
      <c r="N401" s="1119"/>
      <c r="O401" s="311">
        <f t="shared" si="70"/>
        <v>1</v>
      </c>
      <c r="P401" s="1119"/>
      <c r="Q401" s="311">
        <f t="shared" si="71"/>
        <v>1</v>
      </c>
      <c r="R401" s="1115">
        <f t="shared" si="72"/>
        <v>0</v>
      </c>
      <c r="S401" s="694">
        <f t="shared" si="73"/>
        <v>0</v>
      </c>
    </row>
    <row r="402" spans="1:19">
      <c r="A402" s="487"/>
      <c r="B402" s="346"/>
      <c r="C402" s="311">
        <f t="shared" si="64"/>
        <v>1</v>
      </c>
      <c r="D402" s="1119"/>
      <c r="E402" s="311">
        <f t="shared" si="65"/>
        <v>1</v>
      </c>
      <c r="F402" s="1119"/>
      <c r="G402" s="311">
        <f t="shared" si="66"/>
        <v>1</v>
      </c>
      <c r="H402" s="1119"/>
      <c r="I402" s="311">
        <f t="shared" si="67"/>
        <v>1</v>
      </c>
      <c r="J402" s="1119"/>
      <c r="K402" s="311">
        <f t="shared" si="68"/>
        <v>1</v>
      </c>
      <c r="L402" s="1119"/>
      <c r="M402" s="311">
        <f t="shared" si="69"/>
        <v>1</v>
      </c>
      <c r="N402" s="1119"/>
      <c r="O402" s="311">
        <f t="shared" si="70"/>
        <v>1</v>
      </c>
      <c r="P402" s="1119"/>
      <c r="Q402" s="311">
        <f t="shared" si="71"/>
        <v>1</v>
      </c>
      <c r="R402" s="1115">
        <f t="shared" si="72"/>
        <v>0</v>
      </c>
      <c r="S402" s="694">
        <f t="shared" si="73"/>
        <v>0</v>
      </c>
    </row>
    <row r="403" spans="1:19">
      <c r="A403" s="487"/>
      <c r="B403" s="346"/>
      <c r="C403" s="311">
        <f t="shared" si="64"/>
        <v>1</v>
      </c>
      <c r="D403" s="1119"/>
      <c r="E403" s="311">
        <f t="shared" si="65"/>
        <v>1</v>
      </c>
      <c r="F403" s="1119"/>
      <c r="G403" s="311">
        <f t="shared" si="66"/>
        <v>1</v>
      </c>
      <c r="H403" s="1119"/>
      <c r="I403" s="311">
        <f t="shared" si="67"/>
        <v>1</v>
      </c>
      <c r="J403" s="1119"/>
      <c r="K403" s="311">
        <f t="shared" si="68"/>
        <v>1</v>
      </c>
      <c r="L403" s="1119"/>
      <c r="M403" s="311">
        <f t="shared" si="69"/>
        <v>1</v>
      </c>
      <c r="N403" s="1119"/>
      <c r="O403" s="311">
        <f t="shared" si="70"/>
        <v>1</v>
      </c>
      <c r="P403" s="1119"/>
      <c r="Q403" s="311">
        <f t="shared" si="71"/>
        <v>1</v>
      </c>
      <c r="R403" s="1115">
        <f t="shared" si="72"/>
        <v>0</v>
      </c>
      <c r="S403" s="694">
        <f t="shared" si="73"/>
        <v>0</v>
      </c>
    </row>
    <row r="404" spans="1:19">
      <c r="A404" s="487"/>
      <c r="B404" s="346"/>
      <c r="C404" s="311">
        <f t="shared" si="64"/>
        <v>1</v>
      </c>
      <c r="D404" s="1119"/>
      <c r="E404" s="311">
        <f t="shared" si="65"/>
        <v>1</v>
      </c>
      <c r="F404" s="1119"/>
      <c r="G404" s="311">
        <f t="shared" si="66"/>
        <v>1</v>
      </c>
      <c r="H404" s="1119"/>
      <c r="I404" s="311">
        <f t="shared" si="67"/>
        <v>1</v>
      </c>
      <c r="J404" s="1119"/>
      <c r="K404" s="311">
        <f t="shared" si="68"/>
        <v>1</v>
      </c>
      <c r="L404" s="1119"/>
      <c r="M404" s="311">
        <f t="shared" si="69"/>
        <v>1</v>
      </c>
      <c r="N404" s="1119"/>
      <c r="O404" s="311">
        <f t="shared" si="70"/>
        <v>1</v>
      </c>
      <c r="P404" s="1119"/>
      <c r="Q404" s="311">
        <f t="shared" si="71"/>
        <v>1</v>
      </c>
      <c r="R404" s="1115">
        <f t="shared" si="72"/>
        <v>0</v>
      </c>
      <c r="S404" s="694">
        <f t="shared" si="73"/>
        <v>0</v>
      </c>
    </row>
    <row r="405" spans="1:19">
      <c r="A405" s="487"/>
      <c r="B405" s="346"/>
      <c r="C405" s="311">
        <f t="shared" si="64"/>
        <v>1</v>
      </c>
      <c r="D405" s="1119"/>
      <c r="E405" s="311">
        <f t="shared" si="65"/>
        <v>1</v>
      </c>
      <c r="F405" s="1119"/>
      <c r="G405" s="311">
        <f t="shared" si="66"/>
        <v>1</v>
      </c>
      <c r="H405" s="1119"/>
      <c r="I405" s="311">
        <f t="shared" si="67"/>
        <v>1</v>
      </c>
      <c r="J405" s="1119"/>
      <c r="K405" s="311">
        <f t="shared" si="68"/>
        <v>1</v>
      </c>
      <c r="L405" s="1119"/>
      <c r="M405" s="311">
        <f t="shared" si="69"/>
        <v>1</v>
      </c>
      <c r="N405" s="1119"/>
      <c r="O405" s="311">
        <f t="shared" si="70"/>
        <v>1</v>
      </c>
      <c r="P405" s="1119"/>
      <c r="Q405" s="311">
        <f t="shared" si="71"/>
        <v>1</v>
      </c>
      <c r="R405" s="1115">
        <f t="shared" si="72"/>
        <v>0</v>
      </c>
      <c r="S405" s="694">
        <f t="shared" si="73"/>
        <v>0</v>
      </c>
    </row>
    <row r="406" spans="1:19">
      <c r="A406" s="487"/>
      <c r="B406" s="346"/>
      <c r="C406" s="311">
        <f t="shared" si="64"/>
        <v>1</v>
      </c>
      <c r="D406" s="1119"/>
      <c r="E406" s="311">
        <f t="shared" si="65"/>
        <v>1</v>
      </c>
      <c r="F406" s="1119"/>
      <c r="G406" s="311">
        <f t="shared" si="66"/>
        <v>1</v>
      </c>
      <c r="H406" s="1119"/>
      <c r="I406" s="311">
        <f t="shared" si="67"/>
        <v>1</v>
      </c>
      <c r="J406" s="1119"/>
      <c r="K406" s="311">
        <f t="shared" si="68"/>
        <v>1</v>
      </c>
      <c r="L406" s="1119"/>
      <c r="M406" s="311">
        <f t="shared" si="69"/>
        <v>1</v>
      </c>
      <c r="N406" s="1119"/>
      <c r="O406" s="311">
        <f t="shared" si="70"/>
        <v>1</v>
      </c>
      <c r="P406" s="1119"/>
      <c r="Q406" s="311">
        <f t="shared" si="71"/>
        <v>1</v>
      </c>
      <c r="R406" s="1115">
        <f t="shared" si="72"/>
        <v>0</v>
      </c>
      <c r="S406" s="694">
        <f t="shared" si="73"/>
        <v>0</v>
      </c>
    </row>
    <row r="407" spans="1:19">
      <c r="A407" s="487"/>
      <c r="B407" s="346"/>
      <c r="C407" s="311">
        <f t="shared" si="64"/>
        <v>1</v>
      </c>
      <c r="D407" s="1119"/>
      <c r="E407" s="311">
        <f t="shared" si="65"/>
        <v>1</v>
      </c>
      <c r="F407" s="1119"/>
      <c r="G407" s="311">
        <f t="shared" si="66"/>
        <v>1</v>
      </c>
      <c r="H407" s="1119"/>
      <c r="I407" s="311">
        <f t="shared" si="67"/>
        <v>1</v>
      </c>
      <c r="J407" s="1119"/>
      <c r="K407" s="311">
        <f t="shared" si="68"/>
        <v>1</v>
      </c>
      <c r="L407" s="1119"/>
      <c r="M407" s="311">
        <f t="shared" si="69"/>
        <v>1</v>
      </c>
      <c r="N407" s="1119"/>
      <c r="O407" s="311">
        <f t="shared" si="70"/>
        <v>1</v>
      </c>
      <c r="P407" s="1119"/>
      <c r="Q407" s="311">
        <f t="shared" si="71"/>
        <v>1</v>
      </c>
      <c r="R407" s="1115">
        <f t="shared" si="72"/>
        <v>0</v>
      </c>
      <c r="S407" s="694">
        <f t="shared" si="73"/>
        <v>0</v>
      </c>
    </row>
    <row r="408" spans="1:19">
      <c r="A408" s="487"/>
      <c r="B408" s="346"/>
      <c r="C408" s="311">
        <f t="shared" si="64"/>
        <v>1</v>
      </c>
      <c r="D408" s="1119"/>
      <c r="E408" s="311">
        <f t="shared" si="65"/>
        <v>1</v>
      </c>
      <c r="F408" s="1119"/>
      <c r="G408" s="311">
        <f t="shared" si="66"/>
        <v>1</v>
      </c>
      <c r="H408" s="1119"/>
      <c r="I408" s="311">
        <f t="shared" si="67"/>
        <v>1</v>
      </c>
      <c r="J408" s="1119"/>
      <c r="K408" s="311">
        <f t="shared" si="68"/>
        <v>1</v>
      </c>
      <c r="L408" s="1119"/>
      <c r="M408" s="311">
        <f t="shared" si="69"/>
        <v>1</v>
      </c>
      <c r="N408" s="1119"/>
      <c r="O408" s="311">
        <f t="shared" si="70"/>
        <v>1</v>
      </c>
      <c r="P408" s="1119"/>
      <c r="Q408" s="311">
        <f t="shared" si="71"/>
        <v>1</v>
      </c>
      <c r="R408" s="1115">
        <f t="shared" si="72"/>
        <v>0</v>
      </c>
      <c r="S408" s="694">
        <f t="shared" si="73"/>
        <v>0</v>
      </c>
    </row>
    <row r="409" spans="1:19">
      <c r="A409" s="487"/>
      <c r="B409" s="346"/>
      <c r="C409" s="311">
        <f t="shared" si="64"/>
        <v>1</v>
      </c>
      <c r="D409" s="1119"/>
      <c r="E409" s="311">
        <f t="shared" si="65"/>
        <v>1</v>
      </c>
      <c r="F409" s="1119"/>
      <c r="G409" s="311">
        <f t="shared" si="66"/>
        <v>1</v>
      </c>
      <c r="H409" s="1119"/>
      <c r="I409" s="311">
        <f t="shared" si="67"/>
        <v>1</v>
      </c>
      <c r="J409" s="1119"/>
      <c r="K409" s="311">
        <f t="shared" si="68"/>
        <v>1</v>
      </c>
      <c r="L409" s="1119"/>
      <c r="M409" s="311">
        <f t="shared" si="69"/>
        <v>1</v>
      </c>
      <c r="N409" s="1119"/>
      <c r="O409" s="311">
        <f t="shared" si="70"/>
        <v>1</v>
      </c>
      <c r="P409" s="1119"/>
      <c r="Q409" s="311">
        <f t="shared" si="71"/>
        <v>1</v>
      </c>
      <c r="R409" s="1115">
        <f t="shared" si="72"/>
        <v>0</v>
      </c>
      <c r="S409" s="694">
        <f t="shared" si="73"/>
        <v>0</v>
      </c>
    </row>
    <row r="410" spans="1:19">
      <c r="A410" s="487"/>
      <c r="B410" s="346"/>
      <c r="C410" s="311">
        <f t="shared" ref="C410:C473" si="74">IF(B410="",1,(LOOKUP(B410,$3:$3,$4:$4)-LOOKUP($B$24,$3:$3,$4:$4)+100)/100)</f>
        <v>1</v>
      </c>
      <c r="D410" s="1119"/>
      <c r="E410" s="311">
        <f t="shared" ref="E410:E473" si="75">(SUMIF($5:$5,D410,$6:$6)-SUMIF($5:$5,$D$24,$6:$6)+100)/100</f>
        <v>1</v>
      </c>
      <c r="F410" s="1119"/>
      <c r="G410" s="311">
        <f t="shared" ref="G410:G473" si="76">(SUMIF($7:$7,F410,$8:$8)-SUMIF($7:$7,$F$24,$8:$8)+100)/100</f>
        <v>1</v>
      </c>
      <c r="H410" s="1119"/>
      <c r="I410" s="311">
        <f t="shared" ref="I410:I473" si="77">(SUMIF($9:$9,H410,$10:$10)-SUMIF($9:$9,$H$24,$10:$10)+100)/100</f>
        <v>1</v>
      </c>
      <c r="J410" s="1119"/>
      <c r="K410" s="311">
        <f t="shared" ref="K410:K473" si="78">(SUMIF($11:$11,J410,$12:$12)-SUMIF($11:$11,$J$24,$12:$12)+100)/100</f>
        <v>1</v>
      </c>
      <c r="L410" s="1119"/>
      <c r="M410" s="311">
        <f t="shared" ref="M410:M473" si="79">(SUMIF($13:$13,L410,$14:$14)-SUMIF($13:$13,$L$24,$14:$14)+100)/100</f>
        <v>1</v>
      </c>
      <c r="N410" s="1119"/>
      <c r="O410" s="311">
        <f t="shared" ref="O410:O473" si="80">(SUMIF($15:$15,N410,$16:$16)-SUMIF($15:$15,$N$24,$16:$16)+100)/100</f>
        <v>1</v>
      </c>
      <c r="P410" s="1119"/>
      <c r="Q410" s="311">
        <f t="shared" ref="Q410:Q473" si="81">(SUMIF($17:$17,P410,$18:$18)-SUMIF($17:$17,$P$24,$18:$18)+100)/100</f>
        <v>1</v>
      </c>
      <c r="R410" s="1115">
        <f t="shared" ref="R410:R473" si="82">IF(B410="",0,ROUND($R$24*C410*E410*G410*I410*K410*M410*O410*Q410,0))</f>
        <v>0</v>
      </c>
      <c r="S410" s="694">
        <f t="shared" si="73"/>
        <v>0</v>
      </c>
    </row>
    <row r="411" spans="1:19">
      <c r="A411" s="487"/>
      <c r="B411" s="346"/>
      <c r="C411" s="311">
        <f t="shared" si="74"/>
        <v>1</v>
      </c>
      <c r="D411" s="1119"/>
      <c r="E411" s="311">
        <f t="shared" si="75"/>
        <v>1</v>
      </c>
      <c r="F411" s="1119"/>
      <c r="G411" s="311">
        <f t="shared" si="76"/>
        <v>1</v>
      </c>
      <c r="H411" s="1119"/>
      <c r="I411" s="311">
        <f t="shared" si="77"/>
        <v>1</v>
      </c>
      <c r="J411" s="1119"/>
      <c r="K411" s="311">
        <f t="shared" si="78"/>
        <v>1</v>
      </c>
      <c r="L411" s="1119"/>
      <c r="M411" s="311">
        <f t="shared" si="79"/>
        <v>1</v>
      </c>
      <c r="N411" s="1119"/>
      <c r="O411" s="311">
        <f t="shared" si="80"/>
        <v>1</v>
      </c>
      <c r="P411" s="1119"/>
      <c r="Q411" s="311">
        <f t="shared" si="81"/>
        <v>1</v>
      </c>
      <c r="R411" s="1115">
        <f t="shared" si="82"/>
        <v>0</v>
      </c>
      <c r="S411" s="694">
        <f t="shared" si="73"/>
        <v>0</v>
      </c>
    </row>
    <row r="412" spans="1:19">
      <c r="A412" s="487"/>
      <c r="B412" s="346"/>
      <c r="C412" s="311">
        <f t="shared" si="74"/>
        <v>1</v>
      </c>
      <c r="D412" s="1119"/>
      <c r="E412" s="311">
        <f t="shared" si="75"/>
        <v>1</v>
      </c>
      <c r="F412" s="1119"/>
      <c r="G412" s="311">
        <f t="shared" si="76"/>
        <v>1</v>
      </c>
      <c r="H412" s="1119"/>
      <c r="I412" s="311">
        <f t="shared" si="77"/>
        <v>1</v>
      </c>
      <c r="J412" s="1119"/>
      <c r="K412" s="311">
        <f t="shared" si="78"/>
        <v>1</v>
      </c>
      <c r="L412" s="1119"/>
      <c r="M412" s="311">
        <f t="shared" si="79"/>
        <v>1</v>
      </c>
      <c r="N412" s="1119"/>
      <c r="O412" s="311">
        <f t="shared" si="80"/>
        <v>1</v>
      </c>
      <c r="P412" s="1119"/>
      <c r="Q412" s="311">
        <f t="shared" si="81"/>
        <v>1</v>
      </c>
      <c r="R412" s="1115">
        <f t="shared" si="82"/>
        <v>0</v>
      </c>
      <c r="S412" s="694">
        <f t="shared" si="73"/>
        <v>0</v>
      </c>
    </row>
    <row r="413" spans="1:19">
      <c r="A413" s="487"/>
      <c r="B413" s="346"/>
      <c r="C413" s="311">
        <f t="shared" si="74"/>
        <v>1</v>
      </c>
      <c r="D413" s="1119"/>
      <c r="E413" s="311">
        <f t="shared" si="75"/>
        <v>1</v>
      </c>
      <c r="F413" s="1119"/>
      <c r="G413" s="311">
        <f t="shared" si="76"/>
        <v>1</v>
      </c>
      <c r="H413" s="1119"/>
      <c r="I413" s="311">
        <f t="shared" si="77"/>
        <v>1</v>
      </c>
      <c r="J413" s="1119"/>
      <c r="K413" s="311">
        <f t="shared" si="78"/>
        <v>1</v>
      </c>
      <c r="L413" s="1119"/>
      <c r="M413" s="311">
        <f t="shared" si="79"/>
        <v>1</v>
      </c>
      <c r="N413" s="1119"/>
      <c r="O413" s="311">
        <f t="shared" si="80"/>
        <v>1</v>
      </c>
      <c r="P413" s="1119"/>
      <c r="Q413" s="311">
        <f t="shared" si="81"/>
        <v>1</v>
      </c>
      <c r="R413" s="1115">
        <f t="shared" si="82"/>
        <v>0</v>
      </c>
      <c r="S413" s="694">
        <f t="shared" si="73"/>
        <v>0</v>
      </c>
    </row>
    <row r="414" spans="1:19">
      <c r="A414" s="487"/>
      <c r="B414" s="346"/>
      <c r="C414" s="311">
        <f t="shared" si="74"/>
        <v>1</v>
      </c>
      <c r="D414" s="1119"/>
      <c r="E414" s="311">
        <f t="shared" si="75"/>
        <v>1</v>
      </c>
      <c r="F414" s="1119"/>
      <c r="G414" s="311">
        <f t="shared" si="76"/>
        <v>1</v>
      </c>
      <c r="H414" s="1119"/>
      <c r="I414" s="311">
        <f t="shared" si="77"/>
        <v>1</v>
      </c>
      <c r="J414" s="1119"/>
      <c r="K414" s="311">
        <f t="shared" si="78"/>
        <v>1</v>
      </c>
      <c r="L414" s="1119"/>
      <c r="M414" s="311">
        <f t="shared" si="79"/>
        <v>1</v>
      </c>
      <c r="N414" s="1119"/>
      <c r="O414" s="311">
        <f t="shared" si="80"/>
        <v>1</v>
      </c>
      <c r="P414" s="1119"/>
      <c r="Q414" s="311">
        <f t="shared" si="81"/>
        <v>1</v>
      </c>
      <c r="R414" s="1115">
        <f t="shared" si="82"/>
        <v>0</v>
      </c>
      <c r="S414" s="694">
        <f t="shared" si="73"/>
        <v>0</v>
      </c>
    </row>
    <row r="415" spans="1:19">
      <c r="A415" s="487"/>
      <c r="B415" s="346"/>
      <c r="C415" s="311">
        <f t="shared" si="74"/>
        <v>1</v>
      </c>
      <c r="D415" s="1119"/>
      <c r="E415" s="311">
        <f t="shared" si="75"/>
        <v>1</v>
      </c>
      <c r="F415" s="1119"/>
      <c r="G415" s="311">
        <f t="shared" si="76"/>
        <v>1</v>
      </c>
      <c r="H415" s="1119"/>
      <c r="I415" s="311">
        <f t="shared" si="77"/>
        <v>1</v>
      </c>
      <c r="J415" s="1119"/>
      <c r="K415" s="311">
        <f t="shared" si="78"/>
        <v>1</v>
      </c>
      <c r="L415" s="1119"/>
      <c r="M415" s="311">
        <f t="shared" si="79"/>
        <v>1</v>
      </c>
      <c r="N415" s="1119"/>
      <c r="O415" s="311">
        <f t="shared" si="80"/>
        <v>1</v>
      </c>
      <c r="P415" s="1119"/>
      <c r="Q415" s="311">
        <f t="shared" si="81"/>
        <v>1</v>
      </c>
      <c r="R415" s="1115">
        <f t="shared" si="82"/>
        <v>0</v>
      </c>
      <c r="S415" s="694">
        <f t="shared" si="73"/>
        <v>0</v>
      </c>
    </row>
    <row r="416" spans="1:19">
      <c r="A416" s="487"/>
      <c r="B416" s="346"/>
      <c r="C416" s="311">
        <f t="shared" si="74"/>
        <v>1</v>
      </c>
      <c r="D416" s="1119"/>
      <c r="E416" s="311">
        <f t="shared" si="75"/>
        <v>1</v>
      </c>
      <c r="F416" s="1119"/>
      <c r="G416" s="311">
        <f t="shared" si="76"/>
        <v>1</v>
      </c>
      <c r="H416" s="1119"/>
      <c r="I416" s="311">
        <f t="shared" si="77"/>
        <v>1</v>
      </c>
      <c r="J416" s="1119"/>
      <c r="K416" s="311">
        <f t="shared" si="78"/>
        <v>1</v>
      </c>
      <c r="L416" s="1119"/>
      <c r="M416" s="311">
        <f t="shared" si="79"/>
        <v>1</v>
      </c>
      <c r="N416" s="1119"/>
      <c r="O416" s="311">
        <f t="shared" si="80"/>
        <v>1</v>
      </c>
      <c r="P416" s="1119"/>
      <c r="Q416" s="311">
        <f t="shared" si="81"/>
        <v>1</v>
      </c>
      <c r="R416" s="1115">
        <f t="shared" si="82"/>
        <v>0</v>
      </c>
      <c r="S416" s="694">
        <f t="shared" si="73"/>
        <v>0</v>
      </c>
    </row>
    <row r="417" spans="1:19">
      <c r="A417" s="487"/>
      <c r="B417" s="346"/>
      <c r="C417" s="311">
        <f t="shared" si="74"/>
        <v>1</v>
      </c>
      <c r="D417" s="1119"/>
      <c r="E417" s="311">
        <f t="shared" si="75"/>
        <v>1</v>
      </c>
      <c r="F417" s="1119"/>
      <c r="G417" s="311">
        <f t="shared" si="76"/>
        <v>1</v>
      </c>
      <c r="H417" s="1119"/>
      <c r="I417" s="311">
        <f t="shared" si="77"/>
        <v>1</v>
      </c>
      <c r="J417" s="1119"/>
      <c r="K417" s="311">
        <f t="shared" si="78"/>
        <v>1</v>
      </c>
      <c r="L417" s="1119"/>
      <c r="M417" s="311">
        <f t="shared" si="79"/>
        <v>1</v>
      </c>
      <c r="N417" s="1119"/>
      <c r="O417" s="311">
        <f t="shared" si="80"/>
        <v>1</v>
      </c>
      <c r="P417" s="1119"/>
      <c r="Q417" s="311">
        <f t="shared" si="81"/>
        <v>1</v>
      </c>
      <c r="R417" s="1115">
        <f t="shared" si="82"/>
        <v>0</v>
      </c>
      <c r="S417" s="694">
        <f t="shared" si="73"/>
        <v>0</v>
      </c>
    </row>
    <row r="418" spans="1:19">
      <c r="A418" s="487"/>
      <c r="B418" s="346"/>
      <c r="C418" s="311">
        <f t="shared" si="74"/>
        <v>1</v>
      </c>
      <c r="D418" s="1119"/>
      <c r="E418" s="311">
        <f t="shared" si="75"/>
        <v>1</v>
      </c>
      <c r="F418" s="1119"/>
      <c r="G418" s="311">
        <f t="shared" si="76"/>
        <v>1</v>
      </c>
      <c r="H418" s="1119"/>
      <c r="I418" s="311">
        <f t="shared" si="77"/>
        <v>1</v>
      </c>
      <c r="J418" s="1119"/>
      <c r="K418" s="311">
        <f t="shared" si="78"/>
        <v>1</v>
      </c>
      <c r="L418" s="1119"/>
      <c r="M418" s="311">
        <f t="shared" si="79"/>
        <v>1</v>
      </c>
      <c r="N418" s="1119"/>
      <c r="O418" s="311">
        <f t="shared" si="80"/>
        <v>1</v>
      </c>
      <c r="P418" s="1119"/>
      <c r="Q418" s="311">
        <f t="shared" si="81"/>
        <v>1</v>
      </c>
      <c r="R418" s="1115">
        <f t="shared" si="82"/>
        <v>0</v>
      </c>
      <c r="S418" s="694">
        <f t="shared" si="73"/>
        <v>0</v>
      </c>
    </row>
    <row r="419" spans="1:19">
      <c r="A419" s="487"/>
      <c r="B419" s="346"/>
      <c r="C419" s="311">
        <f t="shared" si="74"/>
        <v>1</v>
      </c>
      <c r="D419" s="1119"/>
      <c r="E419" s="311">
        <f t="shared" si="75"/>
        <v>1</v>
      </c>
      <c r="F419" s="1119"/>
      <c r="G419" s="311">
        <f t="shared" si="76"/>
        <v>1</v>
      </c>
      <c r="H419" s="1119"/>
      <c r="I419" s="311">
        <f t="shared" si="77"/>
        <v>1</v>
      </c>
      <c r="J419" s="1119"/>
      <c r="K419" s="311">
        <f t="shared" si="78"/>
        <v>1</v>
      </c>
      <c r="L419" s="1119"/>
      <c r="M419" s="311">
        <f t="shared" si="79"/>
        <v>1</v>
      </c>
      <c r="N419" s="1119"/>
      <c r="O419" s="311">
        <f t="shared" si="80"/>
        <v>1</v>
      </c>
      <c r="P419" s="1119"/>
      <c r="Q419" s="311">
        <f t="shared" si="81"/>
        <v>1</v>
      </c>
      <c r="R419" s="1115">
        <f t="shared" si="82"/>
        <v>0</v>
      </c>
      <c r="S419" s="694">
        <f t="shared" si="73"/>
        <v>0</v>
      </c>
    </row>
    <row r="420" spans="1:19">
      <c r="A420" s="487"/>
      <c r="B420" s="346"/>
      <c r="C420" s="311">
        <f t="shared" si="74"/>
        <v>1</v>
      </c>
      <c r="D420" s="1119"/>
      <c r="E420" s="311">
        <f t="shared" si="75"/>
        <v>1</v>
      </c>
      <c r="F420" s="1119"/>
      <c r="G420" s="311">
        <f t="shared" si="76"/>
        <v>1</v>
      </c>
      <c r="H420" s="1119"/>
      <c r="I420" s="311">
        <f t="shared" si="77"/>
        <v>1</v>
      </c>
      <c r="J420" s="1119"/>
      <c r="K420" s="311">
        <f t="shared" si="78"/>
        <v>1</v>
      </c>
      <c r="L420" s="1119"/>
      <c r="M420" s="311">
        <f t="shared" si="79"/>
        <v>1</v>
      </c>
      <c r="N420" s="1119"/>
      <c r="O420" s="311">
        <f t="shared" si="80"/>
        <v>1</v>
      </c>
      <c r="P420" s="1119"/>
      <c r="Q420" s="311">
        <f t="shared" si="81"/>
        <v>1</v>
      </c>
      <c r="R420" s="1115">
        <f t="shared" si="82"/>
        <v>0</v>
      </c>
      <c r="S420" s="694">
        <f t="shared" si="73"/>
        <v>0</v>
      </c>
    </row>
    <row r="421" spans="1:19">
      <c r="A421" s="487"/>
      <c r="B421" s="346"/>
      <c r="C421" s="311">
        <f t="shared" si="74"/>
        <v>1</v>
      </c>
      <c r="D421" s="1119"/>
      <c r="E421" s="311">
        <f t="shared" si="75"/>
        <v>1</v>
      </c>
      <c r="F421" s="1119"/>
      <c r="G421" s="311">
        <f t="shared" si="76"/>
        <v>1</v>
      </c>
      <c r="H421" s="1119"/>
      <c r="I421" s="311">
        <f t="shared" si="77"/>
        <v>1</v>
      </c>
      <c r="J421" s="1119"/>
      <c r="K421" s="311">
        <f t="shared" si="78"/>
        <v>1</v>
      </c>
      <c r="L421" s="1119"/>
      <c r="M421" s="311">
        <f t="shared" si="79"/>
        <v>1</v>
      </c>
      <c r="N421" s="1119"/>
      <c r="O421" s="311">
        <f t="shared" si="80"/>
        <v>1</v>
      </c>
      <c r="P421" s="1119"/>
      <c r="Q421" s="311">
        <f t="shared" si="81"/>
        <v>1</v>
      </c>
      <c r="R421" s="1115">
        <f t="shared" si="82"/>
        <v>0</v>
      </c>
      <c r="S421" s="694">
        <f t="shared" si="73"/>
        <v>0</v>
      </c>
    </row>
    <row r="422" spans="1:19">
      <c r="A422" s="487"/>
      <c r="B422" s="346"/>
      <c r="C422" s="311">
        <f t="shared" si="74"/>
        <v>1</v>
      </c>
      <c r="D422" s="1119"/>
      <c r="E422" s="311">
        <f t="shared" si="75"/>
        <v>1</v>
      </c>
      <c r="F422" s="1119"/>
      <c r="G422" s="311">
        <f t="shared" si="76"/>
        <v>1</v>
      </c>
      <c r="H422" s="1119"/>
      <c r="I422" s="311">
        <f t="shared" si="77"/>
        <v>1</v>
      </c>
      <c r="J422" s="1119"/>
      <c r="K422" s="311">
        <f t="shared" si="78"/>
        <v>1</v>
      </c>
      <c r="L422" s="1119"/>
      <c r="M422" s="311">
        <f t="shared" si="79"/>
        <v>1</v>
      </c>
      <c r="N422" s="1119"/>
      <c r="O422" s="311">
        <f t="shared" si="80"/>
        <v>1</v>
      </c>
      <c r="P422" s="1119"/>
      <c r="Q422" s="311">
        <f t="shared" si="81"/>
        <v>1</v>
      </c>
      <c r="R422" s="1115">
        <f t="shared" si="82"/>
        <v>0</v>
      </c>
      <c r="S422" s="694">
        <f t="shared" si="73"/>
        <v>0</v>
      </c>
    </row>
    <row r="423" spans="1:19">
      <c r="A423" s="487"/>
      <c r="B423" s="346"/>
      <c r="C423" s="311">
        <f t="shared" si="74"/>
        <v>1</v>
      </c>
      <c r="D423" s="1119"/>
      <c r="E423" s="311">
        <f t="shared" si="75"/>
        <v>1</v>
      </c>
      <c r="F423" s="1119"/>
      <c r="G423" s="311">
        <f t="shared" si="76"/>
        <v>1</v>
      </c>
      <c r="H423" s="1119"/>
      <c r="I423" s="311">
        <f t="shared" si="77"/>
        <v>1</v>
      </c>
      <c r="J423" s="1119"/>
      <c r="K423" s="311">
        <f t="shared" si="78"/>
        <v>1</v>
      </c>
      <c r="L423" s="1119"/>
      <c r="M423" s="311">
        <f t="shared" si="79"/>
        <v>1</v>
      </c>
      <c r="N423" s="1119"/>
      <c r="O423" s="311">
        <f t="shared" si="80"/>
        <v>1</v>
      </c>
      <c r="P423" s="1119"/>
      <c r="Q423" s="311">
        <f t="shared" si="81"/>
        <v>1</v>
      </c>
      <c r="R423" s="1115">
        <f t="shared" si="82"/>
        <v>0</v>
      </c>
      <c r="S423" s="694">
        <f t="shared" ref="S423:S467" si="83">ROUND(R423*B423/10000,0)</f>
        <v>0</v>
      </c>
    </row>
    <row r="424" spans="1:19">
      <c r="A424" s="487"/>
      <c r="B424" s="346"/>
      <c r="C424" s="311">
        <f t="shared" si="74"/>
        <v>1</v>
      </c>
      <c r="D424" s="1119"/>
      <c r="E424" s="311">
        <f t="shared" si="75"/>
        <v>1</v>
      </c>
      <c r="F424" s="1119"/>
      <c r="G424" s="311">
        <f t="shared" si="76"/>
        <v>1</v>
      </c>
      <c r="H424" s="1119"/>
      <c r="I424" s="311">
        <f t="shared" si="77"/>
        <v>1</v>
      </c>
      <c r="J424" s="1119"/>
      <c r="K424" s="311">
        <f t="shared" si="78"/>
        <v>1</v>
      </c>
      <c r="L424" s="1119"/>
      <c r="M424" s="311">
        <f t="shared" si="79"/>
        <v>1</v>
      </c>
      <c r="N424" s="1119"/>
      <c r="O424" s="311">
        <f t="shared" si="80"/>
        <v>1</v>
      </c>
      <c r="P424" s="1119"/>
      <c r="Q424" s="311">
        <f t="shared" si="81"/>
        <v>1</v>
      </c>
      <c r="R424" s="1115">
        <f t="shared" si="82"/>
        <v>0</v>
      </c>
      <c r="S424" s="694">
        <f t="shared" si="83"/>
        <v>0</v>
      </c>
    </row>
    <row r="425" spans="1:19">
      <c r="A425" s="487"/>
      <c r="B425" s="346"/>
      <c r="C425" s="311">
        <f t="shared" si="74"/>
        <v>1</v>
      </c>
      <c r="D425" s="1119"/>
      <c r="E425" s="311">
        <f t="shared" si="75"/>
        <v>1</v>
      </c>
      <c r="F425" s="1119"/>
      <c r="G425" s="311">
        <f t="shared" si="76"/>
        <v>1</v>
      </c>
      <c r="H425" s="1119"/>
      <c r="I425" s="311">
        <f t="shared" si="77"/>
        <v>1</v>
      </c>
      <c r="J425" s="1119"/>
      <c r="K425" s="311">
        <f t="shared" si="78"/>
        <v>1</v>
      </c>
      <c r="L425" s="1119"/>
      <c r="M425" s="311">
        <f t="shared" si="79"/>
        <v>1</v>
      </c>
      <c r="N425" s="1119"/>
      <c r="O425" s="311">
        <f t="shared" si="80"/>
        <v>1</v>
      </c>
      <c r="P425" s="1119"/>
      <c r="Q425" s="311">
        <f t="shared" si="81"/>
        <v>1</v>
      </c>
      <c r="R425" s="1115">
        <f t="shared" si="82"/>
        <v>0</v>
      </c>
      <c r="S425" s="694">
        <f t="shared" si="83"/>
        <v>0</v>
      </c>
    </row>
    <row r="426" spans="1:19">
      <c r="A426" s="487"/>
      <c r="B426" s="346"/>
      <c r="C426" s="311">
        <f t="shared" si="74"/>
        <v>1</v>
      </c>
      <c r="D426" s="1119"/>
      <c r="E426" s="311">
        <f t="shared" si="75"/>
        <v>1</v>
      </c>
      <c r="F426" s="1119"/>
      <c r="G426" s="311">
        <f t="shared" si="76"/>
        <v>1</v>
      </c>
      <c r="H426" s="1119"/>
      <c r="I426" s="311">
        <f t="shared" si="77"/>
        <v>1</v>
      </c>
      <c r="J426" s="1119"/>
      <c r="K426" s="311">
        <f t="shared" si="78"/>
        <v>1</v>
      </c>
      <c r="L426" s="1119"/>
      <c r="M426" s="311">
        <f t="shared" si="79"/>
        <v>1</v>
      </c>
      <c r="N426" s="1119"/>
      <c r="O426" s="311">
        <f t="shared" si="80"/>
        <v>1</v>
      </c>
      <c r="P426" s="1119"/>
      <c r="Q426" s="311">
        <f t="shared" si="81"/>
        <v>1</v>
      </c>
      <c r="R426" s="1115">
        <f t="shared" si="82"/>
        <v>0</v>
      </c>
      <c r="S426" s="694">
        <f t="shared" si="83"/>
        <v>0</v>
      </c>
    </row>
    <row r="427" spans="1:19">
      <c r="A427" s="487"/>
      <c r="B427" s="346"/>
      <c r="C427" s="311">
        <f t="shared" si="74"/>
        <v>1</v>
      </c>
      <c r="D427" s="1119"/>
      <c r="E427" s="311">
        <f t="shared" si="75"/>
        <v>1</v>
      </c>
      <c r="F427" s="1119"/>
      <c r="G427" s="311">
        <f t="shared" si="76"/>
        <v>1</v>
      </c>
      <c r="H427" s="1119"/>
      <c r="I427" s="311">
        <f t="shared" si="77"/>
        <v>1</v>
      </c>
      <c r="J427" s="1119"/>
      <c r="K427" s="311">
        <f t="shared" si="78"/>
        <v>1</v>
      </c>
      <c r="L427" s="1119"/>
      <c r="M427" s="311">
        <f t="shared" si="79"/>
        <v>1</v>
      </c>
      <c r="N427" s="1119"/>
      <c r="O427" s="311">
        <f t="shared" si="80"/>
        <v>1</v>
      </c>
      <c r="P427" s="1119"/>
      <c r="Q427" s="311">
        <f t="shared" si="81"/>
        <v>1</v>
      </c>
      <c r="R427" s="1115">
        <f t="shared" si="82"/>
        <v>0</v>
      </c>
      <c r="S427" s="694">
        <f t="shared" si="83"/>
        <v>0</v>
      </c>
    </row>
    <row r="428" spans="1:19">
      <c r="A428" s="487"/>
      <c r="B428" s="346"/>
      <c r="C428" s="311">
        <f t="shared" si="74"/>
        <v>1</v>
      </c>
      <c r="D428" s="1119"/>
      <c r="E428" s="311">
        <f t="shared" si="75"/>
        <v>1</v>
      </c>
      <c r="F428" s="1119"/>
      <c r="G428" s="311">
        <f t="shared" si="76"/>
        <v>1</v>
      </c>
      <c r="H428" s="1119"/>
      <c r="I428" s="311">
        <f t="shared" si="77"/>
        <v>1</v>
      </c>
      <c r="J428" s="1119"/>
      <c r="K428" s="311">
        <f t="shared" si="78"/>
        <v>1</v>
      </c>
      <c r="L428" s="1119"/>
      <c r="M428" s="311">
        <f t="shared" si="79"/>
        <v>1</v>
      </c>
      <c r="N428" s="1119"/>
      <c r="O428" s="311">
        <f t="shared" si="80"/>
        <v>1</v>
      </c>
      <c r="P428" s="1119"/>
      <c r="Q428" s="311">
        <f t="shared" si="81"/>
        <v>1</v>
      </c>
      <c r="R428" s="1115">
        <f t="shared" si="82"/>
        <v>0</v>
      </c>
      <c r="S428" s="694">
        <f t="shared" si="83"/>
        <v>0</v>
      </c>
    </row>
    <row r="429" spans="1:19">
      <c r="A429" s="487"/>
      <c r="B429" s="346"/>
      <c r="C429" s="311">
        <f t="shared" si="74"/>
        <v>1</v>
      </c>
      <c r="D429" s="1119"/>
      <c r="E429" s="311">
        <f t="shared" si="75"/>
        <v>1</v>
      </c>
      <c r="F429" s="1119"/>
      <c r="G429" s="311">
        <f t="shared" si="76"/>
        <v>1</v>
      </c>
      <c r="H429" s="1119"/>
      <c r="I429" s="311">
        <f t="shared" si="77"/>
        <v>1</v>
      </c>
      <c r="J429" s="1119"/>
      <c r="K429" s="311">
        <f t="shared" si="78"/>
        <v>1</v>
      </c>
      <c r="L429" s="1119"/>
      <c r="M429" s="311">
        <f t="shared" si="79"/>
        <v>1</v>
      </c>
      <c r="N429" s="1119"/>
      <c r="O429" s="311">
        <f t="shared" si="80"/>
        <v>1</v>
      </c>
      <c r="P429" s="1119"/>
      <c r="Q429" s="311">
        <f t="shared" si="81"/>
        <v>1</v>
      </c>
      <c r="R429" s="1115">
        <f t="shared" si="82"/>
        <v>0</v>
      </c>
      <c r="S429" s="694">
        <f t="shared" si="83"/>
        <v>0</v>
      </c>
    </row>
    <row r="430" spans="1:19">
      <c r="A430" s="487"/>
      <c r="B430" s="346"/>
      <c r="C430" s="311">
        <f t="shared" si="74"/>
        <v>1</v>
      </c>
      <c r="D430" s="1119"/>
      <c r="E430" s="311">
        <f t="shared" si="75"/>
        <v>1</v>
      </c>
      <c r="F430" s="1119"/>
      <c r="G430" s="311">
        <f t="shared" si="76"/>
        <v>1</v>
      </c>
      <c r="H430" s="1119"/>
      <c r="I430" s="311">
        <f t="shared" si="77"/>
        <v>1</v>
      </c>
      <c r="J430" s="1119"/>
      <c r="K430" s="311">
        <f t="shared" si="78"/>
        <v>1</v>
      </c>
      <c r="L430" s="1119"/>
      <c r="M430" s="311">
        <f t="shared" si="79"/>
        <v>1</v>
      </c>
      <c r="N430" s="1119"/>
      <c r="O430" s="311">
        <f t="shared" si="80"/>
        <v>1</v>
      </c>
      <c r="P430" s="1119"/>
      <c r="Q430" s="311">
        <f t="shared" si="81"/>
        <v>1</v>
      </c>
      <c r="R430" s="1115">
        <f t="shared" si="82"/>
        <v>0</v>
      </c>
      <c r="S430" s="694">
        <f t="shared" si="83"/>
        <v>0</v>
      </c>
    </row>
    <row r="431" spans="1:19">
      <c r="A431" s="487"/>
      <c r="B431" s="346"/>
      <c r="C431" s="311">
        <f t="shared" si="74"/>
        <v>1</v>
      </c>
      <c r="D431" s="1119"/>
      <c r="E431" s="311">
        <f t="shared" si="75"/>
        <v>1</v>
      </c>
      <c r="F431" s="1119"/>
      <c r="G431" s="311">
        <f t="shared" si="76"/>
        <v>1</v>
      </c>
      <c r="H431" s="1119"/>
      <c r="I431" s="311">
        <f t="shared" si="77"/>
        <v>1</v>
      </c>
      <c r="J431" s="1119"/>
      <c r="K431" s="311">
        <f t="shared" si="78"/>
        <v>1</v>
      </c>
      <c r="L431" s="1119"/>
      <c r="M431" s="311">
        <f t="shared" si="79"/>
        <v>1</v>
      </c>
      <c r="N431" s="1119"/>
      <c r="O431" s="311">
        <f t="shared" si="80"/>
        <v>1</v>
      </c>
      <c r="P431" s="1119"/>
      <c r="Q431" s="311">
        <f t="shared" si="81"/>
        <v>1</v>
      </c>
      <c r="R431" s="1115">
        <f t="shared" si="82"/>
        <v>0</v>
      </c>
      <c r="S431" s="694">
        <f t="shared" si="83"/>
        <v>0</v>
      </c>
    </row>
    <row r="432" spans="1:19">
      <c r="A432" s="487"/>
      <c r="B432" s="346"/>
      <c r="C432" s="311">
        <f t="shared" si="74"/>
        <v>1</v>
      </c>
      <c r="D432" s="1119"/>
      <c r="E432" s="311">
        <f t="shared" si="75"/>
        <v>1</v>
      </c>
      <c r="F432" s="1119"/>
      <c r="G432" s="311">
        <f t="shared" si="76"/>
        <v>1</v>
      </c>
      <c r="H432" s="1119"/>
      <c r="I432" s="311">
        <f t="shared" si="77"/>
        <v>1</v>
      </c>
      <c r="J432" s="1119"/>
      <c r="K432" s="311">
        <f t="shared" si="78"/>
        <v>1</v>
      </c>
      <c r="L432" s="1119"/>
      <c r="M432" s="311">
        <f t="shared" si="79"/>
        <v>1</v>
      </c>
      <c r="N432" s="1119"/>
      <c r="O432" s="311">
        <f t="shared" si="80"/>
        <v>1</v>
      </c>
      <c r="P432" s="1119"/>
      <c r="Q432" s="311">
        <f t="shared" si="81"/>
        <v>1</v>
      </c>
      <c r="R432" s="1115">
        <f t="shared" si="82"/>
        <v>0</v>
      </c>
      <c r="S432" s="694">
        <f t="shared" si="83"/>
        <v>0</v>
      </c>
    </row>
    <row r="433" spans="1:19">
      <c r="A433" s="487"/>
      <c r="B433" s="346"/>
      <c r="C433" s="311">
        <f t="shared" si="74"/>
        <v>1</v>
      </c>
      <c r="D433" s="1119"/>
      <c r="E433" s="311">
        <f t="shared" si="75"/>
        <v>1</v>
      </c>
      <c r="F433" s="1119"/>
      <c r="G433" s="311">
        <f t="shared" si="76"/>
        <v>1</v>
      </c>
      <c r="H433" s="1119"/>
      <c r="I433" s="311">
        <f t="shared" si="77"/>
        <v>1</v>
      </c>
      <c r="J433" s="1119"/>
      <c r="K433" s="311">
        <f t="shared" si="78"/>
        <v>1</v>
      </c>
      <c r="L433" s="1119"/>
      <c r="M433" s="311">
        <f t="shared" si="79"/>
        <v>1</v>
      </c>
      <c r="N433" s="1119"/>
      <c r="O433" s="311">
        <f t="shared" si="80"/>
        <v>1</v>
      </c>
      <c r="P433" s="1119"/>
      <c r="Q433" s="311">
        <f t="shared" si="81"/>
        <v>1</v>
      </c>
      <c r="R433" s="1115">
        <f t="shared" si="82"/>
        <v>0</v>
      </c>
      <c r="S433" s="694">
        <f t="shared" si="83"/>
        <v>0</v>
      </c>
    </row>
    <row r="434" spans="1:19">
      <c r="A434" s="487"/>
      <c r="B434" s="346"/>
      <c r="C434" s="311">
        <f t="shared" si="74"/>
        <v>1</v>
      </c>
      <c r="D434" s="1119"/>
      <c r="E434" s="311">
        <f t="shared" si="75"/>
        <v>1</v>
      </c>
      <c r="F434" s="1119"/>
      <c r="G434" s="311">
        <f t="shared" si="76"/>
        <v>1</v>
      </c>
      <c r="H434" s="1119"/>
      <c r="I434" s="311">
        <f t="shared" si="77"/>
        <v>1</v>
      </c>
      <c r="J434" s="1119"/>
      <c r="K434" s="311">
        <f t="shared" si="78"/>
        <v>1</v>
      </c>
      <c r="L434" s="1119"/>
      <c r="M434" s="311">
        <f t="shared" si="79"/>
        <v>1</v>
      </c>
      <c r="N434" s="1119"/>
      <c r="O434" s="311">
        <f t="shared" si="80"/>
        <v>1</v>
      </c>
      <c r="P434" s="1119"/>
      <c r="Q434" s="311">
        <f t="shared" si="81"/>
        <v>1</v>
      </c>
      <c r="R434" s="1115">
        <f t="shared" si="82"/>
        <v>0</v>
      </c>
      <c r="S434" s="694">
        <f t="shared" si="83"/>
        <v>0</v>
      </c>
    </row>
    <row r="435" spans="1:19">
      <c r="A435" s="487"/>
      <c r="B435" s="346"/>
      <c r="C435" s="311">
        <f t="shared" si="74"/>
        <v>1</v>
      </c>
      <c r="D435" s="1119"/>
      <c r="E435" s="311">
        <f t="shared" si="75"/>
        <v>1</v>
      </c>
      <c r="F435" s="1119"/>
      <c r="G435" s="311">
        <f t="shared" si="76"/>
        <v>1</v>
      </c>
      <c r="H435" s="1119"/>
      <c r="I435" s="311">
        <f t="shared" si="77"/>
        <v>1</v>
      </c>
      <c r="J435" s="1119"/>
      <c r="K435" s="311">
        <f t="shared" si="78"/>
        <v>1</v>
      </c>
      <c r="L435" s="1119"/>
      <c r="M435" s="311">
        <f t="shared" si="79"/>
        <v>1</v>
      </c>
      <c r="N435" s="1119"/>
      <c r="O435" s="311">
        <f t="shared" si="80"/>
        <v>1</v>
      </c>
      <c r="P435" s="1119"/>
      <c r="Q435" s="311">
        <f t="shared" si="81"/>
        <v>1</v>
      </c>
      <c r="R435" s="1115">
        <f t="shared" si="82"/>
        <v>0</v>
      </c>
      <c r="S435" s="694">
        <f t="shared" si="83"/>
        <v>0</v>
      </c>
    </row>
    <row r="436" spans="1:19">
      <c r="A436" s="487"/>
      <c r="B436" s="346"/>
      <c r="C436" s="311">
        <f t="shared" si="74"/>
        <v>1</v>
      </c>
      <c r="D436" s="1119"/>
      <c r="E436" s="311">
        <f t="shared" si="75"/>
        <v>1</v>
      </c>
      <c r="F436" s="1119"/>
      <c r="G436" s="311">
        <f t="shared" si="76"/>
        <v>1</v>
      </c>
      <c r="H436" s="1119"/>
      <c r="I436" s="311">
        <f t="shared" si="77"/>
        <v>1</v>
      </c>
      <c r="J436" s="1119"/>
      <c r="K436" s="311">
        <f t="shared" si="78"/>
        <v>1</v>
      </c>
      <c r="L436" s="1119"/>
      <c r="M436" s="311">
        <f t="shared" si="79"/>
        <v>1</v>
      </c>
      <c r="N436" s="1119"/>
      <c r="O436" s="311">
        <f t="shared" si="80"/>
        <v>1</v>
      </c>
      <c r="P436" s="1119"/>
      <c r="Q436" s="311">
        <f t="shared" si="81"/>
        <v>1</v>
      </c>
      <c r="R436" s="1115">
        <f t="shared" si="82"/>
        <v>0</v>
      </c>
      <c r="S436" s="694">
        <f t="shared" si="83"/>
        <v>0</v>
      </c>
    </row>
    <row r="437" spans="1:19">
      <c r="A437" s="487"/>
      <c r="B437" s="346"/>
      <c r="C437" s="311">
        <f t="shared" si="74"/>
        <v>1</v>
      </c>
      <c r="D437" s="1119"/>
      <c r="E437" s="311">
        <f t="shared" si="75"/>
        <v>1</v>
      </c>
      <c r="F437" s="1119"/>
      <c r="G437" s="311">
        <f t="shared" si="76"/>
        <v>1</v>
      </c>
      <c r="H437" s="1119"/>
      <c r="I437" s="311">
        <f t="shared" si="77"/>
        <v>1</v>
      </c>
      <c r="J437" s="1119"/>
      <c r="K437" s="311">
        <f t="shared" si="78"/>
        <v>1</v>
      </c>
      <c r="L437" s="1119"/>
      <c r="M437" s="311">
        <f t="shared" si="79"/>
        <v>1</v>
      </c>
      <c r="N437" s="1119"/>
      <c r="O437" s="311">
        <f t="shared" si="80"/>
        <v>1</v>
      </c>
      <c r="P437" s="1119"/>
      <c r="Q437" s="311">
        <f t="shared" si="81"/>
        <v>1</v>
      </c>
      <c r="R437" s="1115">
        <f t="shared" si="82"/>
        <v>0</v>
      </c>
      <c r="S437" s="694">
        <f t="shared" si="83"/>
        <v>0</v>
      </c>
    </row>
    <row r="438" spans="1:19">
      <c r="A438" s="487"/>
      <c r="B438" s="346"/>
      <c r="C438" s="311">
        <f t="shared" si="74"/>
        <v>1</v>
      </c>
      <c r="D438" s="1119"/>
      <c r="E438" s="311">
        <f t="shared" si="75"/>
        <v>1</v>
      </c>
      <c r="F438" s="1119"/>
      <c r="G438" s="311">
        <f t="shared" si="76"/>
        <v>1</v>
      </c>
      <c r="H438" s="1119"/>
      <c r="I438" s="311">
        <f t="shared" si="77"/>
        <v>1</v>
      </c>
      <c r="J438" s="1119"/>
      <c r="K438" s="311">
        <f t="shared" si="78"/>
        <v>1</v>
      </c>
      <c r="L438" s="1119"/>
      <c r="M438" s="311">
        <f t="shared" si="79"/>
        <v>1</v>
      </c>
      <c r="N438" s="1119"/>
      <c r="O438" s="311">
        <f t="shared" si="80"/>
        <v>1</v>
      </c>
      <c r="P438" s="1119"/>
      <c r="Q438" s="311">
        <f t="shared" si="81"/>
        <v>1</v>
      </c>
      <c r="R438" s="1115">
        <f t="shared" si="82"/>
        <v>0</v>
      </c>
      <c r="S438" s="694">
        <f t="shared" si="83"/>
        <v>0</v>
      </c>
    </row>
    <row r="439" spans="1:19">
      <c r="A439" s="487"/>
      <c r="B439" s="346"/>
      <c r="C439" s="311">
        <f t="shared" si="74"/>
        <v>1</v>
      </c>
      <c r="D439" s="1119"/>
      <c r="E439" s="311">
        <f t="shared" si="75"/>
        <v>1</v>
      </c>
      <c r="F439" s="1119"/>
      <c r="G439" s="311">
        <f t="shared" si="76"/>
        <v>1</v>
      </c>
      <c r="H439" s="1119"/>
      <c r="I439" s="311">
        <f t="shared" si="77"/>
        <v>1</v>
      </c>
      <c r="J439" s="1119"/>
      <c r="K439" s="311">
        <f t="shared" si="78"/>
        <v>1</v>
      </c>
      <c r="L439" s="1119"/>
      <c r="M439" s="311">
        <f t="shared" si="79"/>
        <v>1</v>
      </c>
      <c r="N439" s="1119"/>
      <c r="O439" s="311">
        <f t="shared" si="80"/>
        <v>1</v>
      </c>
      <c r="P439" s="1119"/>
      <c r="Q439" s="311">
        <f t="shared" si="81"/>
        <v>1</v>
      </c>
      <c r="R439" s="1115">
        <f t="shared" si="82"/>
        <v>0</v>
      </c>
      <c r="S439" s="694">
        <f t="shared" si="83"/>
        <v>0</v>
      </c>
    </row>
    <row r="440" spans="1:19">
      <c r="A440" s="487"/>
      <c r="B440" s="346"/>
      <c r="C440" s="311">
        <f t="shared" si="74"/>
        <v>1</v>
      </c>
      <c r="D440" s="1119"/>
      <c r="E440" s="311">
        <f t="shared" si="75"/>
        <v>1</v>
      </c>
      <c r="F440" s="1119"/>
      <c r="G440" s="311">
        <f t="shared" si="76"/>
        <v>1</v>
      </c>
      <c r="H440" s="1119"/>
      <c r="I440" s="311">
        <f t="shared" si="77"/>
        <v>1</v>
      </c>
      <c r="J440" s="1119"/>
      <c r="K440" s="311">
        <f t="shared" si="78"/>
        <v>1</v>
      </c>
      <c r="L440" s="1119"/>
      <c r="M440" s="311">
        <f t="shared" si="79"/>
        <v>1</v>
      </c>
      <c r="N440" s="1119"/>
      <c r="O440" s="311">
        <f t="shared" si="80"/>
        <v>1</v>
      </c>
      <c r="P440" s="1119"/>
      <c r="Q440" s="311">
        <f t="shared" si="81"/>
        <v>1</v>
      </c>
      <c r="R440" s="1115">
        <f t="shared" si="82"/>
        <v>0</v>
      </c>
      <c r="S440" s="694">
        <f t="shared" si="83"/>
        <v>0</v>
      </c>
    </row>
    <row r="441" spans="1:19">
      <c r="A441" s="487"/>
      <c r="B441" s="346"/>
      <c r="C441" s="311">
        <f t="shared" si="74"/>
        <v>1</v>
      </c>
      <c r="D441" s="1119"/>
      <c r="E441" s="311">
        <f t="shared" si="75"/>
        <v>1</v>
      </c>
      <c r="F441" s="1119"/>
      <c r="G441" s="311">
        <f t="shared" si="76"/>
        <v>1</v>
      </c>
      <c r="H441" s="1119"/>
      <c r="I441" s="311">
        <f t="shared" si="77"/>
        <v>1</v>
      </c>
      <c r="J441" s="1119"/>
      <c r="K441" s="311">
        <f t="shared" si="78"/>
        <v>1</v>
      </c>
      <c r="L441" s="1119"/>
      <c r="M441" s="311">
        <f t="shared" si="79"/>
        <v>1</v>
      </c>
      <c r="N441" s="1119"/>
      <c r="O441" s="311">
        <f t="shared" si="80"/>
        <v>1</v>
      </c>
      <c r="P441" s="1119"/>
      <c r="Q441" s="311">
        <f t="shared" si="81"/>
        <v>1</v>
      </c>
      <c r="R441" s="1115">
        <f t="shared" si="82"/>
        <v>0</v>
      </c>
      <c r="S441" s="694">
        <f t="shared" si="83"/>
        <v>0</v>
      </c>
    </row>
    <row r="442" spans="1:19">
      <c r="A442" s="487"/>
      <c r="B442" s="346"/>
      <c r="C442" s="311">
        <f t="shared" si="74"/>
        <v>1</v>
      </c>
      <c r="D442" s="1119"/>
      <c r="E442" s="311">
        <f t="shared" si="75"/>
        <v>1</v>
      </c>
      <c r="F442" s="1119"/>
      <c r="G442" s="311">
        <f t="shared" si="76"/>
        <v>1</v>
      </c>
      <c r="H442" s="1119"/>
      <c r="I442" s="311">
        <f t="shared" si="77"/>
        <v>1</v>
      </c>
      <c r="J442" s="1119"/>
      <c r="K442" s="311">
        <f t="shared" si="78"/>
        <v>1</v>
      </c>
      <c r="L442" s="1119"/>
      <c r="M442" s="311">
        <f t="shared" si="79"/>
        <v>1</v>
      </c>
      <c r="N442" s="1119"/>
      <c r="O442" s="311">
        <f t="shared" si="80"/>
        <v>1</v>
      </c>
      <c r="P442" s="1119"/>
      <c r="Q442" s="311">
        <f t="shared" si="81"/>
        <v>1</v>
      </c>
      <c r="R442" s="1115">
        <f t="shared" si="82"/>
        <v>0</v>
      </c>
      <c r="S442" s="694">
        <f t="shared" si="83"/>
        <v>0</v>
      </c>
    </row>
    <row r="443" spans="1:19">
      <c r="A443" s="487"/>
      <c r="B443" s="346"/>
      <c r="C443" s="311">
        <f t="shared" si="74"/>
        <v>1</v>
      </c>
      <c r="D443" s="1119"/>
      <c r="E443" s="311">
        <f t="shared" si="75"/>
        <v>1</v>
      </c>
      <c r="F443" s="1119"/>
      <c r="G443" s="311">
        <f t="shared" si="76"/>
        <v>1</v>
      </c>
      <c r="H443" s="1119"/>
      <c r="I443" s="311">
        <f t="shared" si="77"/>
        <v>1</v>
      </c>
      <c r="J443" s="1119"/>
      <c r="K443" s="311">
        <f t="shared" si="78"/>
        <v>1</v>
      </c>
      <c r="L443" s="1119"/>
      <c r="M443" s="311">
        <f t="shared" si="79"/>
        <v>1</v>
      </c>
      <c r="N443" s="1119"/>
      <c r="O443" s="311">
        <f t="shared" si="80"/>
        <v>1</v>
      </c>
      <c r="P443" s="1119"/>
      <c r="Q443" s="311">
        <f t="shared" si="81"/>
        <v>1</v>
      </c>
      <c r="R443" s="1115">
        <f t="shared" si="82"/>
        <v>0</v>
      </c>
      <c r="S443" s="694">
        <f t="shared" si="83"/>
        <v>0</v>
      </c>
    </row>
    <row r="444" spans="1:19">
      <c r="A444" s="487"/>
      <c r="B444" s="346"/>
      <c r="C444" s="311">
        <f t="shared" si="74"/>
        <v>1</v>
      </c>
      <c r="D444" s="1119"/>
      <c r="E444" s="311">
        <f t="shared" si="75"/>
        <v>1</v>
      </c>
      <c r="F444" s="1119"/>
      <c r="G444" s="311">
        <f t="shared" si="76"/>
        <v>1</v>
      </c>
      <c r="H444" s="1119"/>
      <c r="I444" s="311">
        <f t="shared" si="77"/>
        <v>1</v>
      </c>
      <c r="J444" s="1119"/>
      <c r="K444" s="311">
        <f t="shared" si="78"/>
        <v>1</v>
      </c>
      <c r="L444" s="1119"/>
      <c r="M444" s="311">
        <f t="shared" si="79"/>
        <v>1</v>
      </c>
      <c r="N444" s="1119"/>
      <c r="O444" s="311">
        <f t="shared" si="80"/>
        <v>1</v>
      </c>
      <c r="P444" s="1119"/>
      <c r="Q444" s="311">
        <f t="shared" si="81"/>
        <v>1</v>
      </c>
      <c r="R444" s="1115">
        <f t="shared" si="82"/>
        <v>0</v>
      </c>
      <c r="S444" s="694">
        <f t="shared" si="83"/>
        <v>0</v>
      </c>
    </row>
    <row r="445" spans="1:19">
      <c r="A445" s="487"/>
      <c r="B445" s="346"/>
      <c r="C445" s="311">
        <f t="shared" si="74"/>
        <v>1</v>
      </c>
      <c r="D445" s="1119"/>
      <c r="E445" s="311">
        <f t="shared" si="75"/>
        <v>1</v>
      </c>
      <c r="F445" s="1119"/>
      <c r="G445" s="311">
        <f t="shared" si="76"/>
        <v>1</v>
      </c>
      <c r="H445" s="1119"/>
      <c r="I445" s="311">
        <f t="shared" si="77"/>
        <v>1</v>
      </c>
      <c r="J445" s="1119"/>
      <c r="K445" s="311">
        <f t="shared" si="78"/>
        <v>1</v>
      </c>
      <c r="L445" s="1119"/>
      <c r="M445" s="311">
        <f t="shared" si="79"/>
        <v>1</v>
      </c>
      <c r="N445" s="1119"/>
      <c r="O445" s="311">
        <f t="shared" si="80"/>
        <v>1</v>
      </c>
      <c r="P445" s="1119"/>
      <c r="Q445" s="311">
        <f t="shared" si="81"/>
        <v>1</v>
      </c>
      <c r="R445" s="1115">
        <f t="shared" si="82"/>
        <v>0</v>
      </c>
      <c r="S445" s="694">
        <f t="shared" si="83"/>
        <v>0</v>
      </c>
    </row>
    <row r="446" spans="1:19">
      <c r="A446" s="487"/>
      <c r="B446" s="346"/>
      <c r="C446" s="311">
        <f t="shared" si="74"/>
        <v>1</v>
      </c>
      <c r="D446" s="1119"/>
      <c r="E446" s="311">
        <f t="shared" si="75"/>
        <v>1</v>
      </c>
      <c r="F446" s="1119"/>
      <c r="G446" s="311">
        <f t="shared" si="76"/>
        <v>1</v>
      </c>
      <c r="H446" s="1119"/>
      <c r="I446" s="311">
        <f t="shared" si="77"/>
        <v>1</v>
      </c>
      <c r="J446" s="1119"/>
      <c r="K446" s="311">
        <f t="shared" si="78"/>
        <v>1</v>
      </c>
      <c r="L446" s="1119"/>
      <c r="M446" s="311">
        <f t="shared" si="79"/>
        <v>1</v>
      </c>
      <c r="N446" s="1119"/>
      <c r="O446" s="311">
        <f t="shared" si="80"/>
        <v>1</v>
      </c>
      <c r="P446" s="1119"/>
      <c r="Q446" s="311">
        <f t="shared" si="81"/>
        <v>1</v>
      </c>
      <c r="R446" s="1115">
        <f t="shared" si="82"/>
        <v>0</v>
      </c>
      <c r="S446" s="694">
        <f t="shared" si="83"/>
        <v>0</v>
      </c>
    </row>
    <row r="447" spans="1:19">
      <c r="A447" s="487"/>
      <c r="B447" s="346"/>
      <c r="C447" s="311">
        <f t="shared" si="74"/>
        <v>1</v>
      </c>
      <c r="D447" s="1119"/>
      <c r="E447" s="311">
        <f t="shared" si="75"/>
        <v>1</v>
      </c>
      <c r="F447" s="1119"/>
      <c r="G447" s="311">
        <f t="shared" si="76"/>
        <v>1</v>
      </c>
      <c r="H447" s="1119"/>
      <c r="I447" s="311">
        <f t="shared" si="77"/>
        <v>1</v>
      </c>
      <c r="J447" s="1119"/>
      <c r="K447" s="311">
        <f t="shared" si="78"/>
        <v>1</v>
      </c>
      <c r="L447" s="1119"/>
      <c r="M447" s="311">
        <f t="shared" si="79"/>
        <v>1</v>
      </c>
      <c r="N447" s="1119"/>
      <c r="O447" s="311">
        <f t="shared" si="80"/>
        <v>1</v>
      </c>
      <c r="P447" s="1119"/>
      <c r="Q447" s="311">
        <f t="shared" si="81"/>
        <v>1</v>
      </c>
      <c r="R447" s="1115">
        <f t="shared" si="82"/>
        <v>0</v>
      </c>
      <c r="S447" s="694">
        <f t="shared" si="83"/>
        <v>0</v>
      </c>
    </row>
    <row r="448" spans="1:19">
      <c r="A448" s="487"/>
      <c r="B448" s="346"/>
      <c r="C448" s="311">
        <f t="shared" si="74"/>
        <v>1</v>
      </c>
      <c r="D448" s="1119"/>
      <c r="E448" s="311">
        <f t="shared" si="75"/>
        <v>1</v>
      </c>
      <c r="F448" s="1119"/>
      <c r="G448" s="311">
        <f t="shared" si="76"/>
        <v>1</v>
      </c>
      <c r="H448" s="1119"/>
      <c r="I448" s="311">
        <f t="shared" si="77"/>
        <v>1</v>
      </c>
      <c r="J448" s="1119"/>
      <c r="K448" s="311">
        <f t="shared" si="78"/>
        <v>1</v>
      </c>
      <c r="L448" s="1119"/>
      <c r="M448" s="311">
        <f t="shared" si="79"/>
        <v>1</v>
      </c>
      <c r="N448" s="1119"/>
      <c r="O448" s="311">
        <f t="shared" si="80"/>
        <v>1</v>
      </c>
      <c r="P448" s="1119"/>
      <c r="Q448" s="311">
        <f t="shared" si="81"/>
        <v>1</v>
      </c>
      <c r="R448" s="1115">
        <f t="shared" si="82"/>
        <v>0</v>
      </c>
      <c r="S448" s="694">
        <f t="shared" si="83"/>
        <v>0</v>
      </c>
    </row>
    <row r="449" spans="1:19">
      <c r="A449" s="487"/>
      <c r="B449" s="346"/>
      <c r="C449" s="311">
        <f t="shared" si="74"/>
        <v>1</v>
      </c>
      <c r="D449" s="1119"/>
      <c r="E449" s="311">
        <f t="shared" si="75"/>
        <v>1</v>
      </c>
      <c r="F449" s="1119"/>
      <c r="G449" s="311">
        <f t="shared" si="76"/>
        <v>1</v>
      </c>
      <c r="H449" s="1119"/>
      <c r="I449" s="311">
        <f t="shared" si="77"/>
        <v>1</v>
      </c>
      <c r="J449" s="1119"/>
      <c r="K449" s="311">
        <f t="shared" si="78"/>
        <v>1</v>
      </c>
      <c r="L449" s="1119"/>
      <c r="M449" s="311">
        <f t="shared" si="79"/>
        <v>1</v>
      </c>
      <c r="N449" s="1119"/>
      <c r="O449" s="311">
        <f t="shared" si="80"/>
        <v>1</v>
      </c>
      <c r="P449" s="1119"/>
      <c r="Q449" s="311">
        <f t="shared" si="81"/>
        <v>1</v>
      </c>
      <c r="R449" s="1115">
        <f t="shared" si="82"/>
        <v>0</v>
      </c>
      <c r="S449" s="694">
        <f t="shared" si="83"/>
        <v>0</v>
      </c>
    </row>
    <row r="450" spans="1:19">
      <c r="A450" s="487"/>
      <c r="B450" s="346"/>
      <c r="C450" s="311">
        <f t="shared" si="74"/>
        <v>1</v>
      </c>
      <c r="D450" s="1119"/>
      <c r="E450" s="311">
        <f t="shared" si="75"/>
        <v>1</v>
      </c>
      <c r="F450" s="1119"/>
      <c r="G450" s="311">
        <f t="shared" si="76"/>
        <v>1</v>
      </c>
      <c r="H450" s="1119"/>
      <c r="I450" s="311">
        <f t="shared" si="77"/>
        <v>1</v>
      </c>
      <c r="J450" s="1119"/>
      <c r="K450" s="311">
        <f t="shared" si="78"/>
        <v>1</v>
      </c>
      <c r="L450" s="1119"/>
      <c r="M450" s="311">
        <f t="shared" si="79"/>
        <v>1</v>
      </c>
      <c r="N450" s="1119"/>
      <c r="O450" s="311">
        <f t="shared" si="80"/>
        <v>1</v>
      </c>
      <c r="P450" s="1119"/>
      <c r="Q450" s="311">
        <f t="shared" si="81"/>
        <v>1</v>
      </c>
      <c r="R450" s="1115">
        <f t="shared" si="82"/>
        <v>0</v>
      </c>
      <c r="S450" s="694">
        <f t="shared" si="83"/>
        <v>0</v>
      </c>
    </row>
    <row r="451" spans="1:19">
      <c r="A451" s="487"/>
      <c r="B451" s="346"/>
      <c r="C451" s="311">
        <f t="shared" si="74"/>
        <v>1</v>
      </c>
      <c r="D451" s="1119"/>
      <c r="E451" s="311">
        <f t="shared" si="75"/>
        <v>1</v>
      </c>
      <c r="F451" s="1119"/>
      <c r="G451" s="311">
        <f t="shared" si="76"/>
        <v>1</v>
      </c>
      <c r="H451" s="1119"/>
      <c r="I451" s="311">
        <f t="shared" si="77"/>
        <v>1</v>
      </c>
      <c r="J451" s="1119"/>
      <c r="K451" s="311">
        <f t="shared" si="78"/>
        <v>1</v>
      </c>
      <c r="L451" s="1119"/>
      <c r="M451" s="311">
        <f t="shared" si="79"/>
        <v>1</v>
      </c>
      <c r="N451" s="1119"/>
      <c r="O451" s="311">
        <f t="shared" si="80"/>
        <v>1</v>
      </c>
      <c r="P451" s="1119"/>
      <c r="Q451" s="311">
        <f t="shared" si="81"/>
        <v>1</v>
      </c>
      <c r="R451" s="1115">
        <f t="shared" si="82"/>
        <v>0</v>
      </c>
      <c r="S451" s="694">
        <f t="shared" si="83"/>
        <v>0</v>
      </c>
    </row>
    <row r="452" spans="1:19">
      <c r="A452" s="487"/>
      <c r="B452" s="346"/>
      <c r="C452" s="311">
        <f t="shared" si="74"/>
        <v>1</v>
      </c>
      <c r="D452" s="1119"/>
      <c r="E452" s="311">
        <f t="shared" si="75"/>
        <v>1</v>
      </c>
      <c r="F452" s="1119"/>
      <c r="G452" s="311">
        <f t="shared" si="76"/>
        <v>1</v>
      </c>
      <c r="H452" s="1119"/>
      <c r="I452" s="311">
        <f t="shared" si="77"/>
        <v>1</v>
      </c>
      <c r="J452" s="1119"/>
      <c r="K452" s="311">
        <f t="shared" si="78"/>
        <v>1</v>
      </c>
      <c r="L452" s="1119"/>
      <c r="M452" s="311">
        <f t="shared" si="79"/>
        <v>1</v>
      </c>
      <c r="N452" s="1119"/>
      <c r="O452" s="311">
        <f t="shared" si="80"/>
        <v>1</v>
      </c>
      <c r="P452" s="1119"/>
      <c r="Q452" s="311">
        <f t="shared" si="81"/>
        <v>1</v>
      </c>
      <c r="R452" s="1115">
        <f t="shared" si="82"/>
        <v>0</v>
      </c>
      <c r="S452" s="694">
        <f t="shared" si="83"/>
        <v>0</v>
      </c>
    </row>
    <row r="453" spans="1:19">
      <c r="A453" s="487"/>
      <c r="B453" s="346"/>
      <c r="C453" s="311">
        <f t="shared" si="74"/>
        <v>1</v>
      </c>
      <c r="D453" s="1119"/>
      <c r="E453" s="311">
        <f t="shared" si="75"/>
        <v>1</v>
      </c>
      <c r="F453" s="1119"/>
      <c r="G453" s="311">
        <f t="shared" si="76"/>
        <v>1</v>
      </c>
      <c r="H453" s="1119"/>
      <c r="I453" s="311">
        <f t="shared" si="77"/>
        <v>1</v>
      </c>
      <c r="J453" s="1119"/>
      <c r="K453" s="311">
        <f t="shared" si="78"/>
        <v>1</v>
      </c>
      <c r="L453" s="1119"/>
      <c r="M453" s="311">
        <f t="shared" si="79"/>
        <v>1</v>
      </c>
      <c r="N453" s="1119"/>
      <c r="O453" s="311">
        <f t="shared" si="80"/>
        <v>1</v>
      </c>
      <c r="P453" s="1119"/>
      <c r="Q453" s="311">
        <f t="shared" si="81"/>
        <v>1</v>
      </c>
      <c r="R453" s="1115">
        <f t="shared" si="82"/>
        <v>0</v>
      </c>
      <c r="S453" s="694">
        <f t="shared" si="83"/>
        <v>0</v>
      </c>
    </row>
    <row r="454" spans="1:19">
      <c r="A454" s="487"/>
      <c r="B454" s="346"/>
      <c r="C454" s="311">
        <f t="shared" si="74"/>
        <v>1</v>
      </c>
      <c r="D454" s="1119"/>
      <c r="E454" s="311">
        <f t="shared" si="75"/>
        <v>1</v>
      </c>
      <c r="F454" s="1119"/>
      <c r="G454" s="311">
        <f t="shared" si="76"/>
        <v>1</v>
      </c>
      <c r="H454" s="1119"/>
      <c r="I454" s="311">
        <f t="shared" si="77"/>
        <v>1</v>
      </c>
      <c r="J454" s="1119"/>
      <c r="K454" s="311">
        <f t="shared" si="78"/>
        <v>1</v>
      </c>
      <c r="L454" s="1119"/>
      <c r="M454" s="311">
        <f t="shared" si="79"/>
        <v>1</v>
      </c>
      <c r="N454" s="1119"/>
      <c r="O454" s="311">
        <f t="shared" si="80"/>
        <v>1</v>
      </c>
      <c r="P454" s="1119"/>
      <c r="Q454" s="311">
        <f t="shared" si="81"/>
        <v>1</v>
      </c>
      <c r="R454" s="1115">
        <f t="shared" si="82"/>
        <v>0</v>
      </c>
      <c r="S454" s="694">
        <f t="shared" si="83"/>
        <v>0</v>
      </c>
    </row>
    <row r="455" spans="1:19">
      <c r="A455" s="487"/>
      <c r="B455" s="346"/>
      <c r="C455" s="311">
        <f t="shared" si="74"/>
        <v>1</v>
      </c>
      <c r="D455" s="1119"/>
      <c r="E455" s="311">
        <f t="shared" si="75"/>
        <v>1</v>
      </c>
      <c r="F455" s="1119"/>
      <c r="G455" s="311">
        <f t="shared" si="76"/>
        <v>1</v>
      </c>
      <c r="H455" s="1119"/>
      <c r="I455" s="311">
        <f t="shared" si="77"/>
        <v>1</v>
      </c>
      <c r="J455" s="1119"/>
      <c r="K455" s="311">
        <f t="shared" si="78"/>
        <v>1</v>
      </c>
      <c r="L455" s="1119"/>
      <c r="M455" s="311">
        <f t="shared" si="79"/>
        <v>1</v>
      </c>
      <c r="N455" s="1119"/>
      <c r="O455" s="311">
        <f t="shared" si="80"/>
        <v>1</v>
      </c>
      <c r="P455" s="1119"/>
      <c r="Q455" s="311">
        <f t="shared" si="81"/>
        <v>1</v>
      </c>
      <c r="R455" s="1115">
        <f t="shared" si="82"/>
        <v>0</v>
      </c>
      <c r="S455" s="694">
        <f t="shared" si="83"/>
        <v>0</v>
      </c>
    </row>
    <row r="456" spans="1:19">
      <c r="A456" s="487"/>
      <c r="B456" s="346"/>
      <c r="C456" s="311">
        <f t="shared" si="74"/>
        <v>1</v>
      </c>
      <c r="D456" s="1119"/>
      <c r="E456" s="311">
        <f t="shared" si="75"/>
        <v>1</v>
      </c>
      <c r="F456" s="1119"/>
      <c r="G456" s="311">
        <f t="shared" si="76"/>
        <v>1</v>
      </c>
      <c r="H456" s="1119"/>
      <c r="I456" s="311">
        <f t="shared" si="77"/>
        <v>1</v>
      </c>
      <c r="J456" s="1119"/>
      <c r="K456" s="311">
        <f t="shared" si="78"/>
        <v>1</v>
      </c>
      <c r="L456" s="1119"/>
      <c r="M456" s="311">
        <f t="shared" si="79"/>
        <v>1</v>
      </c>
      <c r="N456" s="1119"/>
      <c r="O456" s="311">
        <f t="shared" si="80"/>
        <v>1</v>
      </c>
      <c r="P456" s="1119"/>
      <c r="Q456" s="311">
        <f t="shared" si="81"/>
        <v>1</v>
      </c>
      <c r="R456" s="1115">
        <f t="shared" si="82"/>
        <v>0</v>
      </c>
      <c r="S456" s="694">
        <f t="shared" si="83"/>
        <v>0</v>
      </c>
    </row>
    <row r="457" spans="1:19">
      <c r="A457" s="487"/>
      <c r="B457" s="346"/>
      <c r="C457" s="311">
        <f t="shared" si="74"/>
        <v>1</v>
      </c>
      <c r="D457" s="1119"/>
      <c r="E457" s="311">
        <f t="shared" si="75"/>
        <v>1</v>
      </c>
      <c r="F457" s="1119"/>
      <c r="G457" s="311">
        <f t="shared" si="76"/>
        <v>1</v>
      </c>
      <c r="H457" s="1119"/>
      <c r="I457" s="311">
        <f t="shared" si="77"/>
        <v>1</v>
      </c>
      <c r="J457" s="1119"/>
      <c r="K457" s="311">
        <f t="shared" si="78"/>
        <v>1</v>
      </c>
      <c r="L457" s="1119"/>
      <c r="M457" s="311">
        <f t="shared" si="79"/>
        <v>1</v>
      </c>
      <c r="N457" s="1119"/>
      <c r="O457" s="311">
        <f t="shared" si="80"/>
        <v>1</v>
      </c>
      <c r="P457" s="1119"/>
      <c r="Q457" s="311">
        <f t="shared" si="81"/>
        <v>1</v>
      </c>
      <c r="R457" s="1115">
        <f t="shared" si="82"/>
        <v>0</v>
      </c>
      <c r="S457" s="694">
        <f t="shared" si="83"/>
        <v>0</v>
      </c>
    </row>
    <row r="458" spans="1:19">
      <c r="A458" s="487"/>
      <c r="B458" s="346"/>
      <c r="C458" s="311">
        <f t="shared" si="74"/>
        <v>1</v>
      </c>
      <c r="D458" s="1119"/>
      <c r="E458" s="311">
        <f t="shared" si="75"/>
        <v>1</v>
      </c>
      <c r="F458" s="1119"/>
      <c r="G458" s="311">
        <f t="shared" si="76"/>
        <v>1</v>
      </c>
      <c r="H458" s="1119"/>
      <c r="I458" s="311">
        <f t="shared" si="77"/>
        <v>1</v>
      </c>
      <c r="J458" s="1119"/>
      <c r="K458" s="311">
        <f t="shared" si="78"/>
        <v>1</v>
      </c>
      <c r="L458" s="1119"/>
      <c r="M458" s="311">
        <f t="shared" si="79"/>
        <v>1</v>
      </c>
      <c r="N458" s="1119"/>
      <c r="O458" s="311">
        <f t="shared" si="80"/>
        <v>1</v>
      </c>
      <c r="P458" s="1119"/>
      <c r="Q458" s="311">
        <f t="shared" si="81"/>
        <v>1</v>
      </c>
      <c r="R458" s="1115">
        <f t="shared" si="82"/>
        <v>0</v>
      </c>
      <c r="S458" s="694">
        <f t="shared" si="83"/>
        <v>0</v>
      </c>
    </row>
    <row r="459" spans="1:19">
      <c r="A459" s="487"/>
      <c r="B459" s="346"/>
      <c r="C459" s="311">
        <f t="shared" si="74"/>
        <v>1</v>
      </c>
      <c r="D459" s="1119"/>
      <c r="E459" s="311">
        <f t="shared" si="75"/>
        <v>1</v>
      </c>
      <c r="F459" s="1119"/>
      <c r="G459" s="311">
        <f t="shared" si="76"/>
        <v>1</v>
      </c>
      <c r="H459" s="1119"/>
      <c r="I459" s="311">
        <f t="shared" si="77"/>
        <v>1</v>
      </c>
      <c r="J459" s="1119"/>
      <c r="K459" s="311">
        <f t="shared" si="78"/>
        <v>1</v>
      </c>
      <c r="L459" s="1119"/>
      <c r="M459" s="311">
        <f t="shared" si="79"/>
        <v>1</v>
      </c>
      <c r="N459" s="1119"/>
      <c r="O459" s="311">
        <f t="shared" si="80"/>
        <v>1</v>
      </c>
      <c r="P459" s="1119"/>
      <c r="Q459" s="311">
        <f t="shared" si="81"/>
        <v>1</v>
      </c>
      <c r="R459" s="1115">
        <f t="shared" si="82"/>
        <v>0</v>
      </c>
      <c r="S459" s="694">
        <f t="shared" si="83"/>
        <v>0</v>
      </c>
    </row>
    <row r="460" spans="1:19">
      <c r="A460" s="487"/>
      <c r="B460" s="346"/>
      <c r="C460" s="311">
        <f t="shared" si="74"/>
        <v>1</v>
      </c>
      <c r="D460" s="1119"/>
      <c r="E460" s="311">
        <f t="shared" si="75"/>
        <v>1</v>
      </c>
      <c r="F460" s="1119"/>
      <c r="G460" s="311">
        <f t="shared" si="76"/>
        <v>1</v>
      </c>
      <c r="H460" s="1119"/>
      <c r="I460" s="311">
        <f t="shared" si="77"/>
        <v>1</v>
      </c>
      <c r="J460" s="1119"/>
      <c r="K460" s="311">
        <f t="shared" si="78"/>
        <v>1</v>
      </c>
      <c r="L460" s="1119"/>
      <c r="M460" s="311">
        <f t="shared" si="79"/>
        <v>1</v>
      </c>
      <c r="N460" s="1119"/>
      <c r="O460" s="311">
        <f t="shared" si="80"/>
        <v>1</v>
      </c>
      <c r="P460" s="1119"/>
      <c r="Q460" s="311">
        <f t="shared" si="81"/>
        <v>1</v>
      </c>
      <c r="R460" s="1115">
        <f t="shared" si="82"/>
        <v>0</v>
      </c>
      <c r="S460" s="694">
        <f t="shared" si="83"/>
        <v>0</v>
      </c>
    </row>
    <row r="461" spans="1:19">
      <c r="A461" s="487"/>
      <c r="B461" s="346"/>
      <c r="C461" s="311">
        <f t="shared" si="74"/>
        <v>1</v>
      </c>
      <c r="D461" s="1119"/>
      <c r="E461" s="311">
        <f t="shared" si="75"/>
        <v>1</v>
      </c>
      <c r="F461" s="1119"/>
      <c r="G461" s="311">
        <f t="shared" si="76"/>
        <v>1</v>
      </c>
      <c r="H461" s="1119"/>
      <c r="I461" s="311">
        <f t="shared" si="77"/>
        <v>1</v>
      </c>
      <c r="J461" s="1119"/>
      <c r="K461" s="311">
        <f t="shared" si="78"/>
        <v>1</v>
      </c>
      <c r="L461" s="1119"/>
      <c r="M461" s="311">
        <f t="shared" si="79"/>
        <v>1</v>
      </c>
      <c r="N461" s="1119"/>
      <c r="O461" s="311">
        <f t="shared" si="80"/>
        <v>1</v>
      </c>
      <c r="P461" s="1119"/>
      <c r="Q461" s="311">
        <f t="shared" si="81"/>
        <v>1</v>
      </c>
      <c r="R461" s="1115">
        <f t="shared" si="82"/>
        <v>0</v>
      </c>
      <c r="S461" s="694">
        <f t="shared" si="83"/>
        <v>0</v>
      </c>
    </row>
    <row r="462" spans="1:19">
      <c r="A462" s="487"/>
      <c r="B462" s="346"/>
      <c r="C462" s="311">
        <f t="shared" si="74"/>
        <v>1</v>
      </c>
      <c r="D462" s="1119"/>
      <c r="E462" s="311">
        <f t="shared" si="75"/>
        <v>1</v>
      </c>
      <c r="F462" s="1119"/>
      <c r="G462" s="311">
        <f t="shared" si="76"/>
        <v>1</v>
      </c>
      <c r="H462" s="1119"/>
      <c r="I462" s="311">
        <f t="shared" si="77"/>
        <v>1</v>
      </c>
      <c r="J462" s="1119"/>
      <c r="K462" s="311">
        <f t="shared" si="78"/>
        <v>1</v>
      </c>
      <c r="L462" s="1119"/>
      <c r="M462" s="311">
        <f t="shared" si="79"/>
        <v>1</v>
      </c>
      <c r="N462" s="1119"/>
      <c r="O462" s="311">
        <f t="shared" si="80"/>
        <v>1</v>
      </c>
      <c r="P462" s="1119"/>
      <c r="Q462" s="311">
        <f t="shared" si="81"/>
        <v>1</v>
      </c>
      <c r="R462" s="1115">
        <f t="shared" si="82"/>
        <v>0</v>
      </c>
      <c r="S462" s="694">
        <f t="shared" si="83"/>
        <v>0</v>
      </c>
    </row>
    <row r="463" spans="1:19">
      <c r="A463" s="487"/>
      <c r="B463" s="346"/>
      <c r="C463" s="311">
        <f t="shared" si="74"/>
        <v>1</v>
      </c>
      <c r="D463" s="1119"/>
      <c r="E463" s="311">
        <f t="shared" si="75"/>
        <v>1</v>
      </c>
      <c r="F463" s="1119"/>
      <c r="G463" s="311">
        <f t="shared" si="76"/>
        <v>1</v>
      </c>
      <c r="H463" s="1119"/>
      <c r="I463" s="311">
        <f t="shared" si="77"/>
        <v>1</v>
      </c>
      <c r="J463" s="1119"/>
      <c r="K463" s="311">
        <f t="shared" si="78"/>
        <v>1</v>
      </c>
      <c r="L463" s="1119"/>
      <c r="M463" s="311">
        <f t="shared" si="79"/>
        <v>1</v>
      </c>
      <c r="N463" s="1119"/>
      <c r="O463" s="311">
        <f t="shared" si="80"/>
        <v>1</v>
      </c>
      <c r="P463" s="1119"/>
      <c r="Q463" s="311">
        <f t="shared" si="81"/>
        <v>1</v>
      </c>
      <c r="R463" s="1115">
        <f t="shared" si="82"/>
        <v>0</v>
      </c>
      <c r="S463" s="694">
        <f t="shared" si="83"/>
        <v>0</v>
      </c>
    </row>
    <row r="464" spans="1:19">
      <c r="A464" s="487"/>
      <c r="B464" s="346"/>
      <c r="C464" s="311">
        <f t="shared" si="74"/>
        <v>1</v>
      </c>
      <c r="D464" s="1119"/>
      <c r="E464" s="311">
        <f t="shared" si="75"/>
        <v>1</v>
      </c>
      <c r="F464" s="1119"/>
      <c r="G464" s="311">
        <f t="shared" si="76"/>
        <v>1</v>
      </c>
      <c r="H464" s="1119"/>
      <c r="I464" s="311">
        <f t="shared" si="77"/>
        <v>1</v>
      </c>
      <c r="J464" s="1119"/>
      <c r="K464" s="311">
        <f t="shared" si="78"/>
        <v>1</v>
      </c>
      <c r="L464" s="1119"/>
      <c r="M464" s="311">
        <f t="shared" si="79"/>
        <v>1</v>
      </c>
      <c r="N464" s="1119"/>
      <c r="O464" s="311">
        <f t="shared" si="80"/>
        <v>1</v>
      </c>
      <c r="P464" s="1119"/>
      <c r="Q464" s="311">
        <f t="shared" si="81"/>
        <v>1</v>
      </c>
      <c r="R464" s="1115">
        <f t="shared" si="82"/>
        <v>0</v>
      </c>
      <c r="S464" s="694">
        <f t="shared" si="83"/>
        <v>0</v>
      </c>
    </row>
    <row r="465" spans="1:19">
      <c r="A465" s="487"/>
      <c r="B465" s="346"/>
      <c r="C465" s="311">
        <f t="shared" si="74"/>
        <v>1</v>
      </c>
      <c r="D465" s="1119"/>
      <c r="E465" s="311">
        <f t="shared" si="75"/>
        <v>1</v>
      </c>
      <c r="F465" s="1119"/>
      <c r="G465" s="311">
        <f t="shared" si="76"/>
        <v>1</v>
      </c>
      <c r="H465" s="1119"/>
      <c r="I465" s="311">
        <f t="shared" si="77"/>
        <v>1</v>
      </c>
      <c r="J465" s="1119"/>
      <c r="K465" s="311">
        <f t="shared" si="78"/>
        <v>1</v>
      </c>
      <c r="L465" s="1119"/>
      <c r="M465" s="311">
        <f t="shared" si="79"/>
        <v>1</v>
      </c>
      <c r="N465" s="1119"/>
      <c r="O465" s="311">
        <f t="shared" si="80"/>
        <v>1</v>
      </c>
      <c r="P465" s="1119"/>
      <c r="Q465" s="311">
        <f t="shared" si="81"/>
        <v>1</v>
      </c>
      <c r="R465" s="1115">
        <f t="shared" si="82"/>
        <v>0</v>
      </c>
      <c r="S465" s="694">
        <f t="shared" si="83"/>
        <v>0</v>
      </c>
    </row>
    <row r="466" spans="1:19">
      <c r="A466" s="487"/>
      <c r="B466" s="346"/>
      <c r="C466" s="311">
        <f t="shared" si="74"/>
        <v>1</v>
      </c>
      <c r="D466" s="1119"/>
      <c r="E466" s="311">
        <f t="shared" si="75"/>
        <v>1</v>
      </c>
      <c r="F466" s="1119"/>
      <c r="G466" s="311">
        <f t="shared" si="76"/>
        <v>1</v>
      </c>
      <c r="H466" s="1119"/>
      <c r="I466" s="311">
        <f t="shared" si="77"/>
        <v>1</v>
      </c>
      <c r="J466" s="1119"/>
      <c r="K466" s="311">
        <f t="shared" si="78"/>
        <v>1</v>
      </c>
      <c r="L466" s="1119"/>
      <c r="M466" s="311">
        <f t="shared" si="79"/>
        <v>1</v>
      </c>
      <c r="N466" s="1119"/>
      <c r="O466" s="311">
        <f t="shared" si="80"/>
        <v>1</v>
      </c>
      <c r="P466" s="1119"/>
      <c r="Q466" s="311">
        <f t="shared" si="81"/>
        <v>1</v>
      </c>
      <c r="R466" s="1115">
        <f t="shared" si="82"/>
        <v>0</v>
      </c>
      <c r="S466" s="694">
        <f t="shared" si="83"/>
        <v>0</v>
      </c>
    </row>
    <row r="467" spans="1:19">
      <c r="A467" s="487"/>
      <c r="B467" s="346"/>
      <c r="C467" s="311">
        <f t="shared" si="74"/>
        <v>1</v>
      </c>
      <c r="D467" s="1119"/>
      <c r="E467" s="311">
        <f t="shared" si="75"/>
        <v>1</v>
      </c>
      <c r="F467" s="1119"/>
      <c r="G467" s="311">
        <f t="shared" si="76"/>
        <v>1</v>
      </c>
      <c r="H467" s="1119"/>
      <c r="I467" s="311">
        <f t="shared" si="77"/>
        <v>1</v>
      </c>
      <c r="J467" s="1119"/>
      <c r="K467" s="311">
        <f t="shared" si="78"/>
        <v>1</v>
      </c>
      <c r="L467" s="1119"/>
      <c r="M467" s="311">
        <f t="shared" si="79"/>
        <v>1</v>
      </c>
      <c r="N467" s="1119"/>
      <c r="O467" s="311">
        <f t="shared" si="80"/>
        <v>1</v>
      </c>
      <c r="P467" s="1119"/>
      <c r="Q467" s="311">
        <f t="shared" si="81"/>
        <v>1</v>
      </c>
      <c r="R467" s="1115">
        <f t="shared" si="82"/>
        <v>0</v>
      </c>
      <c r="S467" s="694">
        <f t="shared" si="83"/>
        <v>0</v>
      </c>
    </row>
    <row r="468" spans="1:19">
      <c r="A468" s="487"/>
      <c r="B468" s="346"/>
      <c r="C468" s="311">
        <f t="shared" si="74"/>
        <v>1</v>
      </c>
      <c r="D468" s="1119"/>
      <c r="E468" s="311">
        <f t="shared" si="75"/>
        <v>1</v>
      </c>
      <c r="F468" s="1119"/>
      <c r="G468" s="311">
        <f t="shared" si="76"/>
        <v>1</v>
      </c>
      <c r="H468" s="1119"/>
      <c r="I468" s="311">
        <f t="shared" si="77"/>
        <v>1</v>
      </c>
      <c r="J468" s="1119"/>
      <c r="K468" s="311">
        <f t="shared" si="78"/>
        <v>1</v>
      </c>
      <c r="L468" s="1119"/>
      <c r="M468" s="311">
        <f t="shared" si="79"/>
        <v>1</v>
      </c>
      <c r="N468" s="1119"/>
      <c r="O468" s="311">
        <f t="shared" si="80"/>
        <v>1</v>
      </c>
      <c r="P468" s="1119"/>
      <c r="Q468" s="311">
        <f t="shared" si="81"/>
        <v>1</v>
      </c>
      <c r="R468" s="1115">
        <f t="shared" si="82"/>
        <v>0</v>
      </c>
      <c r="S468" s="694">
        <f t="shared" ref="S468:S497" si="84">ROUND(R468*B468/10000,0)</f>
        <v>0</v>
      </c>
    </row>
    <row r="469" spans="1:19">
      <c r="A469" s="487"/>
      <c r="B469" s="346"/>
      <c r="C469" s="311">
        <f t="shared" si="74"/>
        <v>1</v>
      </c>
      <c r="D469" s="1119"/>
      <c r="E469" s="311">
        <f t="shared" si="75"/>
        <v>1</v>
      </c>
      <c r="F469" s="1119"/>
      <c r="G469" s="311">
        <f t="shared" si="76"/>
        <v>1</v>
      </c>
      <c r="H469" s="1119"/>
      <c r="I469" s="311">
        <f t="shared" si="77"/>
        <v>1</v>
      </c>
      <c r="J469" s="1119"/>
      <c r="K469" s="311">
        <f t="shared" si="78"/>
        <v>1</v>
      </c>
      <c r="L469" s="1119"/>
      <c r="M469" s="311">
        <f t="shared" si="79"/>
        <v>1</v>
      </c>
      <c r="N469" s="1119"/>
      <c r="O469" s="311">
        <f t="shared" si="80"/>
        <v>1</v>
      </c>
      <c r="P469" s="1119"/>
      <c r="Q469" s="311">
        <f t="shared" si="81"/>
        <v>1</v>
      </c>
      <c r="R469" s="1115">
        <f t="shared" si="82"/>
        <v>0</v>
      </c>
      <c r="S469" s="694">
        <f t="shared" si="84"/>
        <v>0</v>
      </c>
    </row>
    <row r="470" spans="1:19">
      <c r="A470" s="487"/>
      <c r="B470" s="346"/>
      <c r="C470" s="311">
        <f t="shared" si="74"/>
        <v>1</v>
      </c>
      <c r="D470" s="1119"/>
      <c r="E470" s="311">
        <f t="shared" si="75"/>
        <v>1</v>
      </c>
      <c r="F470" s="1119"/>
      <c r="G470" s="311">
        <f t="shared" si="76"/>
        <v>1</v>
      </c>
      <c r="H470" s="1119"/>
      <c r="I470" s="311">
        <f t="shared" si="77"/>
        <v>1</v>
      </c>
      <c r="J470" s="1119"/>
      <c r="K470" s="311">
        <f t="shared" si="78"/>
        <v>1</v>
      </c>
      <c r="L470" s="1119"/>
      <c r="M470" s="311">
        <f t="shared" si="79"/>
        <v>1</v>
      </c>
      <c r="N470" s="1119"/>
      <c r="O470" s="311">
        <f t="shared" si="80"/>
        <v>1</v>
      </c>
      <c r="P470" s="1119"/>
      <c r="Q470" s="311">
        <f t="shared" si="81"/>
        <v>1</v>
      </c>
      <c r="R470" s="1115">
        <f t="shared" si="82"/>
        <v>0</v>
      </c>
      <c r="S470" s="694">
        <f t="shared" si="84"/>
        <v>0</v>
      </c>
    </row>
    <row r="471" spans="1:19">
      <c r="A471" s="487"/>
      <c r="B471" s="346"/>
      <c r="C471" s="311">
        <f t="shared" si="74"/>
        <v>1</v>
      </c>
      <c r="D471" s="1119"/>
      <c r="E471" s="311">
        <f t="shared" si="75"/>
        <v>1</v>
      </c>
      <c r="F471" s="1119"/>
      <c r="G471" s="311">
        <f t="shared" si="76"/>
        <v>1</v>
      </c>
      <c r="H471" s="1119"/>
      <c r="I471" s="311">
        <f t="shared" si="77"/>
        <v>1</v>
      </c>
      <c r="J471" s="1119"/>
      <c r="K471" s="311">
        <f t="shared" si="78"/>
        <v>1</v>
      </c>
      <c r="L471" s="1119"/>
      <c r="M471" s="311">
        <f t="shared" si="79"/>
        <v>1</v>
      </c>
      <c r="N471" s="1119"/>
      <c r="O471" s="311">
        <f t="shared" si="80"/>
        <v>1</v>
      </c>
      <c r="P471" s="1119"/>
      <c r="Q471" s="311">
        <f t="shared" si="81"/>
        <v>1</v>
      </c>
      <c r="R471" s="1115">
        <f t="shared" si="82"/>
        <v>0</v>
      </c>
      <c r="S471" s="694">
        <f t="shared" si="84"/>
        <v>0</v>
      </c>
    </row>
    <row r="472" spans="1:19">
      <c r="A472" s="487"/>
      <c r="B472" s="346"/>
      <c r="C472" s="311">
        <f t="shared" si="74"/>
        <v>1</v>
      </c>
      <c r="D472" s="1119"/>
      <c r="E472" s="311">
        <f t="shared" si="75"/>
        <v>1</v>
      </c>
      <c r="F472" s="1119"/>
      <c r="G472" s="311">
        <f t="shared" si="76"/>
        <v>1</v>
      </c>
      <c r="H472" s="1119"/>
      <c r="I472" s="311">
        <f t="shared" si="77"/>
        <v>1</v>
      </c>
      <c r="J472" s="1119"/>
      <c r="K472" s="311">
        <f t="shared" si="78"/>
        <v>1</v>
      </c>
      <c r="L472" s="1119"/>
      <c r="M472" s="311">
        <f t="shared" si="79"/>
        <v>1</v>
      </c>
      <c r="N472" s="1119"/>
      <c r="O472" s="311">
        <f t="shared" si="80"/>
        <v>1</v>
      </c>
      <c r="P472" s="1119"/>
      <c r="Q472" s="311">
        <f t="shared" si="81"/>
        <v>1</v>
      </c>
      <c r="R472" s="1115">
        <f t="shared" si="82"/>
        <v>0</v>
      </c>
      <c r="S472" s="694">
        <f t="shared" si="84"/>
        <v>0</v>
      </c>
    </row>
    <row r="473" spans="1:19">
      <c r="A473" s="487"/>
      <c r="B473" s="346"/>
      <c r="C473" s="311">
        <f t="shared" si="74"/>
        <v>1</v>
      </c>
      <c r="D473" s="1119"/>
      <c r="E473" s="311">
        <f t="shared" si="75"/>
        <v>1</v>
      </c>
      <c r="F473" s="1119"/>
      <c r="G473" s="311">
        <f t="shared" si="76"/>
        <v>1</v>
      </c>
      <c r="H473" s="1119"/>
      <c r="I473" s="311">
        <f t="shared" si="77"/>
        <v>1</v>
      </c>
      <c r="J473" s="1119"/>
      <c r="K473" s="311">
        <f t="shared" si="78"/>
        <v>1</v>
      </c>
      <c r="L473" s="1119"/>
      <c r="M473" s="311">
        <f t="shared" si="79"/>
        <v>1</v>
      </c>
      <c r="N473" s="1119"/>
      <c r="O473" s="311">
        <f t="shared" si="80"/>
        <v>1</v>
      </c>
      <c r="P473" s="1119"/>
      <c r="Q473" s="311">
        <f t="shared" si="81"/>
        <v>1</v>
      </c>
      <c r="R473" s="1115">
        <f t="shared" si="82"/>
        <v>0</v>
      </c>
      <c r="S473" s="694">
        <f t="shared" si="84"/>
        <v>0</v>
      </c>
    </row>
    <row r="474" spans="1:19">
      <c r="A474" s="487"/>
      <c r="B474" s="346"/>
      <c r="C474" s="311">
        <f t="shared" ref="C474:C524" si="85">IF(B474="",1,(LOOKUP(B474,$3:$3,$4:$4)-LOOKUP($B$24,$3:$3,$4:$4)+100)/100)</f>
        <v>1</v>
      </c>
      <c r="D474" s="1119"/>
      <c r="E474" s="311">
        <f t="shared" ref="E474:E524" si="86">(SUMIF($5:$5,D474,$6:$6)-SUMIF($5:$5,$D$24,$6:$6)+100)/100</f>
        <v>1</v>
      </c>
      <c r="F474" s="1119"/>
      <c r="G474" s="311">
        <f t="shared" ref="G474:G524" si="87">(SUMIF($7:$7,F474,$8:$8)-SUMIF($7:$7,$F$24,$8:$8)+100)/100</f>
        <v>1</v>
      </c>
      <c r="H474" s="1119"/>
      <c r="I474" s="311">
        <f t="shared" ref="I474:I524" si="88">(SUMIF($9:$9,H474,$10:$10)-SUMIF($9:$9,$H$24,$10:$10)+100)/100</f>
        <v>1</v>
      </c>
      <c r="J474" s="1119"/>
      <c r="K474" s="311">
        <f t="shared" ref="K474:K524" si="89">(SUMIF($11:$11,J474,$12:$12)-SUMIF($11:$11,$J$24,$12:$12)+100)/100</f>
        <v>1</v>
      </c>
      <c r="L474" s="1119"/>
      <c r="M474" s="311">
        <f t="shared" ref="M474:M524" si="90">(SUMIF($13:$13,L474,$14:$14)-SUMIF($13:$13,$L$24,$14:$14)+100)/100</f>
        <v>1</v>
      </c>
      <c r="N474" s="1119"/>
      <c r="O474" s="311">
        <f t="shared" ref="O474:O524" si="91">(SUMIF($15:$15,N474,$16:$16)-SUMIF($15:$15,$N$24,$16:$16)+100)/100</f>
        <v>1</v>
      </c>
      <c r="P474" s="1119"/>
      <c r="Q474" s="311">
        <f t="shared" ref="Q474:Q524" si="92">(SUMIF($17:$17,P474,$18:$18)-SUMIF($17:$17,$P$24,$18:$18)+100)/100</f>
        <v>1</v>
      </c>
      <c r="R474" s="1115">
        <f t="shared" ref="R474:R524" si="93">IF(B474="",0,ROUND($R$24*C474*E474*G474*I474*K474*M474*O474*Q474,0))</f>
        <v>0</v>
      </c>
      <c r="S474" s="694">
        <f t="shared" si="84"/>
        <v>0</v>
      </c>
    </row>
    <row r="475" spans="1:19">
      <c r="A475" s="487"/>
      <c r="B475" s="346"/>
      <c r="C475" s="311">
        <f t="shared" si="85"/>
        <v>1</v>
      </c>
      <c r="D475" s="1119"/>
      <c r="E475" s="311">
        <f t="shared" si="86"/>
        <v>1</v>
      </c>
      <c r="F475" s="1119"/>
      <c r="G475" s="311">
        <f t="shared" si="87"/>
        <v>1</v>
      </c>
      <c r="H475" s="1119"/>
      <c r="I475" s="311">
        <f t="shared" si="88"/>
        <v>1</v>
      </c>
      <c r="J475" s="1119"/>
      <c r="K475" s="311">
        <f t="shared" si="89"/>
        <v>1</v>
      </c>
      <c r="L475" s="1119"/>
      <c r="M475" s="311">
        <f t="shared" si="90"/>
        <v>1</v>
      </c>
      <c r="N475" s="1119"/>
      <c r="O475" s="311">
        <f t="shared" si="91"/>
        <v>1</v>
      </c>
      <c r="P475" s="1119"/>
      <c r="Q475" s="311">
        <f t="shared" si="92"/>
        <v>1</v>
      </c>
      <c r="R475" s="1115">
        <f t="shared" si="93"/>
        <v>0</v>
      </c>
      <c r="S475" s="694">
        <f t="shared" si="84"/>
        <v>0</v>
      </c>
    </row>
    <row r="476" spans="1:19">
      <c r="A476" s="487"/>
      <c r="B476" s="346"/>
      <c r="C476" s="311">
        <f t="shared" si="85"/>
        <v>1</v>
      </c>
      <c r="D476" s="1119"/>
      <c r="E476" s="311">
        <f t="shared" si="86"/>
        <v>1</v>
      </c>
      <c r="F476" s="1119"/>
      <c r="G476" s="311">
        <f t="shared" si="87"/>
        <v>1</v>
      </c>
      <c r="H476" s="1119"/>
      <c r="I476" s="311">
        <f t="shared" si="88"/>
        <v>1</v>
      </c>
      <c r="J476" s="1119"/>
      <c r="K476" s="311">
        <f t="shared" si="89"/>
        <v>1</v>
      </c>
      <c r="L476" s="1119"/>
      <c r="M476" s="311">
        <f t="shared" si="90"/>
        <v>1</v>
      </c>
      <c r="N476" s="1119"/>
      <c r="O476" s="311">
        <f t="shared" si="91"/>
        <v>1</v>
      </c>
      <c r="P476" s="1119"/>
      <c r="Q476" s="311">
        <f t="shared" si="92"/>
        <v>1</v>
      </c>
      <c r="R476" s="1115">
        <f t="shared" si="93"/>
        <v>0</v>
      </c>
      <c r="S476" s="694">
        <f t="shared" si="84"/>
        <v>0</v>
      </c>
    </row>
    <row r="477" spans="1:19">
      <c r="A477" s="487"/>
      <c r="B477" s="346"/>
      <c r="C477" s="311">
        <f t="shared" si="85"/>
        <v>1</v>
      </c>
      <c r="D477" s="1119"/>
      <c r="E477" s="311">
        <f t="shared" si="86"/>
        <v>1</v>
      </c>
      <c r="F477" s="1119"/>
      <c r="G477" s="311">
        <f t="shared" si="87"/>
        <v>1</v>
      </c>
      <c r="H477" s="1119"/>
      <c r="I477" s="311">
        <f t="shared" si="88"/>
        <v>1</v>
      </c>
      <c r="J477" s="1119"/>
      <c r="K477" s="311">
        <f t="shared" si="89"/>
        <v>1</v>
      </c>
      <c r="L477" s="1119"/>
      <c r="M477" s="311">
        <f t="shared" si="90"/>
        <v>1</v>
      </c>
      <c r="N477" s="1119"/>
      <c r="O477" s="311">
        <f t="shared" si="91"/>
        <v>1</v>
      </c>
      <c r="P477" s="1119"/>
      <c r="Q477" s="311">
        <f t="shared" si="92"/>
        <v>1</v>
      </c>
      <c r="R477" s="1115">
        <f t="shared" si="93"/>
        <v>0</v>
      </c>
      <c r="S477" s="694">
        <f t="shared" si="84"/>
        <v>0</v>
      </c>
    </row>
    <row r="478" spans="1:19">
      <c r="A478" s="487"/>
      <c r="B478" s="346"/>
      <c r="C478" s="311">
        <f t="shared" si="85"/>
        <v>1</v>
      </c>
      <c r="D478" s="1119"/>
      <c r="E478" s="311">
        <f t="shared" si="86"/>
        <v>1</v>
      </c>
      <c r="F478" s="1119"/>
      <c r="G478" s="311">
        <f t="shared" si="87"/>
        <v>1</v>
      </c>
      <c r="H478" s="1119"/>
      <c r="I478" s="311">
        <f t="shared" si="88"/>
        <v>1</v>
      </c>
      <c r="J478" s="1119"/>
      <c r="K478" s="311">
        <f t="shared" si="89"/>
        <v>1</v>
      </c>
      <c r="L478" s="1119"/>
      <c r="M478" s="311">
        <f t="shared" si="90"/>
        <v>1</v>
      </c>
      <c r="N478" s="1119"/>
      <c r="O478" s="311">
        <f t="shared" si="91"/>
        <v>1</v>
      </c>
      <c r="P478" s="1119"/>
      <c r="Q478" s="311">
        <f t="shared" si="92"/>
        <v>1</v>
      </c>
      <c r="R478" s="1115">
        <f t="shared" si="93"/>
        <v>0</v>
      </c>
      <c r="S478" s="694">
        <f t="shared" si="84"/>
        <v>0</v>
      </c>
    </row>
    <row r="479" spans="1:19">
      <c r="A479" s="487"/>
      <c r="B479" s="346"/>
      <c r="C479" s="311">
        <f t="shared" si="85"/>
        <v>1</v>
      </c>
      <c r="D479" s="1119"/>
      <c r="E479" s="311">
        <f t="shared" si="86"/>
        <v>1</v>
      </c>
      <c r="F479" s="1119"/>
      <c r="G479" s="311">
        <f t="shared" si="87"/>
        <v>1</v>
      </c>
      <c r="H479" s="1119"/>
      <c r="I479" s="311">
        <f t="shared" si="88"/>
        <v>1</v>
      </c>
      <c r="J479" s="1119"/>
      <c r="K479" s="311">
        <f t="shared" si="89"/>
        <v>1</v>
      </c>
      <c r="L479" s="1119"/>
      <c r="M479" s="311">
        <f t="shared" si="90"/>
        <v>1</v>
      </c>
      <c r="N479" s="1119"/>
      <c r="O479" s="311">
        <f t="shared" si="91"/>
        <v>1</v>
      </c>
      <c r="P479" s="1119"/>
      <c r="Q479" s="311">
        <f t="shared" si="92"/>
        <v>1</v>
      </c>
      <c r="R479" s="1115">
        <f t="shared" si="93"/>
        <v>0</v>
      </c>
      <c r="S479" s="694">
        <f t="shared" si="84"/>
        <v>0</v>
      </c>
    </row>
    <row r="480" spans="1:19">
      <c r="A480" s="487"/>
      <c r="B480" s="346"/>
      <c r="C480" s="311">
        <f t="shared" si="85"/>
        <v>1</v>
      </c>
      <c r="D480" s="1119"/>
      <c r="E480" s="311">
        <f t="shared" si="86"/>
        <v>1</v>
      </c>
      <c r="F480" s="1119"/>
      <c r="G480" s="311">
        <f t="shared" si="87"/>
        <v>1</v>
      </c>
      <c r="H480" s="1119"/>
      <c r="I480" s="311">
        <f t="shared" si="88"/>
        <v>1</v>
      </c>
      <c r="J480" s="1119"/>
      <c r="K480" s="311">
        <f t="shared" si="89"/>
        <v>1</v>
      </c>
      <c r="L480" s="1119"/>
      <c r="M480" s="311">
        <f t="shared" si="90"/>
        <v>1</v>
      </c>
      <c r="N480" s="1119"/>
      <c r="O480" s="311">
        <f t="shared" si="91"/>
        <v>1</v>
      </c>
      <c r="P480" s="1119"/>
      <c r="Q480" s="311">
        <f t="shared" si="92"/>
        <v>1</v>
      </c>
      <c r="R480" s="1115">
        <f t="shared" si="93"/>
        <v>0</v>
      </c>
      <c r="S480" s="694">
        <f t="shared" si="84"/>
        <v>0</v>
      </c>
    </row>
    <row r="481" spans="1:19">
      <c r="A481" s="487"/>
      <c r="B481" s="346"/>
      <c r="C481" s="311">
        <f t="shared" si="85"/>
        <v>1</v>
      </c>
      <c r="D481" s="1119"/>
      <c r="E481" s="311">
        <f t="shared" si="86"/>
        <v>1</v>
      </c>
      <c r="F481" s="1119"/>
      <c r="G481" s="311">
        <f t="shared" si="87"/>
        <v>1</v>
      </c>
      <c r="H481" s="1119"/>
      <c r="I481" s="311">
        <f t="shared" si="88"/>
        <v>1</v>
      </c>
      <c r="J481" s="1119"/>
      <c r="K481" s="311">
        <f t="shared" si="89"/>
        <v>1</v>
      </c>
      <c r="L481" s="1119"/>
      <c r="M481" s="311">
        <f t="shared" si="90"/>
        <v>1</v>
      </c>
      <c r="N481" s="1119"/>
      <c r="O481" s="311">
        <f t="shared" si="91"/>
        <v>1</v>
      </c>
      <c r="P481" s="1119"/>
      <c r="Q481" s="311">
        <f t="shared" si="92"/>
        <v>1</v>
      </c>
      <c r="R481" s="1115">
        <f t="shared" si="93"/>
        <v>0</v>
      </c>
      <c r="S481" s="694">
        <f t="shared" si="84"/>
        <v>0</v>
      </c>
    </row>
    <row r="482" spans="1:19">
      <c r="A482" s="487"/>
      <c r="B482" s="346"/>
      <c r="C482" s="311">
        <f t="shared" si="85"/>
        <v>1</v>
      </c>
      <c r="D482" s="1119"/>
      <c r="E482" s="311">
        <f t="shared" si="86"/>
        <v>1</v>
      </c>
      <c r="F482" s="1119"/>
      <c r="G482" s="311">
        <f t="shared" si="87"/>
        <v>1</v>
      </c>
      <c r="H482" s="1119"/>
      <c r="I482" s="311">
        <f t="shared" si="88"/>
        <v>1</v>
      </c>
      <c r="J482" s="1119"/>
      <c r="K482" s="311">
        <f t="shared" si="89"/>
        <v>1</v>
      </c>
      <c r="L482" s="1119"/>
      <c r="M482" s="311">
        <f t="shared" si="90"/>
        <v>1</v>
      </c>
      <c r="N482" s="1119"/>
      <c r="O482" s="311">
        <f t="shared" si="91"/>
        <v>1</v>
      </c>
      <c r="P482" s="1119"/>
      <c r="Q482" s="311">
        <f t="shared" si="92"/>
        <v>1</v>
      </c>
      <c r="R482" s="1115">
        <f t="shared" si="93"/>
        <v>0</v>
      </c>
      <c r="S482" s="694">
        <f t="shared" si="84"/>
        <v>0</v>
      </c>
    </row>
    <row r="483" spans="1:19">
      <c r="A483" s="487"/>
      <c r="B483" s="346"/>
      <c r="C483" s="311">
        <f t="shared" si="85"/>
        <v>1</v>
      </c>
      <c r="D483" s="1119"/>
      <c r="E483" s="311">
        <f t="shared" si="86"/>
        <v>1</v>
      </c>
      <c r="F483" s="1119"/>
      <c r="G483" s="311">
        <f t="shared" si="87"/>
        <v>1</v>
      </c>
      <c r="H483" s="1119"/>
      <c r="I483" s="311">
        <f t="shared" si="88"/>
        <v>1</v>
      </c>
      <c r="J483" s="1119"/>
      <c r="K483" s="311">
        <f t="shared" si="89"/>
        <v>1</v>
      </c>
      <c r="L483" s="1119"/>
      <c r="M483" s="311">
        <f t="shared" si="90"/>
        <v>1</v>
      </c>
      <c r="N483" s="1119"/>
      <c r="O483" s="311">
        <f t="shared" si="91"/>
        <v>1</v>
      </c>
      <c r="P483" s="1119"/>
      <c r="Q483" s="311">
        <f t="shared" si="92"/>
        <v>1</v>
      </c>
      <c r="R483" s="1115">
        <f t="shared" si="93"/>
        <v>0</v>
      </c>
      <c r="S483" s="694">
        <f t="shared" si="84"/>
        <v>0</v>
      </c>
    </row>
    <row r="484" spans="1:19">
      <c r="A484" s="487"/>
      <c r="B484" s="346"/>
      <c r="C484" s="311">
        <f t="shared" si="85"/>
        <v>1</v>
      </c>
      <c r="D484" s="1119"/>
      <c r="E484" s="311">
        <f t="shared" si="86"/>
        <v>1</v>
      </c>
      <c r="F484" s="1119"/>
      <c r="G484" s="311">
        <f t="shared" si="87"/>
        <v>1</v>
      </c>
      <c r="H484" s="1119"/>
      <c r="I484" s="311">
        <f t="shared" si="88"/>
        <v>1</v>
      </c>
      <c r="J484" s="1119"/>
      <c r="K484" s="311">
        <f t="shared" si="89"/>
        <v>1</v>
      </c>
      <c r="L484" s="1119"/>
      <c r="M484" s="311">
        <f t="shared" si="90"/>
        <v>1</v>
      </c>
      <c r="N484" s="1119"/>
      <c r="O484" s="311">
        <f t="shared" si="91"/>
        <v>1</v>
      </c>
      <c r="P484" s="1119"/>
      <c r="Q484" s="311">
        <f t="shared" si="92"/>
        <v>1</v>
      </c>
      <c r="R484" s="1115">
        <f t="shared" si="93"/>
        <v>0</v>
      </c>
      <c r="S484" s="694">
        <f t="shared" si="84"/>
        <v>0</v>
      </c>
    </row>
    <row r="485" spans="1:19">
      <c r="A485" s="487"/>
      <c r="B485" s="346"/>
      <c r="C485" s="311">
        <f t="shared" si="85"/>
        <v>1</v>
      </c>
      <c r="D485" s="1119"/>
      <c r="E485" s="311">
        <f t="shared" si="86"/>
        <v>1</v>
      </c>
      <c r="F485" s="1119"/>
      <c r="G485" s="311">
        <f t="shared" si="87"/>
        <v>1</v>
      </c>
      <c r="H485" s="1119"/>
      <c r="I485" s="311">
        <f t="shared" si="88"/>
        <v>1</v>
      </c>
      <c r="J485" s="1119"/>
      <c r="K485" s="311">
        <f t="shared" si="89"/>
        <v>1</v>
      </c>
      <c r="L485" s="1119"/>
      <c r="M485" s="311">
        <f t="shared" si="90"/>
        <v>1</v>
      </c>
      <c r="N485" s="1119"/>
      <c r="O485" s="311">
        <f t="shared" si="91"/>
        <v>1</v>
      </c>
      <c r="P485" s="1119"/>
      <c r="Q485" s="311">
        <f t="shared" si="92"/>
        <v>1</v>
      </c>
      <c r="R485" s="1115">
        <f t="shared" si="93"/>
        <v>0</v>
      </c>
      <c r="S485" s="694">
        <f t="shared" si="84"/>
        <v>0</v>
      </c>
    </row>
    <row r="486" spans="1:19">
      <c r="A486" s="487"/>
      <c r="B486" s="346"/>
      <c r="C486" s="311">
        <f t="shared" si="85"/>
        <v>1</v>
      </c>
      <c r="D486" s="1119"/>
      <c r="E486" s="311">
        <f t="shared" si="86"/>
        <v>1</v>
      </c>
      <c r="F486" s="1119"/>
      <c r="G486" s="311">
        <f t="shared" si="87"/>
        <v>1</v>
      </c>
      <c r="H486" s="1119"/>
      <c r="I486" s="311">
        <f t="shared" si="88"/>
        <v>1</v>
      </c>
      <c r="J486" s="1119"/>
      <c r="K486" s="311">
        <f t="shared" si="89"/>
        <v>1</v>
      </c>
      <c r="L486" s="1119"/>
      <c r="M486" s="311">
        <f t="shared" si="90"/>
        <v>1</v>
      </c>
      <c r="N486" s="1119"/>
      <c r="O486" s="311">
        <f t="shared" si="91"/>
        <v>1</v>
      </c>
      <c r="P486" s="1119"/>
      <c r="Q486" s="311">
        <f t="shared" si="92"/>
        <v>1</v>
      </c>
      <c r="R486" s="1115">
        <f t="shared" si="93"/>
        <v>0</v>
      </c>
      <c r="S486" s="694">
        <f t="shared" si="84"/>
        <v>0</v>
      </c>
    </row>
    <row r="487" spans="1:19">
      <c r="A487" s="487"/>
      <c r="B487" s="346"/>
      <c r="C487" s="311">
        <f t="shared" si="85"/>
        <v>1</v>
      </c>
      <c r="D487" s="1119"/>
      <c r="E487" s="311">
        <f t="shared" si="86"/>
        <v>1</v>
      </c>
      <c r="F487" s="1119"/>
      <c r="G487" s="311">
        <f t="shared" si="87"/>
        <v>1</v>
      </c>
      <c r="H487" s="1119"/>
      <c r="I487" s="311">
        <f t="shared" si="88"/>
        <v>1</v>
      </c>
      <c r="J487" s="1119"/>
      <c r="K487" s="311">
        <f t="shared" si="89"/>
        <v>1</v>
      </c>
      <c r="L487" s="1119"/>
      <c r="M487" s="311">
        <f t="shared" si="90"/>
        <v>1</v>
      </c>
      <c r="N487" s="1119"/>
      <c r="O487" s="311">
        <f t="shared" si="91"/>
        <v>1</v>
      </c>
      <c r="P487" s="1119"/>
      <c r="Q487" s="311">
        <f t="shared" si="92"/>
        <v>1</v>
      </c>
      <c r="R487" s="1115">
        <f t="shared" si="93"/>
        <v>0</v>
      </c>
      <c r="S487" s="694">
        <f t="shared" si="84"/>
        <v>0</v>
      </c>
    </row>
    <row r="488" spans="1:19">
      <c r="A488" s="487"/>
      <c r="B488" s="346"/>
      <c r="C488" s="311">
        <f t="shared" si="85"/>
        <v>1</v>
      </c>
      <c r="D488" s="1119"/>
      <c r="E488" s="311">
        <f t="shared" si="86"/>
        <v>1</v>
      </c>
      <c r="F488" s="1119"/>
      <c r="G488" s="311">
        <f t="shared" si="87"/>
        <v>1</v>
      </c>
      <c r="H488" s="1119"/>
      <c r="I488" s="311">
        <f t="shared" si="88"/>
        <v>1</v>
      </c>
      <c r="J488" s="1119"/>
      <c r="K488" s="311">
        <f t="shared" si="89"/>
        <v>1</v>
      </c>
      <c r="L488" s="1119"/>
      <c r="M488" s="311">
        <f t="shared" si="90"/>
        <v>1</v>
      </c>
      <c r="N488" s="1119"/>
      <c r="O488" s="311">
        <f t="shared" si="91"/>
        <v>1</v>
      </c>
      <c r="P488" s="1119"/>
      <c r="Q488" s="311">
        <f t="shared" si="92"/>
        <v>1</v>
      </c>
      <c r="R488" s="1115">
        <f t="shared" si="93"/>
        <v>0</v>
      </c>
      <c r="S488" s="694">
        <f t="shared" si="84"/>
        <v>0</v>
      </c>
    </row>
    <row r="489" spans="1:19">
      <c r="A489" s="487"/>
      <c r="B489" s="346"/>
      <c r="C489" s="311">
        <f t="shared" si="85"/>
        <v>1</v>
      </c>
      <c r="D489" s="1119"/>
      <c r="E489" s="311">
        <f t="shared" si="86"/>
        <v>1</v>
      </c>
      <c r="F489" s="1119"/>
      <c r="G489" s="311">
        <f t="shared" si="87"/>
        <v>1</v>
      </c>
      <c r="H489" s="1119"/>
      <c r="I489" s="311">
        <f t="shared" si="88"/>
        <v>1</v>
      </c>
      <c r="J489" s="1119"/>
      <c r="K489" s="311">
        <f t="shared" si="89"/>
        <v>1</v>
      </c>
      <c r="L489" s="1119"/>
      <c r="M489" s="311">
        <f t="shared" si="90"/>
        <v>1</v>
      </c>
      <c r="N489" s="1119"/>
      <c r="O489" s="311">
        <f t="shared" si="91"/>
        <v>1</v>
      </c>
      <c r="P489" s="1119"/>
      <c r="Q489" s="311">
        <f t="shared" si="92"/>
        <v>1</v>
      </c>
      <c r="R489" s="1115">
        <f t="shared" si="93"/>
        <v>0</v>
      </c>
      <c r="S489" s="694">
        <f t="shared" si="84"/>
        <v>0</v>
      </c>
    </row>
    <row r="490" spans="1:19">
      <c r="A490" s="487"/>
      <c r="B490" s="346"/>
      <c r="C490" s="311">
        <f t="shared" si="85"/>
        <v>1</v>
      </c>
      <c r="D490" s="1119"/>
      <c r="E490" s="311">
        <f t="shared" si="86"/>
        <v>1</v>
      </c>
      <c r="F490" s="1119"/>
      <c r="G490" s="311">
        <f t="shared" si="87"/>
        <v>1</v>
      </c>
      <c r="H490" s="1119"/>
      <c r="I490" s="311">
        <f t="shared" si="88"/>
        <v>1</v>
      </c>
      <c r="J490" s="1119"/>
      <c r="K490" s="311">
        <f t="shared" si="89"/>
        <v>1</v>
      </c>
      <c r="L490" s="1119"/>
      <c r="M490" s="311">
        <f t="shared" si="90"/>
        <v>1</v>
      </c>
      <c r="N490" s="1119"/>
      <c r="O490" s="311">
        <f t="shared" si="91"/>
        <v>1</v>
      </c>
      <c r="P490" s="1119"/>
      <c r="Q490" s="311">
        <f t="shared" si="92"/>
        <v>1</v>
      </c>
      <c r="R490" s="1115">
        <f t="shared" si="93"/>
        <v>0</v>
      </c>
      <c r="S490" s="694">
        <f t="shared" si="84"/>
        <v>0</v>
      </c>
    </row>
    <row r="491" spans="1:19">
      <c r="A491" s="487"/>
      <c r="B491" s="346"/>
      <c r="C491" s="311">
        <f t="shared" si="85"/>
        <v>1</v>
      </c>
      <c r="D491" s="1119"/>
      <c r="E491" s="311">
        <f t="shared" si="86"/>
        <v>1</v>
      </c>
      <c r="F491" s="1119"/>
      <c r="G491" s="311">
        <f t="shared" si="87"/>
        <v>1</v>
      </c>
      <c r="H491" s="1119"/>
      <c r="I491" s="311">
        <f t="shared" si="88"/>
        <v>1</v>
      </c>
      <c r="J491" s="1119"/>
      <c r="K491" s="311">
        <f t="shared" si="89"/>
        <v>1</v>
      </c>
      <c r="L491" s="1119"/>
      <c r="M491" s="311">
        <f t="shared" si="90"/>
        <v>1</v>
      </c>
      <c r="N491" s="1119"/>
      <c r="O491" s="311">
        <f t="shared" si="91"/>
        <v>1</v>
      </c>
      <c r="P491" s="1119"/>
      <c r="Q491" s="311">
        <f t="shared" si="92"/>
        <v>1</v>
      </c>
      <c r="R491" s="1115">
        <f t="shared" si="93"/>
        <v>0</v>
      </c>
      <c r="S491" s="694">
        <f t="shared" si="84"/>
        <v>0</v>
      </c>
    </row>
    <row r="492" spans="1:19">
      <c r="A492" s="487"/>
      <c r="B492" s="346"/>
      <c r="C492" s="311">
        <f t="shared" si="85"/>
        <v>1</v>
      </c>
      <c r="D492" s="1119"/>
      <c r="E492" s="311">
        <f t="shared" si="86"/>
        <v>1</v>
      </c>
      <c r="F492" s="1119"/>
      <c r="G492" s="311">
        <f t="shared" si="87"/>
        <v>1</v>
      </c>
      <c r="H492" s="1119"/>
      <c r="I492" s="311">
        <f t="shared" si="88"/>
        <v>1</v>
      </c>
      <c r="J492" s="1119"/>
      <c r="K492" s="311">
        <f t="shared" si="89"/>
        <v>1</v>
      </c>
      <c r="L492" s="1119"/>
      <c r="M492" s="311">
        <f t="shared" si="90"/>
        <v>1</v>
      </c>
      <c r="N492" s="1119"/>
      <c r="O492" s="311">
        <f t="shared" si="91"/>
        <v>1</v>
      </c>
      <c r="P492" s="1119"/>
      <c r="Q492" s="311">
        <f t="shared" si="92"/>
        <v>1</v>
      </c>
      <c r="R492" s="1115">
        <f t="shared" si="93"/>
        <v>0</v>
      </c>
      <c r="S492" s="694">
        <f t="shared" si="84"/>
        <v>0</v>
      </c>
    </row>
    <row r="493" spans="1:19">
      <c r="A493" s="487"/>
      <c r="B493" s="346"/>
      <c r="C493" s="311">
        <f t="shared" si="85"/>
        <v>1</v>
      </c>
      <c r="D493" s="1119"/>
      <c r="E493" s="311">
        <f t="shared" si="86"/>
        <v>1</v>
      </c>
      <c r="F493" s="1119"/>
      <c r="G493" s="311">
        <f t="shared" si="87"/>
        <v>1</v>
      </c>
      <c r="H493" s="1119"/>
      <c r="I493" s="311">
        <f t="shared" si="88"/>
        <v>1</v>
      </c>
      <c r="J493" s="1119"/>
      <c r="K493" s="311">
        <f t="shared" si="89"/>
        <v>1</v>
      </c>
      <c r="L493" s="1119"/>
      <c r="M493" s="311">
        <f t="shared" si="90"/>
        <v>1</v>
      </c>
      <c r="N493" s="1119"/>
      <c r="O493" s="311">
        <f t="shared" si="91"/>
        <v>1</v>
      </c>
      <c r="P493" s="1119"/>
      <c r="Q493" s="311">
        <f t="shared" si="92"/>
        <v>1</v>
      </c>
      <c r="R493" s="1115">
        <f t="shared" si="93"/>
        <v>0</v>
      </c>
      <c r="S493" s="694">
        <f t="shared" si="84"/>
        <v>0</v>
      </c>
    </row>
    <row r="494" spans="1:19">
      <c r="A494" s="487"/>
      <c r="B494" s="346"/>
      <c r="C494" s="311">
        <f t="shared" si="85"/>
        <v>1</v>
      </c>
      <c r="D494" s="1119"/>
      <c r="E494" s="311">
        <f t="shared" si="86"/>
        <v>1</v>
      </c>
      <c r="F494" s="1119"/>
      <c r="G494" s="311">
        <f t="shared" si="87"/>
        <v>1</v>
      </c>
      <c r="H494" s="1119"/>
      <c r="I494" s="311">
        <f t="shared" si="88"/>
        <v>1</v>
      </c>
      <c r="J494" s="1119"/>
      <c r="K494" s="311">
        <f t="shared" si="89"/>
        <v>1</v>
      </c>
      <c r="L494" s="1119"/>
      <c r="M494" s="311">
        <f t="shared" si="90"/>
        <v>1</v>
      </c>
      <c r="N494" s="1119"/>
      <c r="O494" s="311">
        <f t="shared" si="91"/>
        <v>1</v>
      </c>
      <c r="P494" s="1119"/>
      <c r="Q494" s="311">
        <f t="shared" si="92"/>
        <v>1</v>
      </c>
      <c r="R494" s="1115">
        <f t="shared" si="93"/>
        <v>0</v>
      </c>
      <c r="S494" s="694">
        <f t="shared" si="84"/>
        <v>0</v>
      </c>
    </row>
    <row r="495" spans="1:19">
      <c r="A495" s="487"/>
      <c r="B495" s="346"/>
      <c r="C495" s="311">
        <f t="shared" si="85"/>
        <v>1</v>
      </c>
      <c r="D495" s="1119"/>
      <c r="E495" s="311">
        <f t="shared" si="86"/>
        <v>1</v>
      </c>
      <c r="F495" s="1119"/>
      <c r="G495" s="311">
        <f t="shared" si="87"/>
        <v>1</v>
      </c>
      <c r="H495" s="1119"/>
      <c r="I495" s="311">
        <f t="shared" si="88"/>
        <v>1</v>
      </c>
      <c r="J495" s="1119"/>
      <c r="K495" s="311">
        <f t="shared" si="89"/>
        <v>1</v>
      </c>
      <c r="L495" s="1119"/>
      <c r="M495" s="311">
        <f t="shared" si="90"/>
        <v>1</v>
      </c>
      <c r="N495" s="1119"/>
      <c r="O495" s="311">
        <f t="shared" si="91"/>
        <v>1</v>
      </c>
      <c r="P495" s="1119"/>
      <c r="Q495" s="311">
        <f t="shared" si="92"/>
        <v>1</v>
      </c>
      <c r="R495" s="1115">
        <f t="shared" si="93"/>
        <v>0</v>
      </c>
      <c r="S495" s="694">
        <f t="shared" si="84"/>
        <v>0</v>
      </c>
    </row>
    <row r="496" spans="1:19">
      <c r="A496" s="487"/>
      <c r="B496" s="346"/>
      <c r="C496" s="311">
        <f t="shared" si="85"/>
        <v>1</v>
      </c>
      <c r="D496" s="1119"/>
      <c r="E496" s="311">
        <f t="shared" si="86"/>
        <v>1</v>
      </c>
      <c r="F496" s="1119"/>
      <c r="G496" s="311">
        <f t="shared" si="87"/>
        <v>1</v>
      </c>
      <c r="H496" s="1119"/>
      <c r="I496" s="311">
        <f t="shared" si="88"/>
        <v>1</v>
      </c>
      <c r="J496" s="1119"/>
      <c r="K496" s="311">
        <f t="shared" si="89"/>
        <v>1</v>
      </c>
      <c r="L496" s="1119"/>
      <c r="M496" s="311">
        <f t="shared" si="90"/>
        <v>1</v>
      </c>
      <c r="N496" s="1119"/>
      <c r="O496" s="311">
        <f t="shared" si="91"/>
        <v>1</v>
      </c>
      <c r="P496" s="1119"/>
      <c r="Q496" s="311">
        <f t="shared" si="92"/>
        <v>1</v>
      </c>
      <c r="R496" s="1115">
        <f t="shared" si="93"/>
        <v>0</v>
      </c>
      <c r="S496" s="694">
        <f t="shared" si="84"/>
        <v>0</v>
      </c>
    </row>
    <row r="497" spans="1:19">
      <c r="A497" s="487"/>
      <c r="B497" s="346"/>
      <c r="C497" s="311">
        <f t="shared" si="85"/>
        <v>1</v>
      </c>
      <c r="D497" s="1119"/>
      <c r="E497" s="311">
        <f t="shared" si="86"/>
        <v>1</v>
      </c>
      <c r="F497" s="1119"/>
      <c r="G497" s="311">
        <f t="shared" si="87"/>
        <v>1</v>
      </c>
      <c r="H497" s="1119"/>
      <c r="I497" s="311">
        <f t="shared" si="88"/>
        <v>1</v>
      </c>
      <c r="J497" s="1119"/>
      <c r="K497" s="311">
        <f t="shared" si="89"/>
        <v>1</v>
      </c>
      <c r="L497" s="1119"/>
      <c r="M497" s="311">
        <f t="shared" si="90"/>
        <v>1</v>
      </c>
      <c r="N497" s="1119"/>
      <c r="O497" s="311">
        <f t="shared" si="91"/>
        <v>1</v>
      </c>
      <c r="P497" s="1119"/>
      <c r="Q497" s="311">
        <f t="shared" si="92"/>
        <v>1</v>
      </c>
      <c r="R497" s="1115">
        <f t="shared" si="93"/>
        <v>0</v>
      </c>
      <c r="S497" s="694">
        <f t="shared" si="84"/>
        <v>0</v>
      </c>
    </row>
    <row r="498" spans="1:19">
      <c r="A498" s="487"/>
      <c r="B498" s="346"/>
      <c r="C498" s="311">
        <f t="shared" si="85"/>
        <v>1</v>
      </c>
      <c r="D498" s="1119"/>
      <c r="E498" s="311">
        <f t="shared" si="86"/>
        <v>1</v>
      </c>
      <c r="F498" s="1119"/>
      <c r="G498" s="311">
        <f t="shared" si="87"/>
        <v>1</v>
      </c>
      <c r="H498" s="1119"/>
      <c r="I498" s="311">
        <f t="shared" si="88"/>
        <v>1</v>
      </c>
      <c r="J498" s="1119"/>
      <c r="K498" s="311">
        <f t="shared" si="89"/>
        <v>1</v>
      </c>
      <c r="L498" s="1119"/>
      <c r="M498" s="311">
        <f t="shared" si="90"/>
        <v>1</v>
      </c>
      <c r="N498" s="1119"/>
      <c r="O498" s="311">
        <f t="shared" si="91"/>
        <v>1</v>
      </c>
      <c r="P498" s="1119"/>
      <c r="Q498" s="311">
        <f t="shared" si="92"/>
        <v>1</v>
      </c>
      <c r="R498" s="1115">
        <f t="shared" si="93"/>
        <v>0</v>
      </c>
      <c r="S498" s="694">
        <f t="shared" ref="S498:S524" si="94">ROUND(R498*B498/10000,0)</f>
        <v>0</v>
      </c>
    </row>
    <row r="499" spans="1:19">
      <c r="A499" s="487"/>
      <c r="B499" s="346"/>
      <c r="C499" s="311">
        <f t="shared" si="85"/>
        <v>1</v>
      </c>
      <c r="D499" s="1119"/>
      <c r="E499" s="311">
        <f t="shared" si="86"/>
        <v>1</v>
      </c>
      <c r="F499" s="1119"/>
      <c r="G499" s="311">
        <f t="shared" si="87"/>
        <v>1</v>
      </c>
      <c r="H499" s="1119"/>
      <c r="I499" s="311">
        <f t="shared" si="88"/>
        <v>1</v>
      </c>
      <c r="J499" s="1119"/>
      <c r="K499" s="311">
        <f t="shared" si="89"/>
        <v>1</v>
      </c>
      <c r="L499" s="1119"/>
      <c r="M499" s="311">
        <f t="shared" si="90"/>
        <v>1</v>
      </c>
      <c r="N499" s="1119"/>
      <c r="O499" s="311">
        <f t="shared" si="91"/>
        <v>1</v>
      </c>
      <c r="P499" s="1119"/>
      <c r="Q499" s="311">
        <f t="shared" si="92"/>
        <v>1</v>
      </c>
      <c r="R499" s="1115">
        <f t="shared" si="93"/>
        <v>0</v>
      </c>
      <c r="S499" s="694">
        <f t="shared" si="94"/>
        <v>0</v>
      </c>
    </row>
    <row r="500" spans="1:19">
      <c r="A500" s="487"/>
      <c r="B500" s="346"/>
      <c r="C500" s="311">
        <f t="shared" si="85"/>
        <v>1</v>
      </c>
      <c r="D500" s="1119"/>
      <c r="E500" s="311">
        <f t="shared" si="86"/>
        <v>1</v>
      </c>
      <c r="F500" s="1119"/>
      <c r="G500" s="311">
        <f t="shared" si="87"/>
        <v>1</v>
      </c>
      <c r="H500" s="1119"/>
      <c r="I500" s="311">
        <f t="shared" si="88"/>
        <v>1</v>
      </c>
      <c r="J500" s="1119"/>
      <c r="K500" s="311">
        <f t="shared" si="89"/>
        <v>1</v>
      </c>
      <c r="L500" s="1119"/>
      <c r="M500" s="311">
        <f t="shared" si="90"/>
        <v>1</v>
      </c>
      <c r="N500" s="1119"/>
      <c r="O500" s="311">
        <f t="shared" si="91"/>
        <v>1</v>
      </c>
      <c r="P500" s="1119"/>
      <c r="Q500" s="311">
        <f t="shared" si="92"/>
        <v>1</v>
      </c>
      <c r="R500" s="1115">
        <f t="shared" si="93"/>
        <v>0</v>
      </c>
      <c r="S500" s="694">
        <f t="shared" si="94"/>
        <v>0</v>
      </c>
    </row>
    <row r="501" spans="1:19">
      <c r="A501" s="487"/>
      <c r="B501" s="346"/>
      <c r="C501" s="311">
        <f t="shared" si="85"/>
        <v>1</v>
      </c>
      <c r="D501" s="1119"/>
      <c r="E501" s="311">
        <f t="shared" si="86"/>
        <v>1</v>
      </c>
      <c r="F501" s="1119"/>
      <c r="G501" s="311">
        <f t="shared" si="87"/>
        <v>1</v>
      </c>
      <c r="H501" s="1119"/>
      <c r="I501" s="311">
        <f t="shared" si="88"/>
        <v>1</v>
      </c>
      <c r="J501" s="1119"/>
      <c r="K501" s="311">
        <f t="shared" si="89"/>
        <v>1</v>
      </c>
      <c r="L501" s="1119"/>
      <c r="M501" s="311">
        <f t="shared" si="90"/>
        <v>1</v>
      </c>
      <c r="N501" s="1119"/>
      <c r="O501" s="311">
        <f t="shared" si="91"/>
        <v>1</v>
      </c>
      <c r="P501" s="1119"/>
      <c r="Q501" s="311">
        <f t="shared" si="92"/>
        <v>1</v>
      </c>
      <c r="R501" s="1115">
        <f t="shared" si="93"/>
        <v>0</v>
      </c>
      <c r="S501" s="694">
        <f t="shared" si="94"/>
        <v>0</v>
      </c>
    </row>
    <row r="502" spans="1:19">
      <c r="A502" s="487"/>
      <c r="B502" s="346"/>
      <c r="C502" s="311">
        <f t="shared" si="85"/>
        <v>1</v>
      </c>
      <c r="D502" s="1119"/>
      <c r="E502" s="311">
        <f t="shared" si="86"/>
        <v>1</v>
      </c>
      <c r="F502" s="1119"/>
      <c r="G502" s="311">
        <f t="shared" si="87"/>
        <v>1</v>
      </c>
      <c r="H502" s="1119"/>
      <c r="I502" s="311">
        <f t="shared" si="88"/>
        <v>1</v>
      </c>
      <c r="J502" s="1119"/>
      <c r="K502" s="311">
        <f t="shared" si="89"/>
        <v>1</v>
      </c>
      <c r="L502" s="1119"/>
      <c r="M502" s="311">
        <f t="shared" si="90"/>
        <v>1</v>
      </c>
      <c r="N502" s="1119"/>
      <c r="O502" s="311">
        <f t="shared" si="91"/>
        <v>1</v>
      </c>
      <c r="P502" s="1119"/>
      <c r="Q502" s="311">
        <f t="shared" si="92"/>
        <v>1</v>
      </c>
      <c r="R502" s="1115">
        <f t="shared" si="93"/>
        <v>0</v>
      </c>
      <c r="S502" s="694">
        <f t="shared" si="94"/>
        <v>0</v>
      </c>
    </row>
    <row r="503" spans="1:19">
      <c r="A503" s="487"/>
      <c r="B503" s="346"/>
      <c r="C503" s="311">
        <f t="shared" si="85"/>
        <v>1</v>
      </c>
      <c r="D503" s="1119"/>
      <c r="E503" s="311">
        <f t="shared" si="86"/>
        <v>1</v>
      </c>
      <c r="F503" s="1119"/>
      <c r="G503" s="311">
        <f t="shared" si="87"/>
        <v>1</v>
      </c>
      <c r="H503" s="1119"/>
      <c r="I503" s="311">
        <f t="shared" si="88"/>
        <v>1</v>
      </c>
      <c r="J503" s="1119"/>
      <c r="K503" s="311">
        <f t="shared" si="89"/>
        <v>1</v>
      </c>
      <c r="L503" s="1119"/>
      <c r="M503" s="311">
        <f t="shared" si="90"/>
        <v>1</v>
      </c>
      <c r="N503" s="1119"/>
      <c r="O503" s="311">
        <f t="shared" si="91"/>
        <v>1</v>
      </c>
      <c r="P503" s="1119"/>
      <c r="Q503" s="311">
        <f t="shared" si="92"/>
        <v>1</v>
      </c>
      <c r="R503" s="1115">
        <f t="shared" si="93"/>
        <v>0</v>
      </c>
      <c r="S503" s="694">
        <f t="shared" si="94"/>
        <v>0</v>
      </c>
    </row>
    <row r="504" spans="1:19">
      <c r="A504" s="487"/>
      <c r="B504" s="346"/>
      <c r="C504" s="311">
        <f t="shared" si="85"/>
        <v>1</v>
      </c>
      <c r="D504" s="1119"/>
      <c r="E504" s="311">
        <f t="shared" si="86"/>
        <v>1</v>
      </c>
      <c r="F504" s="1119"/>
      <c r="G504" s="311">
        <f t="shared" si="87"/>
        <v>1</v>
      </c>
      <c r="H504" s="1119"/>
      <c r="I504" s="311">
        <f t="shared" si="88"/>
        <v>1</v>
      </c>
      <c r="J504" s="1119"/>
      <c r="K504" s="311">
        <f t="shared" si="89"/>
        <v>1</v>
      </c>
      <c r="L504" s="1119"/>
      <c r="M504" s="311">
        <f t="shared" si="90"/>
        <v>1</v>
      </c>
      <c r="N504" s="1119"/>
      <c r="O504" s="311">
        <f t="shared" si="91"/>
        <v>1</v>
      </c>
      <c r="P504" s="1119"/>
      <c r="Q504" s="311">
        <f t="shared" si="92"/>
        <v>1</v>
      </c>
      <c r="R504" s="1115">
        <f t="shared" si="93"/>
        <v>0</v>
      </c>
      <c r="S504" s="694">
        <f t="shared" si="94"/>
        <v>0</v>
      </c>
    </row>
    <row r="505" spans="1:19">
      <c r="A505" s="487"/>
      <c r="B505" s="346"/>
      <c r="C505" s="311">
        <f t="shared" si="85"/>
        <v>1</v>
      </c>
      <c r="D505" s="1119"/>
      <c r="E505" s="311">
        <f t="shared" si="86"/>
        <v>1</v>
      </c>
      <c r="F505" s="1119"/>
      <c r="G505" s="311">
        <f t="shared" si="87"/>
        <v>1</v>
      </c>
      <c r="H505" s="1119"/>
      <c r="I505" s="311">
        <f t="shared" si="88"/>
        <v>1</v>
      </c>
      <c r="J505" s="1119"/>
      <c r="K505" s="311">
        <f t="shared" si="89"/>
        <v>1</v>
      </c>
      <c r="L505" s="1119"/>
      <c r="M505" s="311">
        <f t="shared" si="90"/>
        <v>1</v>
      </c>
      <c r="N505" s="1119"/>
      <c r="O505" s="311">
        <f t="shared" si="91"/>
        <v>1</v>
      </c>
      <c r="P505" s="1119"/>
      <c r="Q505" s="311">
        <f t="shared" si="92"/>
        <v>1</v>
      </c>
      <c r="R505" s="1115">
        <f t="shared" si="93"/>
        <v>0</v>
      </c>
      <c r="S505" s="694">
        <f t="shared" si="94"/>
        <v>0</v>
      </c>
    </row>
    <row r="506" spans="1:19">
      <c r="A506" s="487"/>
      <c r="B506" s="346"/>
      <c r="C506" s="311">
        <f t="shared" si="85"/>
        <v>1</v>
      </c>
      <c r="D506" s="1119"/>
      <c r="E506" s="311">
        <f t="shared" si="86"/>
        <v>1</v>
      </c>
      <c r="F506" s="1119"/>
      <c r="G506" s="311">
        <f t="shared" si="87"/>
        <v>1</v>
      </c>
      <c r="H506" s="1119"/>
      <c r="I506" s="311">
        <f t="shared" si="88"/>
        <v>1</v>
      </c>
      <c r="J506" s="1119"/>
      <c r="K506" s="311">
        <f t="shared" si="89"/>
        <v>1</v>
      </c>
      <c r="L506" s="1119"/>
      <c r="M506" s="311">
        <f t="shared" si="90"/>
        <v>1</v>
      </c>
      <c r="N506" s="1119"/>
      <c r="O506" s="311">
        <f t="shared" si="91"/>
        <v>1</v>
      </c>
      <c r="P506" s="1119"/>
      <c r="Q506" s="311">
        <f t="shared" si="92"/>
        <v>1</v>
      </c>
      <c r="R506" s="1115">
        <f t="shared" si="93"/>
        <v>0</v>
      </c>
      <c r="S506" s="694">
        <f t="shared" si="94"/>
        <v>0</v>
      </c>
    </row>
    <row r="507" spans="1:19">
      <c r="A507" s="487"/>
      <c r="B507" s="346"/>
      <c r="C507" s="311">
        <f t="shared" si="85"/>
        <v>1</v>
      </c>
      <c r="D507" s="1119"/>
      <c r="E507" s="311">
        <f t="shared" si="86"/>
        <v>1</v>
      </c>
      <c r="F507" s="1119"/>
      <c r="G507" s="311">
        <f t="shared" si="87"/>
        <v>1</v>
      </c>
      <c r="H507" s="1119"/>
      <c r="I507" s="311">
        <f t="shared" si="88"/>
        <v>1</v>
      </c>
      <c r="J507" s="1119"/>
      <c r="K507" s="311">
        <f t="shared" si="89"/>
        <v>1</v>
      </c>
      <c r="L507" s="1119"/>
      <c r="M507" s="311">
        <f t="shared" si="90"/>
        <v>1</v>
      </c>
      <c r="N507" s="1119"/>
      <c r="O507" s="311">
        <f t="shared" si="91"/>
        <v>1</v>
      </c>
      <c r="P507" s="1119"/>
      <c r="Q507" s="311">
        <f t="shared" si="92"/>
        <v>1</v>
      </c>
      <c r="R507" s="1115">
        <f t="shared" si="93"/>
        <v>0</v>
      </c>
      <c r="S507" s="694">
        <f t="shared" si="94"/>
        <v>0</v>
      </c>
    </row>
    <row r="508" spans="1:19">
      <c r="A508" s="487"/>
      <c r="B508" s="346"/>
      <c r="C508" s="311">
        <f t="shared" si="85"/>
        <v>1</v>
      </c>
      <c r="D508" s="1119"/>
      <c r="E508" s="311">
        <f t="shared" si="86"/>
        <v>1</v>
      </c>
      <c r="F508" s="1119"/>
      <c r="G508" s="311">
        <f t="shared" si="87"/>
        <v>1</v>
      </c>
      <c r="H508" s="1119"/>
      <c r="I508" s="311">
        <f t="shared" si="88"/>
        <v>1</v>
      </c>
      <c r="J508" s="1119"/>
      <c r="K508" s="311">
        <f t="shared" si="89"/>
        <v>1</v>
      </c>
      <c r="L508" s="1119"/>
      <c r="M508" s="311">
        <f t="shared" si="90"/>
        <v>1</v>
      </c>
      <c r="N508" s="1119"/>
      <c r="O508" s="311">
        <f t="shared" si="91"/>
        <v>1</v>
      </c>
      <c r="P508" s="1119"/>
      <c r="Q508" s="311">
        <f t="shared" si="92"/>
        <v>1</v>
      </c>
      <c r="R508" s="1115">
        <f t="shared" si="93"/>
        <v>0</v>
      </c>
      <c r="S508" s="694">
        <f t="shared" si="94"/>
        <v>0</v>
      </c>
    </row>
    <row r="509" spans="1:19">
      <c r="A509" s="487"/>
      <c r="B509" s="346"/>
      <c r="C509" s="311">
        <f t="shared" si="85"/>
        <v>1</v>
      </c>
      <c r="D509" s="1119"/>
      <c r="E509" s="311">
        <f t="shared" si="86"/>
        <v>1</v>
      </c>
      <c r="F509" s="1119"/>
      <c r="G509" s="311">
        <f t="shared" si="87"/>
        <v>1</v>
      </c>
      <c r="H509" s="1119"/>
      <c r="I509" s="311">
        <f t="shared" si="88"/>
        <v>1</v>
      </c>
      <c r="J509" s="1119"/>
      <c r="K509" s="311">
        <f t="shared" si="89"/>
        <v>1</v>
      </c>
      <c r="L509" s="1119"/>
      <c r="M509" s="311">
        <f t="shared" si="90"/>
        <v>1</v>
      </c>
      <c r="N509" s="1119"/>
      <c r="O509" s="311">
        <f t="shared" si="91"/>
        <v>1</v>
      </c>
      <c r="P509" s="1119"/>
      <c r="Q509" s="311">
        <f t="shared" si="92"/>
        <v>1</v>
      </c>
      <c r="R509" s="1115">
        <f t="shared" si="93"/>
        <v>0</v>
      </c>
      <c r="S509" s="694">
        <f t="shared" si="94"/>
        <v>0</v>
      </c>
    </row>
    <row r="510" spans="1:19">
      <c r="A510" s="487"/>
      <c r="B510" s="346"/>
      <c r="C510" s="311">
        <f t="shared" si="85"/>
        <v>1</v>
      </c>
      <c r="D510" s="1119"/>
      <c r="E510" s="311">
        <f t="shared" si="86"/>
        <v>1</v>
      </c>
      <c r="F510" s="1119"/>
      <c r="G510" s="311">
        <f t="shared" si="87"/>
        <v>1</v>
      </c>
      <c r="H510" s="1119"/>
      <c r="I510" s="311">
        <f t="shared" si="88"/>
        <v>1</v>
      </c>
      <c r="J510" s="1119"/>
      <c r="K510" s="311">
        <f t="shared" si="89"/>
        <v>1</v>
      </c>
      <c r="L510" s="1119"/>
      <c r="M510" s="311">
        <f t="shared" si="90"/>
        <v>1</v>
      </c>
      <c r="N510" s="1119"/>
      <c r="O510" s="311">
        <f t="shared" si="91"/>
        <v>1</v>
      </c>
      <c r="P510" s="1119"/>
      <c r="Q510" s="311">
        <f t="shared" si="92"/>
        <v>1</v>
      </c>
      <c r="R510" s="1115">
        <f t="shared" si="93"/>
        <v>0</v>
      </c>
      <c r="S510" s="694">
        <f t="shared" si="94"/>
        <v>0</v>
      </c>
    </row>
    <row r="511" spans="1:19">
      <c r="A511" s="487"/>
      <c r="B511" s="346"/>
      <c r="C511" s="311">
        <f t="shared" si="85"/>
        <v>1</v>
      </c>
      <c r="D511" s="1119"/>
      <c r="E511" s="311">
        <f t="shared" si="86"/>
        <v>1</v>
      </c>
      <c r="F511" s="1119"/>
      <c r="G511" s="311">
        <f t="shared" si="87"/>
        <v>1</v>
      </c>
      <c r="H511" s="1119"/>
      <c r="I511" s="311">
        <f t="shared" si="88"/>
        <v>1</v>
      </c>
      <c r="J511" s="1119"/>
      <c r="K511" s="311">
        <f t="shared" si="89"/>
        <v>1</v>
      </c>
      <c r="L511" s="1119"/>
      <c r="M511" s="311">
        <f t="shared" si="90"/>
        <v>1</v>
      </c>
      <c r="N511" s="1119"/>
      <c r="O511" s="311">
        <f t="shared" si="91"/>
        <v>1</v>
      </c>
      <c r="P511" s="1119"/>
      <c r="Q511" s="311">
        <f t="shared" si="92"/>
        <v>1</v>
      </c>
      <c r="R511" s="1115">
        <f t="shared" si="93"/>
        <v>0</v>
      </c>
      <c r="S511" s="694">
        <f t="shared" si="94"/>
        <v>0</v>
      </c>
    </row>
    <row r="512" spans="1:19">
      <c r="A512" s="487"/>
      <c r="B512" s="346"/>
      <c r="C512" s="311">
        <f t="shared" si="85"/>
        <v>1</v>
      </c>
      <c r="D512" s="1119"/>
      <c r="E512" s="311">
        <f t="shared" si="86"/>
        <v>1</v>
      </c>
      <c r="F512" s="1119"/>
      <c r="G512" s="311">
        <f t="shared" si="87"/>
        <v>1</v>
      </c>
      <c r="H512" s="1119"/>
      <c r="I512" s="311">
        <f t="shared" si="88"/>
        <v>1</v>
      </c>
      <c r="J512" s="1119"/>
      <c r="K512" s="311">
        <f t="shared" si="89"/>
        <v>1</v>
      </c>
      <c r="L512" s="1119"/>
      <c r="M512" s="311">
        <f t="shared" si="90"/>
        <v>1</v>
      </c>
      <c r="N512" s="1119"/>
      <c r="O512" s="311">
        <f t="shared" si="91"/>
        <v>1</v>
      </c>
      <c r="P512" s="1119"/>
      <c r="Q512" s="311">
        <f t="shared" si="92"/>
        <v>1</v>
      </c>
      <c r="R512" s="1115">
        <f t="shared" si="93"/>
        <v>0</v>
      </c>
      <c r="S512" s="694">
        <f t="shared" si="94"/>
        <v>0</v>
      </c>
    </row>
    <row r="513" spans="1:19">
      <c r="A513" s="487"/>
      <c r="B513" s="346"/>
      <c r="C513" s="311">
        <f t="shared" si="85"/>
        <v>1</v>
      </c>
      <c r="D513" s="1119"/>
      <c r="E513" s="311">
        <f t="shared" si="86"/>
        <v>1</v>
      </c>
      <c r="F513" s="1119"/>
      <c r="G513" s="311">
        <f t="shared" si="87"/>
        <v>1</v>
      </c>
      <c r="H513" s="1119"/>
      <c r="I513" s="311">
        <f t="shared" si="88"/>
        <v>1</v>
      </c>
      <c r="J513" s="1119"/>
      <c r="K513" s="311">
        <f t="shared" si="89"/>
        <v>1</v>
      </c>
      <c r="L513" s="1119"/>
      <c r="M513" s="311">
        <f t="shared" si="90"/>
        <v>1</v>
      </c>
      <c r="N513" s="1119"/>
      <c r="O513" s="311">
        <f t="shared" si="91"/>
        <v>1</v>
      </c>
      <c r="P513" s="1119"/>
      <c r="Q513" s="311">
        <f t="shared" si="92"/>
        <v>1</v>
      </c>
      <c r="R513" s="1115">
        <f t="shared" si="93"/>
        <v>0</v>
      </c>
      <c r="S513" s="694">
        <f t="shared" si="94"/>
        <v>0</v>
      </c>
    </row>
    <row r="514" spans="1:19">
      <c r="A514" s="487"/>
      <c r="B514" s="346"/>
      <c r="C514" s="311">
        <f t="shared" si="85"/>
        <v>1</v>
      </c>
      <c r="D514" s="1119"/>
      <c r="E514" s="311">
        <f t="shared" si="86"/>
        <v>1</v>
      </c>
      <c r="F514" s="1119"/>
      <c r="G514" s="311">
        <f t="shared" si="87"/>
        <v>1</v>
      </c>
      <c r="H514" s="1119"/>
      <c r="I514" s="311">
        <f t="shared" si="88"/>
        <v>1</v>
      </c>
      <c r="J514" s="1119"/>
      <c r="K514" s="311">
        <f t="shared" si="89"/>
        <v>1</v>
      </c>
      <c r="L514" s="1119"/>
      <c r="M514" s="311">
        <f t="shared" si="90"/>
        <v>1</v>
      </c>
      <c r="N514" s="1119"/>
      <c r="O514" s="311">
        <f t="shared" si="91"/>
        <v>1</v>
      </c>
      <c r="P514" s="1119"/>
      <c r="Q514" s="311">
        <f t="shared" si="92"/>
        <v>1</v>
      </c>
      <c r="R514" s="1115">
        <f t="shared" si="93"/>
        <v>0</v>
      </c>
      <c r="S514" s="694">
        <f t="shared" si="94"/>
        <v>0</v>
      </c>
    </row>
    <row r="515" spans="1:19">
      <c r="A515" s="487"/>
      <c r="B515" s="346"/>
      <c r="C515" s="311">
        <f t="shared" si="85"/>
        <v>1</v>
      </c>
      <c r="D515" s="1119"/>
      <c r="E515" s="311">
        <f t="shared" si="86"/>
        <v>1</v>
      </c>
      <c r="F515" s="1119"/>
      <c r="G515" s="311">
        <f t="shared" si="87"/>
        <v>1</v>
      </c>
      <c r="H515" s="1119"/>
      <c r="I515" s="311">
        <f t="shared" si="88"/>
        <v>1</v>
      </c>
      <c r="J515" s="1119"/>
      <c r="K515" s="311">
        <f t="shared" si="89"/>
        <v>1</v>
      </c>
      <c r="L515" s="1119"/>
      <c r="M515" s="311">
        <f t="shared" si="90"/>
        <v>1</v>
      </c>
      <c r="N515" s="1119"/>
      <c r="O515" s="311">
        <f t="shared" si="91"/>
        <v>1</v>
      </c>
      <c r="P515" s="1119"/>
      <c r="Q515" s="311">
        <f t="shared" si="92"/>
        <v>1</v>
      </c>
      <c r="R515" s="1115">
        <f t="shared" si="93"/>
        <v>0</v>
      </c>
      <c r="S515" s="694">
        <f t="shared" si="94"/>
        <v>0</v>
      </c>
    </row>
    <row r="516" spans="1:19">
      <c r="A516" s="487"/>
      <c r="B516" s="346"/>
      <c r="C516" s="311">
        <f t="shared" si="85"/>
        <v>1</v>
      </c>
      <c r="D516" s="1119"/>
      <c r="E516" s="311">
        <f t="shared" si="86"/>
        <v>1</v>
      </c>
      <c r="F516" s="1119"/>
      <c r="G516" s="311">
        <f t="shared" si="87"/>
        <v>1</v>
      </c>
      <c r="H516" s="1119"/>
      <c r="I516" s="311">
        <f t="shared" si="88"/>
        <v>1</v>
      </c>
      <c r="J516" s="1119"/>
      <c r="K516" s="311">
        <f t="shared" si="89"/>
        <v>1</v>
      </c>
      <c r="L516" s="1119"/>
      <c r="M516" s="311">
        <f t="shared" si="90"/>
        <v>1</v>
      </c>
      <c r="N516" s="1119"/>
      <c r="O516" s="311">
        <f t="shared" si="91"/>
        <v>1</v>
      </c>
      <c r="P516" s="1119"/>
      <c r="Q516" s="311">
        <f t="shared" si="92"/>
        <v>1</v>
      </c>
      <c r="R516" s="1115">
        <f t="shared" si="93"/>
        <v>0</v>
      </c>
      <c r="S516" s="694">
        <f t="shared" si="94"/>
        <v>0</v>
      </c>
    </row>
    <row r="517" spans="1:19">
      <c r="A517" s="487"/>
      <c r="B517" s="346"/>
      <c r="C517" s="311">
        <f t="shared" si="85"/>
        <v>1</v>
      </c>
      <c r="D517" s="1119"/>
      <c r="E517" s="311">
        <f t="shared" si="86"/>
        <v>1</v>
      </c>
      <c r="F517" s="1119"/>
      <c r="G517" s="311">
        <f t="shared" si="87"/>
        <v>1</v>
      </c>
      <c r="H517" s="1119"/>
      <c r="I517" s="311">
        <f t="shared" si="88"/>
        <v>1</v>
      </c>
      <c r="J517" s="1119"/>
      <c r="K517" s="311">
        <f t="shared" si="89"/>
        <v>1</v>
      </c>
      <c r="L517" s="1119"/>
      <c r="M517" s="311">
        <f t="shared" si="90"/>
        <v>1</v>
      </c>
      <c r="N517" s="1119"/>
      <c r="O517" s="311">
        <f t="shared" si="91"/>
        <v>1</v>
      </c>
      <c r="P517" s="1119"/>
      <c r="Q517" s="311">
        <f t="shared" si="92"/>
        <v>1</v>
      </c>
      <c r="R517" s="1115">
        <f t="shared" si="93"/>
        <v>0</v>
      </c>
      <c r="S517" s="694">
        <f t="shared" si="94"/>
        <v>0</v>
      </c>
    </row>
    <row r="518" spans="1:19">
      <c r="A518" s="487"/>
      <c r="B518" s="346"/>
      <c r="C518" s="311">
        <f t="shared" si="85"/>
        <v>1</v>
      </c>
      <c r="D518" s="1119"/>
      <c r="E518" s="311">
        <f t="shared" si="86"/>
        <v>1</v>
      </c>
      <c r="F518" s="1119"/>
      <c r="G518" s="311">
        <f t="shared" si="87"/>
        <v>1</v>
      </c>
      <c r="H518" s="1119"/>
      <c r="I518" s="311">
        <f t="shared" si="88"/>
        <v>1</v>
      </c>
      <c r="J518" s="1119"/>
      <c r="K518" s="311">
        <f t="shared" si="89"/>
        <v>1</v>
      </c>
      <c r="L518" s="1119"/>
      <c r="M518" s="311">
        <f t="shared" si="90"/>
        <v>1</v>
      </c>
      <c r="N518" s="1119"/>
      <c r="O518" s="311">
        <f t="shared" si="91"/>
        <v>1</v>
      </c>
      <c r="P518" s="1119"/>
      <c r="Q518" s="311">
        <f t="shared" si="92"/>
        <v>1</v>
      </c>
      <c r="R518" s="1115">
        <f t="shared" si="93"/>
        <v>0</v>
      </c>
      <c r="S518" s="694">
        <f t="shared" si="94"/>
        <v>0</v>
      </c>
    </row>
    <row r="519" spans="1:19">
      <c r="A519" s="487"/>
      <c r="B519" s="346"/>
      <c r="C519" s="311">
        <f t="shared" si="85"/>
        <v>1</v>
      </c>
      <c r="D519" s="1119"/>
      <c r="E519" s="311">
        <f t="shared" si="86"/>
        <v>1</v>
      </c>
      <c r="F519" s="1119"/>
      <c r="G519" s="311">
        <f t="shared" si="87"/>
        <v>1</v>
      </c>
      <c r="H519" s="1119"/>
      <c r="I519" s="311">
        <f t="shared" si="88"/>
        <v>1</v>
      </c>
      <c r="J519" s="1119"/>
      <c r="K519" s="311">
        <f t="shared" si="89"/>
        <v>1</v>
      </c>
      <c r="L519" s="1119"/>
      <c r="M519" s="311">
        <f t="shared" si="90"/>
        <v>1</v>
      </c>
      <c r="N519" s="1119"/>
      <c r="O519" s="311">
        <f t="shared" si="91"/>
        <v>1</v>
      </c>
      <c r="P519" s="1119"/>
      <c r="Q519" s="311">
        <f t="shared" si="92"/>
        <v>1</v>
      </c>
      <c r="R519" s="1115">
        <f t="shared" si="93"/>
        <v>0</v>
      </c>
      <c r="S519" s="694">
        <f t="shared" si="94"/>
        <v>0</v>
      </c>
    </row>
    <row r="520" spans="1:19">
      <c r="A520" s="487"/>
      <c r="B520" s="346"/>
      <c r="C520" s="311">
        <f t="shared" si="85"/>
        <v>1</v>
      </c>
      <c r="D520" s="1119"/>
      <c r="E520" s="311">
        <f t="shared" si="86"/>
        <v>1</v>
      </c>
      <c r="F520" s="1119"/>
      <c r="G520" s="311">
        <f t="shared" si="87"/>
        <v>1</v>
      </c>
      <c r="H520" s="1119"/>
      <c r="I520" s="311">
        <f t="shared" si="88"/>
        <v>1</v>
      </c>
      <c r="J520" s="1119"/>
      <c r="K520" s="311">
        <f t="shared" si="89"/>
        <v>1</v>
      </c>
      <c r="L520" s="1119"/>
      <c r="M520" s="311">
        <f t="shared" si="90"/>
        <v>1</v>
      </c>
      <c r="N520" s="1119"/>
      <c r="O520" s="311">
        <f t="shared" si="91"/>
        <v>1</v>
      </c>
      <c r="P520" s="1119"/>
      <c r="Q520" s="311">
        <f t="shared" si="92"/>
        <v>1</v>
      </c>
      <c r="R520" s="1115">
        <f t="shared" si="93"/>
        <v>0</v>
      </c>
      <c r="S520" s="694">
        <f t="shared" si="94"/>
        <v>0</v>
      </c>
    </row>
    <row r="521" spans="1:19">
      <c r="A521" s="487"/>
      <c r="B521" s="346"/>
      <c r="C521" s="311">
        <f t="shared" si="85"/>
        <v>1</v>
      </c>
      <c r="D521" s="1119"/>
      <c r="E521" s="311">
        <f t="shared" si="86"/>
        <v>1</v>
      </c>
      <c r="F521" s="1119"/>
      <c r="G521" s="311">
        <f t="shared" si="87"/>
        <v>1</v>
      </c>
      <c r="H521" s="1119"/>
      <c r="I521" s="311">
        <f t="shared" si="88"/>
        <v>1</v>
      </c>
      <c r="J521" s="1119"/>
      <c r="K521" s="311">
        <f t="shared" si="89"/>
        <v>1</v>
      </c>
      <c r="L521" s="1119"/>
      <c r="M521" s="311">
        <f t="shared" si="90"/>
        <v>1</v>
      </c>
      <c r="N521" s="1119"/>
      <c r="O521" s="311">
        <f t="shared" si="91"/>
        <v>1</v>
      </c>
      <c r="P521" s="1119"/>
      <c r="Q521" s="311">
        <f t="shared" si="92"/>
        <v>1</v>
      </c>
      <c r="R521" s="1115">
        <f t="shared" si="93"/>
        <v>0</v>
      </c>
      <c r="S521" s="694">
        <f t="shared" si="94"/>
        <v>0</v>
      </c>
    </row>
    <row r="522" spans="1:19">
      <c r="A522" s="487"/>
      <c r="B522" s="346"/>
      <c r="C522" s="311">
        <f t="shared" si="85"/>
        <v>1</v>
      </c>
      <c r="D522" s="1119"/>
      <c r="E522" s="311">
        <f t="shared" si="86"/>
        <v>1</v>
      </c>
      <c r="F522" s="1119"/>
      <c r="G522" s="311">
        <f t="shared" si="87"/>
        <v>1</v>
      </c>
      <c r="H522" s="1119"/>
      <c r="I522" s="311">
        <f t="shared" si="88"/>
        <v>1</v>
      </c>
      <c r="J522" s="1119"/>
      <c r="K522" s="311">
        <f t="shared" si="89"/>
        <v>1</v>
      </c>
      <c r="L522" s="1119"/>
      <c r="M522" s="311">
        <f t="shared" si="90"/>
        <v>1</v>
      </c>
      <c r="N522" s="1119"/>
      <c r="O522" s="311">
        <f t="shared" si="91"/>
        <v>1</v>
      </c>
      <c r="P522" s="1119"/>
      <c r="Q522" s="311">
        <f t="shared" si="92"/>
        <v>1</v>
      </c>
      <c r="R522" s="1115">
        <f t="shared" si="93"/>
        <v>0</v>
      </c>
      <c r="S522" s="694">
        <f t="shared" si="94"/>
        <v>0</v>
      </c>
    </row>
    <row r="523" spans="1:19">
      <c r="A523" s="487"/>
      <c r="B523" s="346"/>
      <c r="C523" s="311">
        <f t="shared" si="85"/>
        <v>1</v>
      </c>
      <c r="D523" s="1119"/>
      <c r="E523" s="311">
        <f t="shared" si="86"/>
        <v>1</v>
      </c>
      <c r="F523" s="1119"/>
      <c r="G523" s="311">
        <f t="shared" si="87"/>
        <v>1</v>
      </c>
      <c r="H523" s="1119"/>
      <c r="I523" s="311">
        <f t="shared" si="88"/>
        <v>1</v>
      </c>
      <c r="J523" s="1119"/>
      <c r="K523" s="311">
        <f t="shared" si="89"/>
        <v>1</v>
      </c>
      <c r="L523" s="1119"/>
      <c r="M523" s="311">
        <f t="shared" si="90"/>
        <v>1</v>
      </c>
      <c r="N523" s="1119"/>
      <c r="O523" s="311">
        <f t="shared" si="91"/>
        <v>1</v>
      </c>
      <c r="P523" s="1119"/>
      <c r="Q523" s="311">
        <f t="shared" si="92"/>
        <v>1</v>
      </c>
      <c r="R523" s="1115">
        <f t="shared" si="93"/>
        <v>0</v>
      </c>
      <c r="S523" s="694">
        <f t="shared" si="94"/>
        <v>0</v>
      </c>
    </row>
    <row r="524" spans="1:19">
      <c r="A524" s="487"/>
      <c r="B524" s="346"/>
      <c r="C524" s="311">
        <f t="shared" si="85"/>
        <v>1</v>
      </c>
      <c r="D524" s="1119"/>
      <c r="E524" s="311">
        <f t="shared" si="86"/>
        <v>1</v>
      </c>
      <c r="F524" s="1119"/>
      <c r="G524" s="311">
        <f t="shared" si="87"/>
        <v>1</v>
      </c>
      <c r="H524" s="1119"/>
      <c r="I524" s="311">
        <f t="shared" si="88"/>
        <v>1</v>
      </c>
      <c r="J524" s="1119"/>
      <c r="K524" s="311">
        <f t="shared" si="89"/>
        <v>1</v>
      </c>
      <c r="L524" s="1119"/>
      <c r="M524" s="311">
        <f t="shared" si="90"/>
        <v>1</v>
      </c>
      <c r="N524" s="1119"/>
      <c r="O524" s="311">
        <f t="shared" si="91"/>
        <v>1</v>
      </c>
      <c r="P524" s="1119"/>
      <c r="Q524" s="311">
        <f t="shared" si="92"/>
        <v>1</v>
      </c>
      <c r="R524" s="1115">
        <f t="shared" si="93"/>
        <v>0</v>
      </c>
      <c r="S524" s="694">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1" customWidth="1"/>
    <col min="2" max="2" width="29.25" style="623" customWidth="1"/>
    <col min="3" max="3" width="12.125" style="623" customWidth="1"/>
    <col min="4" max="5" width="11.25" style="644" customWidth="1"/>
    <col min="6" max="6" width="9.5" style="623" customWidth="1"/>
    <col min="7" max="7" width="31.875" style="623" customWidth="1"/>
    <col min="8" max="254" width="9" style="623" customWidth="1"/>
    <col min="255" max="16384" width="8.375" style="623"/>
  </cols>
  <sheetData>
    <row r="1" spans="1:7" s="572" customFormat="1" ht="20.25">
      <c r="A1" s="568" t="s">
        <v>813</v>
      </c>
      <c r="B1" s="569"/>
      <c r="C1" s="570"/>
      <c r="D1" s="570"/>
      <c r="E1" s="570"/>
      <c r="F1" s="570"/>
      <c r="G1" s="571"/>
    </row>
    <row r="2" spans="1:7" s="572" customFormat="1" ht="18" customHeight="1">
      <c r="A2" s="573" t="s">
        <v>814</v>
      </c>
      <c r="B2" s="574">
        <f ca="1">C52</f>
        <v>35623</v>
      </c>
      <c r="C2" s="85" t="s">
        <v>863</v>
      </c>
      <c r="D2" s="571"/>
      <c r="E2" s="571"/>
      <c r="F2" s="571"/>
      <c r="G2" s="571"/>
    </row>
    <row r="3" spans="1:7" s="572" customFormat="1" ht="18" customHeight="1" thickBot="1">
      <c r="A3" s="575" t="s">
        <v>815</v>
      </c>
      <c r="B3" s="576">
        <f ca="1">ROUND(B2*10000/'数据-汇总表'!E3,0)</f>
        <v>8141</v>
      </c>
      <c r="C3" s="85" t="s">
        <v>864</v>
      </c>
      <c r="D3" s="571"/>
      <c r="E3" s="571"/>
      <c r="F3" s="571"/>
      <c r="G3" s="571"/>
    </row>
    <row r="4" spans="1:7" s="580" customFormat="1" ht="15.75">
      <c r="A4" s="577" t="s">
        <v>816</v>
      </c>
      <c r="B4" s="578"/>
      <c r="C4" s="578"/>
      <c r="D4" s="578"/>
      <c r="E4" s="578"/>
      <c r="F4" s="578"/>
      <c r="G4" s="579"/>
    </row>
    <row r="5" spans="1:7" s="586" customFormat="1" ht="13.5" customHeight="1">
      <c r="A5" s="627" t="s">
        <v>2498</v>
      </c>
      <c r="B5" s="582" t="s">
        <v>817</v>
      </c>
      <c r="C5" s="583">
        <f>C6+C7+C8</f>
        <v>20610</v>
      </c>
      <c r="D5" s="583" t="s">
        <v>818</v>
      </c>
      <c r="E5" s="584" t="s">
        <v>819</v>
      </c>
      <c r="F5" s="584" t="s">
        <v>820</v>
      </c>
      <c r="G5" s="585"/>
    </row>
    <row r="6" spans="1:7" s="586" customFormat="1" ht="13.5" customHeight="1">
      <c r="A6" s="1786" t="s">
        <v>1914</v>
      </c>
      <c r="B6" s="587" t="s">
        <v>821</v>
      </c>
      <c r="C6" s="588">
        <v>20000</v>
      </c>
      <c r="D6" s="589"/>
      <c r="E6" s="590"/>
      <c r="F6" s="590"/>
      <c r="G6" s="591"/>
    </row>
    <row r="7" spans="1:7" s="586" customFormat="1" ht="13.5" customHeight="1">
      <c r="A7" s="1786" t="s">
        <v>1915</v>
      </c>
      <c r="B7" s="587" t="s">
        <v>344</v>
      </c>
      <c r="C7" s="592">
        <f>ROUND(C6*F7,0)</f>
        <v>610</v>
      </c>
      <c r="D7" s="592"/>
      <c r="E7" s="590"/>
      <c r="F7" s="593">
        <f>'数据-取费表'!B48+'数据-取费表'!B49</f>
        <v>3.0499999999999999E-2</v>
      </c>
      <c r="G7" s="591"/>
    </row>
    <row r="8" spans="1:7" s="595" customFormat="1">
      <c r="A8" s="1786" t="s">
        <v>1916</v>
      </c>
      <c r="B8" s="587" t="s">
        <v>822</v>
      </c>
      <c r="C8" s="592" t="str">
        <f>IF(G8="已包含在土地购买价格中","0",'数据-取费表'!B29)</f>
        <v>0</v>
      </c>
      <c r="D8" s="594"/>
      <c r="E8" s="592"/>
      <c r="F8" s="593"/>
      <c r="G8" s="84" t="s">
        <v>2676</v>
      </c>
    </row>
    <row r="9" spans="1:7" s="586" customFormat="1" ht="13.5" customHeight="1">
      <c r="A9" s="1787" t="s">
        <v>1923</v>
      </c>
      <c r="B9" s="596" t="s">
        <v>823</v>
      </c>
      <c r="C9" s="597">
        <f>ROUND(D9*E9/10000,0)</f>
        <v>532</v>
      </c>
      <c r="D9" s="1891">
        <f>'数据-汇总表'!E5</f>
        <v>33256.36</v>
      </c>
      <c r="E9" s="597">
        <f>'数据-取费表'!B27</f>
        <v>160</v>
      </c>
      <c r="F9" s="593"/>
      <c r="G9" s="598"/>
    </row>
    <row r="10" spans="1:7" s="586" customFormat="1" ht="13.5" customHeight="1">
      <c r="A10" s="1787" t="s">
        <v>1924</v>
      </c>
      <c r="B10" s="596" t="s">
        <v>824</v>
      </c>
      <c r="C10" s="597">
        <f>ROUND(D10*E10/10000,0)</f>
        <v>210</v>
      </c>
      <c r="D10" s="1891">
        <f>'数据-汇总表'!E6</f>
        <v>10502.160000000003</v>
      </c>
      <c r="E10" s="597">
        <f>'数据-取费表'!B28</f>
        <v>200</v>
      </c>
      <c r="F10" s="593"/>
      <c r="G10" s="598"/>
    </row>
    <row r="11" spans="1:7" s="586" customFormat="1" ht="13.5" hidden="1" customHeight="1">
      <c r="A11" s="599" t="s">
        <v>42</v>
      </c>
      <c r="B11" s="587" t="s">
        <v>825</v>
      </c>
      <c r="C11" s="583"/>
      <c r="D11" s="1893"/>
      <c r="E11" s="590"/>
      <c r="F11" s="590"/>
      <c r="G11" s="591"/>
    </row>
    <row r="12" spans="1:7" s="586" customFormat="1" ht="13.5" hidden="1" customHeight="1">
      <c r="A12" s="599" t="s">
        <v>43</v>
      </c>
      <c r="B12" s="587" t="s">
        <v>826</v>
      </c>
      <c r="C12" s="583">
        <v>0</v>
      </c>
      <c r="D12" s="1893"/>
      <c r="E12" s="600"/>
      <c r="F12" s="593">
        <v>3.0499999999999999E-2</v>
      </c>
      <c r="G12" s="591"/>
    </row>
    <row r="13" spans="1:7" s="586" customFormat="1" ht="13.5" hidden="1" customHeight="1">
      <c r="A13" s="599" t="s">
        <v>44</v>
      </c>
      <c r="B13" s="587" t="s">
        <v>827</v>
      </c>
      <c r="C13" s="583"/>
      <c r="D13" s="1893"/>
      <c r="E13" s="590"/>
      <c r="F13" s="590"/>
      <c r="G13" s="591"/>
    </row>
    <row r="14" spans="1:7" s="586" customFormat="1" ht="13.5" hidden="1" customHeight="1">
      <c r="A14" s="599" t="s">
        <v>45</v>
      </c>
      <c r="B14" s="587" t="s">
        <v>822</v>
      </c>
      <c r="C14" s="583"/>
      <c r="D14" s="1893"/>
      <c r="E14" s="590"/>
      <c r="F14" s="590"/>
      <c r="G14" s="591" t="s">
        <v>828</v>
      </c>
    </row>
    <row r="15" spans="1:7" s="586" customFormat="1" ht="13.5" hidden="1" customHeight="1">
      <c r="A15" s="599" t="s">
        <v>46</v>
      </c>
      <c r="B15" s="587" t="s">
        <v>829</v>
      </c>
      <c r="C15" s="592"/>
      <c r="D15" s="1893"/>
      <c r="E15" s="590"/>
      <c r="F15" s="590"/>
      <c r="G15" s="591" t="s">
        <v>830</v>
      </c>
    </row>
    <row r="16" spans="1:7" s="586" customFormat="1" ht="13.5" hidden="1" customHeight="1">
      <c r="A16" s="599" t="s">
        <v>47</v>
      </c>
      <c r="B16" s="587" t="s">
        <v>822</v>
      </c>
      <c r="C16" s="592"/>
      <c r="D16" s="1893"/>
      <c r="E16" s="590"/>
      <c r="F16" s="590"/>
      <c r="G16" s="591"/>
    </row>
    <row r="17" spans="1:7" s="586" customFormat="1" ht="13.5" hidden="1" customHeight="1">
      <c r="A17" s="599" t="s">
        <v>48</v>
      </c>
      <c r="B17" s="587" t="s">
        <v>831</v>
      </c>
      <c r="C17" s="601"/>
      <c r="D17" s="1894"/>
      <c r="E17" s="601"/>
      <c r="F17" s="601"/>
      <c r="G17" s="591" t="s">
        <v>830</v>
      </c>
    </row>
    <row r="18" spans="1:7" s="586" customFormat="1" ht="13.5" hidden="1" customHeight="1">
      <c r="A18" s="599" t="s">
        <v>49</v>
      </c>
      <c r="B18" s="587" t="s">
        <v>832</v>
      </c>
      <c r="C18" s="592">
        <v>0</v>
      </c>
      <c r="D18" s="1893"/>
      <c r="E18" s="590"/>
      <c r="F18" s="593">
        <v>3.0499999999999999E-2</v>
      </c>
      <c r="G18" s="591" t="s">
        <v>833</v>
      </c>
    </row>
    <row r="19" spans="1:7" s="595" customFormat="1" ht="13.5" customHeight="1">
      <c r="A19" s="1785" t="s">
        <v>2499</v>
      </c>
      <c r="B19" s="582" t="s">
        <v>841</v>
      </c>
      <c r="C19" s="583">
        <f>IF(G19="已包含在土地取得成本中","0",ROUND(D19*E19/10000,0))</f>
        <v>875</v>
      </c>
      <c r="D19" s="1895">
        <f>'数据-汇总表'!E3</f>
        <v>43758.520000000004</v>
      </c>
      <c r="E19" s="583">
        <f>'数据-取费表'!B31</f>
        <v>200</v>
      </c>
      <c r="F19" s="603"/>
      <c r="G19" s="84" t="s">
        <v>2521</v>
      </c>
    </row>
    <row r="20" spans="1:7" s="586" customFormat="1" ht="13.5" customHeight="1">
      <c r="A20" s="1785" t="s">
        <v>2501</v>
      </c>
      <c r="B20" s="582" t="s">
        <v>834</v>
      </c>
      <c r="C20" s="604">
        <f>ROUND((C5+C19)*F20,0)</f>
        <v>430</v>
      </c>
      <c r="D20" s="604"/>
      <c r="E20" s="604"/>
      <c r="F20" s="605">
        <f>'数据-取费表'!B37</f>
        <v>0.02</v>
      </c>
      <c r="G20" s="2601" t="s">
        <v>2512</v>
      </c>
    </row>
    <row r="21" spans="1:7" s="586" customFormat="1" ht="13.5" customHeight="1">
      <c r="A21" s="1785" t="s">
        <v>2503</v>
      </c>
      <c r="B21" s="582" t="s">
        <v>835</v>
      </c>
      <c r="C21" s="607">
        <f>F21</f>
        <v>0.02</v>
      </c>
      <c r="D21" s="608" t="s">
        <v>856</v>
      </c>
      <c r="E21" s="604"/>
      <c r="F21" s="605">
        <f>'数据-取费表'!B38</f>
        <v>0.02</v>
      </c>
      <c r="G21" s="606" t="s">
        <v>836</v>
      </c>
    </row>
    <row r="22" spans="1:7" s="586" customFormat="1" ht="13.5" customHeight="1">
      <c r="A22" s="1785" t="s">
        <v>1909</v>
      </c>
      <c r="B22" s="582" t="s">
        <v>837</v>
      </c>
      <c r="C22" s="2680">
        <f ca="1">ROUND(SUM(C23:C25),0)</f>
        <v>716</v>
      </c>
      <c r="D22" s="607">
        <f ca="1">C26</f>
        <v>2.9999999999999997E-4</v>
      </c>
      <c r="E22" s="608" t="s">
        <v>856</v>
      </c>
      <c r="F22" s="609">
        <f ca="1">'数据-取费表'!B40</f>
        <v>4.7500000000000001E-2</v>
      </c>
      <c r="G22" s="2601" t="str">
        <f>IF('数据-取费表'!B22&lt;=1,"单利计息","复利计息")</f>
        <v>复利计息</v>
      </c>
    </row>
    <row r="23" spans="1:7" s="586" customFormat="1" ht="13.5" customHeight="1">
      <c r="A23" s="1788" t="s">
        <v>1917</v>
      </c>
      <c r="B23" s="587" t="s">
        <v>2505</v>
      </c>
      <c r="C23" s="2681">
        <f ca="1">ROUND(IF('数据-取费表'!B22&lt;=1,C5*F22*'数据-取费表'!B23,C5*(POWER((1+F22),'数据-取费表'!B23)-1)),0)</f>
        <v>680</v>
      </c>
      <c r="D23" s="610"/>
      <c r="E23" s="610"/>
      <c r="F23" s="611"/>
      <c r="G23" s="612" t="s">
        <v>838</v>
      </c>
    </row>
    <row r="24" spans="1:7" s="586" customFormat="1" ht="13.5" customHeight="1">
      <c r="A24" s="1788" t="s">
        <v>1915</v>
      </c>
      <c r="B24" s="587" t="s">
        <v>2500</v>
      </c>
      <c r="C24" s="2681">
        <f ca="1">ROUND(IF('数据-取费表'!B22&lt;=1,C19*F22*('数据-取费表'!B19/2+'数据-取费表'!B21),C19*(POWER((1+F22),('数据-取费表'!B19/2+'数据-取费表'!B21))-1)),0)</f>
        <v>29</v>
      </c>
      <c r="D24" s="610"/>
      <c r="E24" s="610"/>
      <c r="F24" s="611"/>
      <c r="G24" s="612" t="s">
        <v>839</v>
      </c>
    </row>
    <row r="25" spans="1:7" s="586" customFormat="1" ht="24">
      <c r="A25" s="1788" t="s">
        <v>1916</v>
      </c>
      <c r="B25" s="587" t="s">
        <v>2502</v>
      </c>
      <c r="C25" s="2681">
        <f ca="1">ROUND(IF('数据-取费表'!B22&lt;=1,C20*F22*'数据-取费表'!B23/2,C20*(POWER((1+F22),'数据-取费表'!B23/2)-1)),0)</f>
        <v>7</v>
      </c>
      <c r="D25" s="610"/>
      <c r="E25" s="613"/>
      <c r="F25" s="611"/>
      <c r="G25" s="614" t="s">
        <v>840</v>
      </c>
    </row>
    <row r="26" spans="1:7" s="586" customFormat="1">
      <c r="A26" s="1788" t="s">
        <v>1918</v>
      </c>
      <c r="B26" s="587" t="s">
        <v>2504</v>
      </c>
      <c r="C26" s="610">
        <f ca="1">ROUND(IF('数据-取费表'!B22&lt;=1,F21*F22*'数据-取费表'!B23/2,F21*(POWER((1+F22),'数据-取费表'!B23/2)-1)),4)</f>
        <v>2.9999999999999997E-4</v>
      </c>
      <c r="D26" s="610"/>
      <c r="E26" s="613"/>
      <c r="F26" s="611"/>
      <c r="G26" s="615"/>
    </row>
    <row r="27" spans="1:7" s="586" customFormat="1" ht="24.75">
      <c r="A27" s="1785" t="s">
        <v>1910</v>
      </c>
      <c r="B27" s="616" t="s">
        <v>842</v>
      </c>
      <c r="C27" s="617">
        <f>C28</f>
        <v>511</v>
      </c>
      <c r="D27" s="607">
        <f>C29</f>
        <v>5.0000000000000001E-4</v>
      </c>
      <c r="E27" s="608" t="s">
        <v>856</v>
      </c>
      <c r="F27" s="618">
        <f>'数据-取费表'!Q16</f>
        <v>0.1</v>
      </c>
      <c r="G27" s="619" t="s">
        <v>2513</v>
      </c>
    </row>
    <row r="28" spans="1:7" s="586" customFormat="1" ht="13.5" customHeight="1">
      <c r="A28" s="1788" t="s">
        <v>1917</v>
      </c>
      <c r="B28" s="620" t="s">
        <v>2506</v>
      </c>
      <c r="C28" s="621">
        <f>ROUND((C5+C19+C20)*F27*'数据-取费表'!B21/'数据-取费表'!B20,0)</f>
        <v>511</v>
      </c>
      <c r="D28" s="607"/>
      <c r="E28" s="608"/>
      <c r="F28" s="618"/>
      <c r="G28" s="619"/>
    </row>
    <row r="29" spans="1:7" s="586" customFormat="1" ht="13.5" customHeight="1">
      <c r="A29" s="1788" t="s">
        <v>1915</v>
      </c>
      <c r="B29" s="620" t="s">
        <v>2507</v>
      </c>
      <c r="C29" s="610">
        <f>ROUND(C21*F27*'数据-取费表'!B21/'数据-取费表'!B20,4)</f>
        <v>5.0000000000000001E-4</v>
      </c>
      <c r="D29" s="607"/>
      <c r="E29" s="608"/>
      <c r="F29" s="618"/>
      <c r="G29" s="619"/>
    </row>
    <row r="30" spans="1:7" s="586" customFormat="1" ht="13.5" customHeight="1">
      <c r="A30" s="1785" t="s">
        <v>1911</v>
      </c>
      <c r="B30" s="582" t="s">
        <v>345</v>
      </c>
      <c r="C30" s="607">
        <f>F30</f>
        <v>5.5000000000000007E-2</v>
      </c>
      <c r="D30" s="608" t="s">
        <v>857</v>
      </c>
      <c r="E30" s="613"/>
      <c r="F30" s="609">
        <f>'数据-取费表'!B41</f>
        <v>5.5000000000000007E-2</v>
      </c>
      <c r="G30" s="606" t="s">
        <v>843</v>
      </c>
    </row>
    <row r="31" spans="1:7" ht="16.5" customHeight="1">
      <c r="A31" s="581">
        <v>1</v>
      </c>
      <c r="B31" s="582" t="s">
        <v>858</v>
      </c>
      <c r="C31" s="583">
        <f ca="1">ROUND((C5+C19+C20+C22+C27)/(1-C21-D22-D27-C30/(1+'数据-取费表'!B42)),0)</f>
        <v>24969</v>
      </c>
      <c r="D31" s="602"/>
      <c r="E31" s="583"/>
      <c r="F31" s="622"/>
      <c r="G31" s="606" t="s">
        <v>2514</v>
      </c>
    </row>
    <row r="32" spans="1:7" s="580" customFormat="1" ht="15.75">
      <c r="A32" s="624" t="s">
        <v>844</v>
      </c>
      <c r="B32" s="625"/>
      <c r="C32" s="625"/>
      <c r="D32" s="625"/>
      <c r="E32" s="625"/>
      <c r="F32" s="625"/>
      <c r="G32" s="626"/>
    </row>
    <row r="33" spans="1:7" s="586" customFormat="1" ht="13.5" customHeight="1">
      <c r="A33" s="627" t="s">
        <v>1905</v>
      </c>
      <c r="B33" s="582" t="s">
        <v>845</v>
      </c>
      <c r="C33" s="628">
        <f>SUM(C34:C38)</f>
        <v>8657</v>
      </c>
      <c r="D33" s="604"/>
      <c r="E33" s="584"/>
      <c r="F33" s="613"/>
      <c r="G33" s="606"/>
    </row>
    <row r="34" spans="1:7" s="630" customFormat="1" ht="13.5" customHeight="1">
      <c r="A34" s="1788" t="s">
        <v>1917</v>
      </c>
      <c r="B34" s="587" t="s">
        <v>346</v>
      </c>
      <c r="C34" s="592">
        <f>IF(F34=100%,'数据-取费表'!M16-SUMIF('数据-取费表'!C:C,"公共配套",'数据-取费表'!M:M),'数据-取费表'!O16-SUMIF('数据-取费表'!C:C,"公共配套",'数据-取费表'!O:O))</f>
        <v>7750</v>
      </c>
      <c r="D34" s="589"/>
      <c r="E34" s="592"/>
      <c r="F34" s="629">
        <f>IF('数据-取费表'!B24=0,1,'数据-取费表'!N16)</f>
        <v>0.49399999999999999</v>
      </c>
      <c r="G34" s="591" t="s">
        <v>846</v>
      </c>
    </row>
    <row r="35" spans="1:7" ht="13.5" customHeight="1">
      <c r="A35" s="1788" t="s">
        <v>1919</v>
      </c>
      <c r="B35" s="587" t="s">
        <v>347</v>
      </c>
      <c r="C35" s="592">
        <f>ROUND(C34*F35,0)</f>
        <v>233</v>
      </c>
      <c r="D35" s="592"/>
      <c r="E35" s="592"/>
      <c r="F35" s="631">
        <f>'数据-取费表'!B33</f>
        <v>0.03</v>
      </c>
      <c r="G35" s="591" t="s">
        <v>847</v>
      </c>
    </row>
    <row r="36" spans="1:7" ht="24">
      <c r="A36" s="1788" t="s">
        <v>1920</v>
      </c>
      <c r="B36" s="587" t="s">
        <v>348</v>
      </c>
      <c r="C36" s="592">
        <f>ROUND(IF(SUMIF('数据-取费表'!C:C,"住宅",IF(F34=100%,'数据-取费表'!M:M,'数据-取费表'!O:O))=0,0,IF(F36=0,SUMIF('数据-取费表'!C:C,"公共配套",IF(F34=100%,'数据-取费表'!M:M,'数据-取费表'!O:O)),SUMIF('数据-取费表'!C:C,"住宅",IF(F34=100%,'数据-取费表'!M:M,'数据-取费表'!O:O))*F36)),0)</f>
        <v>126</v>
      </c>
      <c r="D36" s="592"/>
      <c r="E36" s="592"/>
      <c r="F36" s="631">
        <f>'数据-取费表'!B34</f>
        <v>0.02</v>
      </c>
      <c r="G36" s="632" t="s">
        <v>349</v>
      </c>
    </row>
    <row r="37" spans="1:7" s="630" customFormat="1" ht="13.5" customHeight="1">
      <c r="A37" s="1788" t="s">
        <v>1921</v>
      </c>
      <c r="B37" s="587" t="s">
        <v>848</v>
      </c>
      <c r="C37" s="621">
        <f>ROUND(E37*D37*F34/10000,0)</f>
        <v>432</v>
      </c>
      <c r="D37" s="589">
        <f>'数据-汇总表'!E3</f>
        <v>43758.520000000004</v>
      </c>
      <c r="E37" s="621">
        <f>'数据-取费表'!B35</f>
        <v>200</v>
      </c>
      <c r="F37" s="631"/>
      <c r="G37" s="633" t="s">
        <v>849</v>
      </c>
    </row>
    <row r="38" spans="1:7" ht="13.5" customHeight="1">
      <c r="A38" s="1788" t="s">
        <v>1922</v>
      </c>
      <c r="B38" s="587" t="s">
        <v>350</v>
      </c>
      <c r="C38" s="592">
        <f>ROUND(C34*F38,0)</f>
        <v>116</v>
      </c>
      <c r="D38" s="592"/>
      <c r="E38" s="592"/>
      <c r="F38" s="631">
        <f>'数据-取费表'!B36</f>
        <v>1.4999999999999999E-2</v>
      </c>
      <c r="G38" s="591" t="s">
        <v>847</v>
      </c>
    </row>
    <row r="39" spans="1:7" s="586" customFormat="1" ht="13.5" customHeight="1">
      <c r="A39" s="1785" t="s">
        <v>1906</v>
      </c>
      <c r="B39" s="582" t="s">
        <v>834</v>
      </c>
      <c r="C39" s="604">
        <f>ROUND(C33*F20,0)</f>
        <v>173</v>
      </c>
      <c r="D39" s="604"/>
      <c r="E39" s="604"/>
      <c r="F39" s="605"/>
      <c r="G39" s="2601" t="s">
        <v>2515</v>
      </c>
    </row>
    <row r="40" spans="1:7" s="586" customFormat="1" ht="13.5" customHeight="1">
      <c r="A40" s="1785" t="s">
        <v>1907</v>
      </c>
      <c r="B40" s="582" t="s">
        <v>835</v>
      </c>
      <c r="C40" s="634">
        <f>F21</f>
        <v>0.02</v>
      </c>
      <c r="D40" s="608" t="s">
        <v>859</v>
      </c>
      <c r="E40" s="604"/>
      <c r="F40" s="605"/>
      <c r="G40" s="606" t="s">
        <v>850</v>
      </c>
    </row>
    <row r="41" spans="1:7" s="586" customFormat="1" ht="13.5" customHeight="1">
      <c r="A41" s="1785" t="s">
        <v>1908</v>
      </c>
      <c r="B41" s="582" t="s">
        <v>837</v>
      </c>
      <c r="C41" s="604">
        <f ca="1">ROUND(SUM(C42:C43),0)</f>
        <v>145</v>
      </c>
      <c r="D41" s="607">
        <f ca="1">C44</f>
        <v>2.9999999999999997E-4</v>
      </c>
      <c r="E41" s="608" t="s">
        <v>859</v>
      </c>
      <c r="F41" s="609"/>
      <c r="G41" s="2601" t="str">
        <f>IF('数据-取费表'!B22&lt;=1,"单利计息","复利计息")</f>
        <v>复利计息</v>
      </c>
    </row>
    <row r="42" spans="1:7" ht="13.5" customHeight="1">
      <c r="A42" s="1788" t="s">
        <v>1917</v>
      </c>
      <c r="B42" s="587" t="s">
        <v>2505</v>
      </c>
      <c r="C42" s="610">
        <f ca="1">ROUND(IF('数据-取费表'!B22&lt;=1,C33*F22*'数据-取费表'!B21/2,C33*(POWER((1+F22),'数据-取费表'!B21/2)-1)),0)</f>
        <v>142</v>
      </c>
      <c r="D42" s="610"/>
      <c r="E42" s="610"/>
      <c r="F42" s="611"/>
      <c r="G42" s="3579" t="s">
        <v>851</v>
      </c>
    </row>
    <row r="43" spans="1:7" ht="13.5" customHeight="1">
      <c r="A43" s="1788" t="s">
        <v>1915</v>
      </c>
      <c r="B43" s="587" t="s">
        <v>2508</v>
      </c>
      <c r="C43" s="610">
        <f ca="1">ROUND(IF('数据-取费表'!B22&lt;=1,C39*F22*'数据-取费表'!B21/2,C39*(POWER((1+F22),'数据-取费表'!B21/2)-1)),0)</f>
        <v>3</v>
      </c>
      <c r="D43" s="610"/>
      <c r="E43" s="610"/>
      <c r="F43" s="611"/>
      <c r="G43" s="3580"/>
    </row>
    <row r="44" spans="1:7" ht="13.5" customHeight="1">
      <c r="A44" s="1788" t="s">
        <v>1916</v>
      </c>
      <c r="B44" s="587" t="s">
        <v>2510</v>
      </c>
      <c r="C44" s="610">
        <f ca="1">ROUND(IF('数据-取费表'!B22&lt;=1,C40*F22*'数据-取费表'!B21/2,C40*(POWER((1+F22),'数据-取费表'!B21/2)-1)),4)</f>
        <v>2.9999999999999997E-4</v>
      </c>
      <c r="D44" s="610"/>
      <c r="E44" s="610"/>
      <c r="F44" s="611"/>
      <c r="G44" s="3581"/>
    </row>
    <row r="45" spans="1:7" s="586" customFormat="1" ht="13.5" customHeight="1">
      <c r="A45" s="1785" t="s">
        <v>1909</v>
      </c>
      <c r="B45" s="616" t="s">
        <v>842</v>
      </c>
      <c r="C45" s="617">
        <f>C46</f>
        <v>883</v>
      </c>
      <c r="D45" s="607">
        <f>C47</f>
        <v>2E-3</v>
      </c>
      <c r="E45" s="608" t="s">
        <v>859</v>
      </c>
      <c r="F45" s="618"/>
      <c r="G45" s="619" t="s">
        <v>2516</v>
      </c>
    </row>
    <row r="46" spans="1:7" s="586" customFormat="1" ht="13.5" customHeight="1">
      <c r="A46" s="1788" t="s">
        <v>1917</v>
      </c>
      <c r="B46" s="620" t="s">
        <v>2509</v>
      </c>
      <c r="C46" s="621">
        <f>ROUND((C33+C39)*F27,0)</f>
        <v>883</v>
      </c>
      <c r="D46" s="635"/>
      <c r="E46" s="608"/>
      <c r="F46" s="618"/>
      <c r="G46" s="619"/>
    </row>
    <row r="47" spans="1:7" s="586" customFormat="1" ht="13.5" customHeight="1">
      <c r="A47" s="1788" t="s">
        <v>1915</v>
      </c>
      <c r="B47" s="620" t="s">
        <v>2511</v>
      </c>
      <c r="C47" s="610">
        <f>ROUND(C40*F27,4)</f>
        <v>2E-3</v>
      </c>
      <c r="D47" s="635"/>
      <c r="E47" s="608"/>
      <c r="F47" s="618"/>
      <c r="G47" s="619"/>
    </row>
    <row r="48" spans="1:7" s="586" customFormat="1" ht="13.5" customHeight="1">
      <c r="A48" s="1785" t="s">
        <v>1910</v>
      </c>
      <c r="B48" s="582" t="s">
        <v>852</v>
      </c>
      <c r="C48" s="634">
        <f>F30</f>
        <v>5.5000000000000007E-2</v>
      </c>
      <c r="D48" s="608" t="s">
        <v>860</v>
      </c>
      <c r="E48" s="604"/>
      <c r="F48" s="609"/>
      <c r="G48" s="606" t="s">
        <v>853</v>
      </c>
    </row>
    <row r="49" spans="1:7" ht="16.5" customHeight="1">
      <c r="A49" s="1785" t="s">
        <v>1911</v>
      </c>
      <c r="B49" s="582" t="s">
        <v>861</v>
      </c>
      <c r="C49" s="604">
        <f ca="1">ROUND((C33+C39+C41+C45)/(1-C40-D41-D45-C48/(1+'数据-取费表'!B42)),0)</f>
        <v>10654</v>
      </c>
      <c r="D49" s="604"/>
      <c r="E49" s="604"/>
      <c r="F49" s="636"/>
      <c r="G49" s="606" t="s">
        <v>2517</v>
      </c>
    </row>
    <row r="50" spans="1:7" s="630" customFormat="1" ht="24">
      <c r="A50" s="1785" t="s">
        <v>1912</v>
      </c>
      <c r="B50" s="582" t="s">
        <v>854</v>
      </c>
      <c r="C50" s="604"/>
      <c r="D50" s="604"/>
      <c r="E50" s="604"/>
      <c r="F50" s="636">
        <f>IF('数据-取费表'!B24=0,'数据-取费表'!N16,1)</f>
        <v>1</v>
      </c>
      <c r="G50" s="619" t="s">
        <v>855</v>
      </c>
    </row>
    <row r="51" spans="1:7" ht="16.5" customHeight="1">
      <c r="A51" s="1785" t="s">
        <v>1913</v>
      </c>
      <c r="B51" s="582" t="s">
        <v>862</v>
      </c>
      <c r="C51" s="604">
        <f ca="1">ROUND(C49*F50,0)</f>
        <v>10654</v>
      </c>
      <c r="D51" s="604"/>
      <c r="E51" s="604"/>
      <c r="F51" s="636"/>
      <c r="G51" s="606" t="s">
        <v>351</v>
      </c>
    </row>
    <row r="52" spans="1:7" s="580" customFormat="1" ht="16.5" thickBot="1">
      <c r="A52" s="637" t="s">
        <v>352</v>
      </c>
      <c r="B52" s="638"/>
      <c r="C52" s="639">
        <f ca="1">C31+C51</f>
        <v>35623</v>
      </c>
      <c r="D52" s="638"/>
      <c r="E52" s="638"/>
      <c r="F52" s="638"/>
      <c r="G52" s="640"/>
    </row>
    <row r="55" spans="1:7" ht="15">
      <c r="B55" s="642" t="s">
        <v>353</v>
      </c>
      <c r="C55" s="643"/>
    </row>
    <row r="56" spans="1:7">
      <c r="B56" s="645" t="s">
        <v>354</v>
      </c>
      <c r="C56" s="646">
        <f ca="1">ROUND(C51/C52,3)</f>
        <v>0.29899999999999999</v>
      </c>
    </row>
    <row r="57" spans="1:7">
      <c r="B57" s="645" t="s">
        <v>355</v>
      </c>
      <c r="C57" s="647">
        <f ca="1">1-C56</f>
        <v>0.70100000000000007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28" customWidth="1"/>
    <col min="2" max="5" width="10.25" style="1473" customWidth="1"/>
    <col min="6" max="6" width="9" style="1473"/>
    <col min="7" max="8" width="9" style="1501"/>
    <col min="9" max="16384" width="9" style="1473"/>
  </cols>
  <sheetData>
    <row r="1" spans="1:19">
      <c r="A1" s="3775" t="s">
        <v>1163</v>
      </c>
      <c r="B1" s="3775"/>
      <c r="C1" s="3775"/>
      <c r="D1" s="3775"/>
      <c r="E1" s="3775"/>
      <c r="F1" s="3775"/>
      <c r="H1" s="1503" t="s">
        <v>1164</v>
      </c>
      <c r="I1" s="1504" t="s">
        <v>1165</v>
      </c>
      <c r="J1" s="1504" t="s">
        <v>1166</v>
      </c>
      <c r="K1" s="1504" t="s">
        <v>1167</v>
      </c>
      <c r="L1" s="1504" t="s">
        <v>1168</v>
      </c>
      <c r="M1" s="1504" t="s">
        <v>1169</v>
      </c>
      <c r="N1" s="1504" t="s">
        <v>1170</v>
      </c>
      <c r="O1" s="1504" t="s">
        <v>1171</v>
      </c>
      <c r="P1" s="1504" t="s">
        <v>1172</v>
      </c>
      <c r="Q1" s="1504" t="s">
        <v>1173</v>
      </c>
      <c r="R1" s="1504" t="s">
        <v>1174</v>
      </c>
      <c r="S1" s="1505" t="s">
        <v>1175</v>
      </c>
    </row>
    <row r="2" spans="1:19" ht="14.25" thickBot="1">
      <c r="A2" s="3776" t="s">
        <v>1176</v>
      </c>
      <c r="B2" s="3776"/>
      <c r="C2" s="3776"/>
      <c r="D2" s="3776"/>
      <c r="E2" s="3776"/>
      <c r="F2" s="3776"/>
      <c r="H2" s="1506" t="s">
        <v>1177</v>
      </c>
      <c r="I2" s="1507" t="s">
        <v>1178</v>
      </c>
      <c r="J2" s="1507" t="s">
        <v>1179</v>
      </c>
      <c r="K2" s="1507" t="s">
        <v>1180</v>
      </c>
      <c r="L2" s="1507" t="s">
        <v>1181</v>
      </c>
      <c r="M2" s="1507" t="s">
        <v>1182</v>
      </c>
      <c r="N2" s="1507" t="s">
        <v>1183</v>
      </c>
      <c r="O2" s="1507" t="s">
        <v>1184</v>
      </c>
      <c r="P2" s="1507" t="s">
        <v>1185</v>
      </c>
      <c r="Q2" s="1507" t="s">
        <v>1186</v>
      </c>
      <c r="R2" s="1507" t="s">
        <v>1187</v>
      </c>
      <c r="S2" s="1507" t="s">
        <v>1188</v>
      </c>
    </row>
    <row r="3" spans="1:19" s="1502" customFormat="1" ht="19.5" customHeight="1">
      <c r="A3" s="3777" t="s">
        <v>1189</v>
      </c>
      <c r="B3" s="1508"/>
      <c r="C3" s="1509" t="s">
        <v>1190</v>
      </c>
      <c r="D3" s="1509" t="s">
        <v>1191</v>
      </c>
      <c r="E3" s="1509" t="s">
        <v>1838</v>
      </c>
      <c r="F3" s="1509" t="s">
        <v>1193</v>
      </c>
      <c r="G3" s="1510"/>
      <c r="H3" s="1506" t="s">
        <v>1194</v>
      </c>
      <c r="I3" s="1507" t="s">
        <v>1195</v>
      </c>
      <c r="J3" s="1507" t="s">
        <v>1196</v>
      </c>
      <c r="K3" s="1507" t="s">
        <v>1197</v>
      </c>
      <c r="L3" s="1507" t="s">
        <v>1198</v>
      </c>
      <c r="M3" s="1507" t="s">
        <v>1199</v>
      </c>
      <c r="N3" s="1507" t="s">
        <v>1200</v>
      </c>
      <c r="O3" s="1507" t="s">
        <v>1201</v>
      </c>
      <c r="P3" s="1507" t="s">
        <v>1202</v>
      </c>
      <c r="Q3" s="1507" t="s">
        <v>1203</v>
      </c>
      <c r="R3" s="1507" t="s">
        <v>1204</v>
      </c>
      <c r="S3" s="1507" t="s">
        <v>1205</v>
      </c>
    </row>
    <row r="4" spans="1:19" s="1502" customFormat="1" ht="19.5" customHeight="1" thickBot="1">
      <c r="A4" s="3778"/>
      <c r="B4" s="1511" t="s">
        <v>1206</v>
      </c>
      <c r="C4" s="1511" t="s">
        <v>1207</v>
      </c>
      <c r="D4" s="1511" t="s">
        <v>1207</v>
      </c>
      <c r="E4" s="1511" t="s">
        <v>1207</v>
      </c>
      <c r="F4" s="1512" t="s">
        <v>1207</v>
      </c>
      <c r="G4" s="1510"/>
      <c r="H4" s="1506" t="s">
        <v>1208</v>
      </c>
      <c r="I4" s="1507" t="s">
        <v>1131</v>
      </c>
      <c r="J4" s="1507" t="s">
        <v>1209</v>
      </c>
      <c r="K4" s="1507" t="s">
        <v>1210</v>
      </c>
      <c r="L4" s="1507" t="s">
        <v>1211</v>
      </c>
      <c r="M4" s="1507" t="s">
        <v>1212</v>
      </c>
      <c r="N4" s="1507" t="s">
        <v>1213</v>
      </c>
      <c r="O4" s="1507" t="s">
        <v>1214</v>
      </c>
      <c r="P4" s="1507" t="s">
        <v>1215</v>
      </c>
      <c r="Q4" s="1507" t="s">
        <v>1216</v>
      </c>
      <c r="R4" s="1507" t="s">
        <v>1217</v>
      </c>
      <c r="S4" s="1507" t="s">
        <v>1218</v>
      </c>
    </row>
    <row r="5" spans="1:19" ht="14.25" customHeight="1" thickBot="1">
      <c r="A5" s="1513" t="s">
        <v>1945</v>
      </c>
      <c r="B5" s="1514" t="s">
        <v>1946</v>
      </c>
      <c r="C5" s="1514">
        <v>29530</v>
      </c>
      <c r="D5" s="1514">
        <v>28130</v>
      </c>
      <c r="E5" s="1514">
        <v>27930</v>
      </c>
      <c r="F5" s="1515">
        <v>11300</v>
      </c>
      <c r="G5" s="1510"/>
      <c r="H5" s="1506" t="s">
        <v>1220</v>
      </c>
      <c r="I5" s="1507" t="s">
        <v>1221</v>
      </c>
      <c r="J5" s="1507" t="s">
        <v>1222</v>
      </c>
      <c r="K5" s="1507" t="s">
        <v>1223</v>
      </c>
      <c r="L5" s="1507" t="s">
        <v>1224</v>
      </c>
      <c r="M5" s="1507" t="s">
        <v>1225</v>
      </c>
      <c r="N5" s="1507" t="s">
        <v>1226</v>
      </c>
      <c r="O5" s="1507" t="s">
        <v>1227</v>
      </c>
      <c r="P5" s="1507" t="s">
        <v>1228</v>
      </c>
      <c r="Q5" s="1507" t="s">
        <v>1229</v>
      </c>
      <c r="R5" s="1507" t="s">
        <v>1230</v>
      </c>
      <c r="S5" s="1507" t="s">
        <v>1231</v>
      </c>
    </row>
    <row r="6" spans="1:19" ht="14.25" customHeight="1" thickBot="1">
      <c r="A6" s="1513" t="s">
        <v>1219</v>
      </c>
      <c r="B6" s="1507" t="s">
        <v>1194</v>
      </c>
      <c r="C6" s="1507">
        <v>30290</v>
      </c>
      <c r="D6" s="1507">
        <v>29210</v>
      </c>
      <c r="E6" s="1507">
        <v>28860</v>
      </c>
      <c r="F6" s="1516">
        <v>12600</v>
      </c>
      <c r="G6" s="1510"/>
      <c r="H6" s="1506" t="s">
        <v>1232</v>
      </c>
      <c r="I6" s="1507" t="s">
        <v>1233</v>
      </c>
      <c r="J6" s="1507" t="s">
        <v>1234</v>
      </c>
      <c r="K6" s="1507" t="s">
        <v>1235</v>
      </c>
      <c r="L6" s="1507" t="s">
        <v>1236</v>
      </c>
      <c r="M6" s="1507" t="s">
        <v>1237</v>
      </c>
      <c r="N6" s="1507" t="s">
        <v>1238</v>
      </c>
      <c r="O6" s="1507" t="s">
        <v>1239</v>
      </c>
      <c r="P6" s="1507" t="s">
        <v>1240</v>
      </c>
      <c r="Q6" s="1507" t="s">
        <v>1241</v>
      </c>
      <c r="R6" s="1507" t="s">
        <v>1242</v>
      </c>
      <c r="S6" s="1507" t="s">
        <v>1243</v>
      </c>
    </row>
    <row r="7" spans="1:19" ht="14.25" customHeight="1" thickBot="1">
      <c r="A7" s="1513" t="s">
        <v>1219</v>
      </c>
      <c r="B7" s="1517" t="s">
        <v>1208</v>
      </c>
      <c r="C7" s="1507">
        <v>29350</v>
      </c>
      <c r="D7" s="1507">
        <v>28410</v>
      </c>
      <c r="E7" s="1507">
        <v>27990</v>
      </c>
      <c r="F7" s="1516">
        <v>12300</v>
      </c>
      <c r="G7" s="1510"/>
      <c r="I7" s="1507" t="s">
        <v>1244</v>
      </c>
      <c r="J7" s="1507" t="s">
        <v>1245</v>
      </c>
      <c r="K7" s="1507" t="s">
        <v>1246</v>
      </c>
      <c r="L7" s="1507" t="s">
        <v>1247</v>
      </c>
      <c r="M7" s="1507" t="s">
        <v>1248</v>
      </c>
      <c r="N7" s="1507" t="s">
        <v>1249</v>
      </c>
      <c r="O7" s="1507" t="s">
        <v>1250</v>
      </c>
      <c r="P7" s="1507" t="s">
        <v>1251</v>
      </c>
      <c r="Q7" s="1507" t="s">
        <v>1252</v>
      </c>
      <c r="R7" s="1507" t="s">
        <v>1253</v>
      </c>
      <c r="S7" s="1517" t="s">
        <v>1254</v>
      </c>
    </row>
    <row r="8" spans="1:19" ht="14.25" customHeight="1" thickBot="1">
      <c r="A8" s="1513" t="s">
        <v>1219</v>
      </c>
      <c r="B8" s="1507" t="s">
        <v>1220</v>
      </c>
      <c r="C8" s="1507">
        <v>30890</v>
      </c>
      <c r="D8" s="1507">
        <v>29780</v>
      </c>
      <c r="E8" s="1507">
        <v>29270</v>
      </c>
      <c r="F8" s="1516">
        <v>11600</v>
      </c>
      <c r="G8" s="1510"/>
      <c r="I8" s="1507" t="s">
        <v>1255</v>
      </c>
      <c r="J8" s="1507" t="s">
        <v>1256</v>
      </c>
      <c r="K8" s="1507" t="s">
        <v>1257</v>
      </c>
      <c r="L8" s="1507" t="s">
        <v>1258</v>
      </c>
      <c r="M8" s="1507" t="s">
        <v>1259</v>
      </c>
      <c r="N8" s="1507" t="s">
        <v>1260</v>
      </c>
      <c r="O8" s="1507" t="s">
        <v>1261</v>
      </c>
      <c r="P8" s="1507" t="s">
        <v>1262</v>
      </c>
      <c r="Q8" s="1507" t="s">
        <v>1263</v>
      </c>
      <c r="R8" s="1507" t="s">
        <v>1264</v>
      </c>
      <c r="S8" s="1507" t="s">
        <v>1265</v>
      </c>
    </row>
    <row r="9" spans="1:19" ht="14.25" customHeight="1" thickBot="1">
      <c r="A9" s="1513" t="s">
        <v>1219</v>
      </c>
      <c r="B9" s="1518" t="s">
        <v>1232</v>
      </c>
      <c r="C9" s="1519">
        <v>28140</v>
      </c>
      <c r="D9" s="1519"/>
      <c r="E9" s="1519"/>
      <c r="F9" s="1520"/>
      <c r="G9" s="1510"/>
      <c r="I9" s="1507" t="s">
        <v>1266</v>
      </c>
      <c r="J9" s="1507" t="s">
        <v>1267</v>
      </c>
      <c r="K9" s="1507" t="s">
        <v>1268</v>
      </c>
      <c r="L9" s="1507" t="s">
        <v>1269</v>
      </c>
      <c r="M9" s="1507" t="s">
        <v>1270</v>
      </c>
      <c r="N9" s="1507" t="s">
        <v>1271</v>
      </c>
      <c r="O9" s="1507" t="s">
        <v>1272</v>
      </c>
      <c r="P9" s="1507" t="s">
        <v>1273</v>
      </c>
      <c r="Q9" s="1507" t="s">
        <v>1274</v>
      </c>
      <c r="R9" s="1507" t="s">
        <v>1275</v>
      </c>
    </row>
    <row r="10" spans="1:19" ht="14.25" customHeight="1" thickBot="1">
      <c r="A10" s="1513" t="s">
        <v>1276</v>
      </c>
      <c r="B10" s="1514" t="s">
        <v>1277</v>
      </c>
      <c r="C10" s="1514">
        <v>27450</v>
      </c>
      <c r="D10" s="1514">
        <v>26180</v>
      </c>
      <c r="E10" s="1514">
        <v>25980</v>
      </c>
      <c r="F10" s="1515">
        <v>8910</v>
      </c>
      <c r="G10" s="1510"/>
      <c r="I10" s="1507" t="s">
        <v>1278</v>
      </c>
      <c r="J10" s="1507" t="s">
        <v>1279</v>
      </c>
      <c r="K10" s="1507" t="s">
        <v>1280</v>
      </c>
      <c r="L10" s="1507" t="s">
        <v>1281</v>
      </c>
      <c r="M10" s="1507" t="s">
        <v>1282</v>
      </c>
      <c r="N10" s="1507" t="s">
        <v>1283</v>
      </c>
      <c r="O10" s="1507" t="s">
        <v>1284</v>
      </c>
      <c r="P10" s="1507" t="s">
        <v>1285</v>
      </c>
      <c r="Q10" s="1507" t="s">
        <v>1286</v>
      </c>
      <c r="R10" s="1507" t="s">
        <v>1287</v>
      </c>
    </row>
    <row r="11" spans="1:19" ht="14.25" customHeight="1" thickBot="1">
      <c r="A11" s="1513" t="s">
        <v>1276</v>
      </c>
      <c r="B11" s="1517" t="s">
        <v>1195</v>
      </c>
      <c r="C11" s="1507">
        <v>22950</v>
      </c>
      <c r="D11" s="1507">
        <v>22630</v>
      </c>
      <c r="E11" s="1507">
        <v>22030</v>
      </c>
      <c r="F11" s="1521">
        <v>8330</v>
      </c>
      <c r="G11" s="1510"/>
      <c r="I11" s="1507" t="s">
        <v>1288</v>
      </c>
      <c r="J11" s="1507" t="s">
        <v>1289</v>
      </c>
      <c r="K11" s="1507" t="s">
        <v>1290</v>
      </c>
      <c r="L11" s="1507" t="s">
        <v>1291</v>
      </c>
      <c r="M11" s="1507" t="s">
        <v>1292</v>
      </c>
      <c r="N11" s="1507" t="s">
        <v>1293</v>
      </c>
      <c r="O11" s="1507" t="s">
        <v>1294</v>
      </c>
      <c r="P11" s="1507" t="s">
        <v>1295</v>
      </c>
      <c r="Q11" s="1507" t="s">
        <v>1296</v>
      </c>
      <c r="R11" s="1507" t="s">
        <v>1297</v>
      </c>
    </row>
    <row r="12" spans="1:19" ht="14.25" customHeight="1" thickBot="1">
      <c r="A12" s="1513" t="s">
        <v>1276</v>
      </c>
      <c r="B12" s="1517" t="s">
        <v>1131</v>
      </c>
      <c r="C12" s="1507">
        <v>24940</v>
      </c>
      <c r="D12" s="1507">
        <v>23180</v>
      </c>
      <c r="E12" s="1507">
        <v>22910</v>
      </c>
      <c r="F12" s="1521">
        <v>7180</v>
      </c>
      <c r="G12" s="1510"/>
      <c r="I12" s="1507" t="s">
        <v>1298</v>
      </c>
      <c r="J12" s="1507" t="s">
        <v>1299</v>
      </c>
      <c r="K12" s="1507" t="s">
        <v>1300</v>
      </c>
      <c r="L12" s="1507" t="s">
        <v>1301</v>
      </c>
      <c r="M12" s="1507" t="s">
        <v>1302</v>
      </c>
      <c r="N12" s="1507" t="s">
        <v>1303</v>
      </c>
      <c r="O12" s="1507" t="s">
        <v>1304</v>
      </c>
      <c r="P12" s="1507" t="s">
        <v>1305</v>
      </c>
      <c r="Q12" s="1507" t="s">
        <v>1306</v>
      </c>
      <c r="R12" s="1507" t="s">
        <v>1307</v>
      </c>
    </row>
    <row r="13" spans="1:19" ht="14.25" customHeight="1" thickBot="1">
      <c r="A13" s="1513" t="s">
        <v>1276</v>
      </c>
      <c r="B13" s="1517" t="s">
        <v>1221</v>
      </c>
      <c r="C13" s="1507">
        <v>24140</v>
      </c>
      <c r="D13" s="1507">
        <v>22270</v>
      </c>
      <c r="E13" s="1507">
        <v>21950</v>
      </c>
      <c r="F13" s="1521">
        <v>7600</v>
      </c>
      <c r="G13" s="1510"/>
      <c r="I13" s="1507" t="s">
        <v>1308</v>
      </c>
      <c r="J13" s="1507" t="s">
        <v>1309</v>
      </c>
      <c r="K13" s="1507" t="s">
        <v>1310</v>
      </c>
      <c r="L13" s="1507" t="s">
        <v>1311</v>
      </c>
      <c r="M13" s="1507" t="s">
        <v>1312</v>
      </c>
      <c r="N13" s="1507" t="s">
        <v>1313</v>
      </c>
      <c r="O13" s="1507" t="s">
        <v>1314</v>
      </c>
      <c r="P13" s="1507" t="s">
        <v>1315</v>
      </c>
      <c r="Q13" s="1507" t="s">
        <v>1316</v>
      </c>
      <c r="R13" s="1507" t="s">
        <v>1317</v>
      </c>
    </row>
    <row r="14" spans="1:19" ht="14.25" customHeight="1" thickBot="1">
      <c r="A14" s="1513" t="s">
        <v>1276</v>
      </c>
      <c r="B14" s="1517" t="s">
        <v>1233</v>
      </c>
      <c r="C14" s="1507">
        <v>25600</v>
      </c>
      <c r="D14" s="1507">
        <v>22260</v>
      </c>
      <c r="E14" s="1507">
        <v>22110</v>
      </c>
      <c r="F14" s="1521">
        <v>7630</v>
      </c>
      <c r="G14" s="1510"/>
      <c r="I14" s="1507" t="s">
        <v>1318</v>
      </c>
      <c r="J14" s="1507" t="s">
        <v>1319</v>
      </c>
      <c r="K14" s="1507" t="s">
        <v>1320</v>
      </c>
      <c r="L14" s="1507" t="s">
        <v>1321</v>
      </c>
      <c r="M14" s="1507" t="s">
        <v>1322</v>
      </c>
      <c r="N14" s="1507" t="s">
        <v>1323</v>
      </c>
      <c r="O14" s="1507" t="s">
        <v>1324</v>
      </c>
      <c r="P14" s="1507" t="s">
        <v>1325</v>
      </c>
      <c r="Q14" s="1507" t="s">
        <v>1326</v>
      </c>
      <c r="R14" s="1507" t="s">
        <v>1327</v>
      </c>
    </row>
    <row r="15" spans="1:19" ht="14.25" customHeight="1" thickBot="1">
      <c r="A15" s="1513" t="s">
        <v>1276</v>
      </c>
      <c r="B15" s="1517" t="s">
        <v>1244</v>
      </c>
      <c r="C15" s="1507">
        <v>24760</v>
      </c>
      <c r="D15" s="1507">
        <v>24440</v>
      </c>
      <c r="E15" s="1507">
        <v>24130</v>
      </c>
      <c r="F15" s="1521">
        <v>9480</v>
      </c>
      <c r="G15" s="1510"/>
      <c r="I15" s="1507" t="s">
        <v>1329</v>
      </c>
      <c r="J15" s="1507" t="s">
        <v>1330</v>
      </c>
      <c r="K15" s="1507" t="s">
        <v>1331</v>
      </c>
      <c r="L15" s="1507" t="s">
        <v>1332</v>
      </c>
      <c r="M15" s="1507" t="s">
        <v>1333</v>
      </c>
      <c r="N15" s="1507" t="s">
        <v>1334</v>
      </c>
      <c r="O15" s="1507" t="s">
        <v>1335</v>
      </c>
      <c r="P15" s="1507" t="s">
        <v>1336</v>
      </c>
      <c r="Q15" s="1507" t="s">
        <v>1337</v>
      </c>
      <c r="R15" s="1507" t="s">
        <v>1338</v>
      </c>
    </row>
    <row r="16" spans="1:19" ht="14.25" customHeight="1" thickBot="1">
      <c r="A16" s="1513" t="s">
        <v>1276</v>
      </c>
      <c r="B16" s="1517" t="s">
        <v>1255</v>
      </c>
      <c r="C16" s="1507">
        <v>22220</v>
      </c>
      <c r="D16" s="1507">
        <v>22310</v>
      </c>
      <c r="E16" s="1507">
        <v>22000</v>
      </c>
      <c r="F16" s="1521">
        <v>8900</v>
      </c>
      <c r="G16" s="1510"/>
      <c r="I16" s="1507" t="s">
        <v>1340</v>
      </c>
      <c r="J16" s="1507" t="s">
        <v>1341</v>
      </c>
      <c r="K16" s="1507" t="s">
        <v>1342</v>
      </c>
      <c r="L16" s="1507" t="s">
        <v>1343</v>
      </c>
      <c r="M16" s="1507" t="s">
        <v>1344</v>
      </c>
      <c r="N16" s="1507" t="s">
        <v>1345</v>
      </c>
      <c r="O16" s="1507" t="s">
        <v>1346</v>
      </c>
      <c r="P16" s="1507" t="s">
        <v>1347</v>
      </c>
      <c r="Q16" s="1507" t="s">
        <v>1348</v>
      </c>
      <c r="R16" s="1507" t="s">
        <v>1349</v>
      </c>
    </row>
    <row r="17" spans="1:18" ht="14.25" customHeight="1" thickBot="1">
      <c r="A17" s="1513" t="s">
        <v>1276</v>
      </c>
      <c r="B17" s="1517" t="s">
        <v>1266</v>
      </c>
      <c r="C17" s="1507">
        <v>24700</v>
      </c>
      <c r="D17" s="1507">
        <v>25150</v>
      </c>
      <c r="E17" s="1507">
        <v>24700</v>
      </c>
      <c r="F17" s="1522"/>
      <c r="G17" s="1510"/>
      <c r="I17" s="1507" t="s">
        <v>1350</v>
      </c>
      <c r="J17" s="1507" t="s">
        <v>1351</v>
      </c>
      <c r="K17" s="1507" t="s">
        <v>1352</v>
      </c>
      <c r="L17" s="1507" t="s">
        <v>1353</v>
      </c>
      <c r="M17" s="1507" t="s">
        <v>1354</v>
      </c>
      <c r="N17" s="1507" t="s">
        <v>1355</v>
      </c>
      <c r="O17" s="1507" t="s">
        <v>1356</v>
      </c>
      <c r="P17" s="1507" t="s">
        <v>1357</v>
      </c>
      <c r="Q17" s="1507" t="s">
        <v>1358</v>
      </c>
      <c r="R17" s="1507" t="s">
        <v>1359</v>
      </c>
    </row>
    <row r="18" spans="1:18" ht="14.25" customHeight="1" thickBot="1">
      <c r="A18" s="1513" t="s">
        <v>1276</v>
      </c>
      <c r="B18" s="1517" t="s">
        <v>1278</v>
      </c>
      <c r="C18" s="1507">
        <v>22350</v>
      </c>
      <c r="D18" s="1507">
        <v>24340</v>
      </c>
      <c r="E18" s="1507">
        <v>24100</v>
      </c>
      <c r="F18" s="1522"/>
      <c r="G18" s="1510"/>
      <c r="I18" s="1507" t="s">
        <v>1360</v>
      </c>
      <c r="J18" s="1507" t="s">
        <v>1361</v>
      </c>
      <c r="K18" s="1507" t="s">
        <v>1362</v>
      </c>
      <c r="L18" s="1507" t="s">
        <v>1363</v>
      </c>
      <c r="M18" s="1507" t="s">
        <v>1364</v>
      </c>
      <c r="N18" s="1507" t="s">
        <v>1365</v>
      </c>
      <c r="O18" s="1507" t="s">
        <v>1366</v>
      </c>
      <c r="P18" s="1507" t="s">
        <v>1367</v>
      </c>
      <c r="Q18" s="1507" t="s">
        <v>1368</v>
      </c>
      <c r="R18" s="1507" t="s">
        <v>1369</v>
      </c>
    </row>
    <row r="19" spans="1:18" ht="14.25" customHeight="1" thickBot="1">
      <c r="A19" s="1513" t="s">
        <v>1276</v>
      </c>
      <c r="B19" s="1517" t="s">
        <v>1288</v>
      </c>
      <c r="C19" s="1507">
        <v>23430</v>
      </c>
      <c r="D19" s="1507">
        <v>21580</v>
      </c>
      <c r="E19" s="1507">
        <v>21350</v>
      </c>
      <c r="F19" s="1522"/>
      <c r="G19" s="1510"/>
      <c r="I19" s="1507" t="s">
        <v>1370</v>
      </c>
      <c r="J19" s="1507" t="s">
        <v>1371</v>
      </c>
      <c r="K19" s="1507" t="s">
        <v>1372</v>
      </c>
      <c r="L19" s="1507" t="s">
        <v>1373</v>
      </c>
      <c r="M19" s="1507" t="s">
        <v>1374</v>
      </c>
      <c r="N19" s="1507" t="s">
        <v>1375</v>
      </c>
      <c r="O19" s="1507" t="s">
        <v>1376</v>
      </c>
      <c r="P19" s="1507" t="s">
        <v>1377</v>
      </c>
      <c r="Q19" s="1507" t="s">
        <v>1378</v>
      </c>
      <c r="R19" s="1507" t="s">
        <v>1379</v>
      </c>
    </row>
    <row r="20" spans="1:18" ht="14.25" customHeight="1" thickBot="1">
      <c r="A20" s="1513" t="s">
        <v>1276</v>
      </c>
      <c r="B20" s="1517" t="s">
        <v>1298</v>
      </c>
      <c r="C20" s="1507">
        <v>27660</v>
      </c>
      <c r="D20" s="1507">
        <v>24240</v>
      </c>
      <c r="E20" s="1507">
        <v>24020</v>
      </c>
      <c r="F20" s="1522"/>
      <c r="I20" s="1507" t="s">
        <v>1380</v>
      </c>
      <c r="J20" s="1507" t="s">
        <v>1381</v>
      </c>
      <c r="K20" s="1507" t="s">
        <v>1382</v>
      </c>
      <c r="L20" s="1507" t="s">
        <v>1383</v>
      </c>
      <c r="M20" s="1507" t="s">
        <v>1384</v>
      </c>
      <c r="N20" s="1507" t="s">
        <v>1385</v>
      </c>
      <c r="O20" s="1507" t="s">
        <v>1386</v>
      </c>
      <c r="P20" s="1507" t="s">
        <v>1387</v>
      </c>
      <c r="Q20" s="1507" t="s">
        <v>1388</v>
      </c>
      <c r="R20" s="1507" t="s">
        <v>1389</v>
      </c>
    </row>
    <row r="21" spans="1:18" ht="14.25" customHeight="1" thickBot="1">
      <c r="A21" s="1513" t="s">
        <v>1276</v>
      </c>
      <c r="B21" s="1517" t="s">
        <v>1308</v>
      </c>
      <c r="C21" s="1507">
        <v>24720</v>
      </c>
      <c r="D21" s="1507">
        <v>21670</v>
      </c>
      <c r="E21" s="1507">
        <v>21510</v>
      </c>
      <c r="F21" s="1522"/>
      <c r="J21" s="1507" t="s">
        <v>1390</v>
      </c>
      <c r="K21" s="1507" t="s">
        <v>1391</v>
      </c>
      <c r="L21" s="1507" t="s">
        <v>1392</v>
      </c>
      <c r="M21" s="1507" t="s">
        <v>1393</v>
      </c>
      <c r="N21" s="1507" t="s">
        <v>1394</v>
      </c>
      <c r="O21" s="1507" t="s">
        <v>1395</v>
      </c>
      <c r="P21" s="1507" t="s">
        <v>1396</v>
      </c>
      <c r="Q21" s="1507" t="s">
        <v>1397</v>
      </c>
      <c r="R21" s="1507" t="s">
        <v>1398</v>
      </c>
    </row>
    <row r="22" spans="1:18" ht="14.25" customHeight="1" thickBot="1">
      <c r="A22" s="1513" t="s">
        <v>1276</v>
      </c>
      <c r="B22" s="1517" t="s">
        <v>1399</v>
      </c>
      <c r="C22" s="1507">
        <v>26530</v>
      </c>
      <c r="D22" s="1507">
        <v>22980</v>
      </c>
      <c r="E22" s="1507">
        <v>22650</v>
      </c>
      <c r="F22" s="1522"/>
      <c r="K22" s="1507" t="s">
        <v>1400</v>
      </c>
      <c r="L22" s="1507" t="s">
        <v>1401</v>
      </c>
      <c r="M22" s="1507" t="s">
        <v>1402</v>
      </c>
      <c r="N22" s="1507" t="s">
        <v>1403</v>
      </c>
      <c r="O22" s="1507" t="s">
        <v>1404</v>
      </c>
      <c r="P22" s="1507" t="s">
        <v>1405</v>
      </c>
      <c r="Q22" s="1507" t="s">
        <v>1406</v>
      </c>
      <c r="R22" s="1517" t="s">
        <v>1407</v>
      </c>
    </row>
    <row r="23" spans="1:18" ht="14.25" customHeight="1" thickBot="1">
      <c r="A23" s="1513" t="s">
        <v>1276</v>
      </c>
      <c r="B23" s="1517" t="s">
        <v>1329</v>
      </c>
      <c r="C23" s="1507">
        <v>24700</v>
      </c>
      <c r="D23" s="1507">
        <v>27290</v>
      </c>
      <c r="E23" s="1507">
        <v>26710</v>
      </c>
      <c r="F23" s="1522"/>
      <c r="K23" s="1507" t="s">
        <v>1408</v>
      </c>
      <c r="L23" s="1507" t="s">
        <v>1409</v>
      </c>
      <c r="M23" s="1507" t="s">
        <v>1410</v>
      </c>
      <c r="N23" s="1507" t="s">
        <v>1411</v>
      </c>
      <c r="O23" s="1507" t="s">
        <v>1412</v>
      </c>
      <c r="P23" s="1507" t="s">
        <v>1413</v>
      </c>
      <c r="Q23" s="1507" t="s">
        <v>1414</v>
      </c>
    </row>
    <row r="24" spans="1:18" ht="14.25" customHeight="1" thickBot="1">
      <c r="A24" s="1513" t="s">
        <v>1276</v>
      </c>
      <c r="B24" s="1517" t="s">
        <v>1340</v>
      </c>
      <c r="C24" s="1507">
        <v>23070</v>
      </c>
      <c r="D24" s="1507">
        <v>24130</v>
      </c>
      <c r="E24" s="1507">
        <v>23860</v>
      </c>
      <c r="F24" s="1522"/>
      <c r="K24" s="1507" t="s">
        <v>1415</v>
      </c>
      <c r="L24" s="1507" t="s">
        <v>1416</v>
      </c>
      <c r="M24" s="1507" t="s">
        <v>1417</v>
      </c>
      <c r="N24" s="1507" t="s">
        <v>1418</v>
      </c>
      <c r="O24" s="1507" t="s">
        <v>1419</v>
      </c>
      <c r="P24" s="1507" t="s">
        <v>1420</v>
      </c>
      <c r="Q24" s="1507" t="s">
        <v>1421</v>
      </c>
    </row>
    <row r="25" spans="1:18" ht="14.25" customHeight="1" thickBot="1">
      <c r="A25" s="1513" t="s">
        <v>1276</v>
      </c>
      <c r="B25" s="1517" t="s">
        <v>1350</v>
      </c>
      <c r="C25" s="1507">
        <v>27550</v>
      </c>
      <c r="D25" s="1507">
        <v>25850</v>
      </c>
      <c r="E25" s="1507">
        <v>25340</v>
      </c>
      <c r="F25" s="1522"/>
      <c r="K25" s="1507" t="s">
        <v>1422</v>
      </c>
      <c r="L25" s="1507" t="s">
        <v>1423</v>
      </c>
      <c r="M25" s="1507" t="s">
        <v>1424</v>
      </c>
      <c r="N25" s="1507" t="s">
        <v>1425</v>
      </c>
      <c r="O25" s="1507" t="s">
        <v>1426</v>
      </c>
      <c r="P25" s="1507" t="s">
        <v>1427</v>
      </c>
      <c r="Q25" s="1507" t="s">
        <v>1428</v>
      </c>
    </row>
    <row r="26" spans="1:18" ht="14.25" customHeight="1" thickBot="1">
      <c r="A26" s="1513" t="s">
        <v>1276</v>
      </c>
      <c r="B26" s="1517" t="s">
        <v>1360</v>
      </c>
      <c r="C26" s="1507"/>
      <c r="D26" s="1507">
        <v>23900</v>
      </c>
      <c r="E26" s="1507">
        <v>23590</v>
      </c>
      <c r="F26" s="1522"/>
      <c r="K26" s="1507" t="s">
        <v>1429</v>
      </c>
      <c r="L26" s="1507" t="s">
        <v>1430</v>
      </c>
      <c r="M26" s="1507" t="s">
        <v>1431</v>
      </c>
      <c r="N26" s="1507" t="s">
        <v>1432</v>
      </c>
      <c r="O26" s="1507" t="s">
        <v>1433</v>
      </c>
      <c r="P26" s="1507" t="s">
        <v>1434</v>
      </c>
      <c r="Q26" s="1507" t="s">
        <v>1435</v>
      </c>
    </row>
    <row r="27" spans="1:18" ht="14.25" customHeight="1" thickBot="1">
      <c r="A27" s="1513" t="s">
        <v>1276</v>
      </c>
      <c r="B27" s="1517" t="s">
        <v>1370</v>
      </c>
      <c r="C27" s="1507"/>
      <c r="D27" s="1507">
        <v>22850</v>
      </c>
      <c r="E27" s="1507">
        <v>21920</v>
      </c>
      <c r="F27" s="1522"/>
      <c r="K27" s="1507" t="s">
        <v>1436</v>
      </c>
      <c r="L27" s="1507" t="s">
        <v>1437</v>
      </c>
      <c r="M27" s="1507" t="s">
        <v>1438</v>
      </c>
      <c r="N27" s="1507" t="s">
        <v>1439</v>
      </c>
      <c r="O27" s="1507" t="s">
        <v>1440</v>
      </c>
      <c r="P27" s="1507" t="s">
        <v>1441</v>
      </c>
      <c r="Q27" s="1507" t="s">
        <v>1442</v>
      </c>
    </row>
    <row r="28" spans="1:18" ht="14.25" customHeight="1" thickBot="1">
      <c r="A28" s="1523" t="s">
        <v>1276</v>
      </c>
      <c r="B28" s="1518" t="s">
        <v>1380</v>
      </c>
      <c r="C28" s="1519"/>
      <c r="D28" s="1519">
        <v>26610</v>
      </c>
      <c r="E28" s="1519">
        <v>26370</v>
      </c>
      <c r="F28" s="1520"/>
      <c r="K28" s="1507" t="s">
        <v>1443</v>
      </c>
      <c r="L28" s="1507" t="s">
        <v>1444</v>
      </c>
      <c r="M28" s="1507" t="s">
        <v>1445</v>
      </c>
      <c r="N28" s="1507" t="s">
        <v>1446</v>
      </c>
      <c r="O28" s="1507" t="s">
        <v>1447</v>
      </c>
      <c r="P28" s="1507" t="s">
        <v>1448</v>
      </c>
    </row>
    <row r="29" spans="1:18" ht="14.25" customHeight="1" thickBot="1">
      <c r="A29" s="1513" t="s">
        <v>1449</v>
      </c>
      <c r="B29" s="1514" t="s">
        <v>1450</v>
      </c>
      <c r="C29" s="1514">
        <v>22090</v>
      </c>
      <c r="D29" s="1514">
        <v>21860</v>
      </c>
      <c r="E29" s="1514">
        <v>19380</v>
      </c>
      <c r="F29" s="1515">
        <v>6610</v>
      </c>
      <c r="L29" s="1507" t="s">
        <v>1451</v>
      </c>
      <c r="M29" s="1507" t="s">
        <v>1452</v>
      </c>
      <c r="N29" s="1507" t="s">
        <v>1453</v>
      </c>
      <c r="O29" s="1507" t="s">
        <v>1454</v>
      </c>
      <c r="P29" s="1507" t="s">
        <v>1455</v>
      </c>
    </row>
    <row r="30" spans="1:18" ht="14.25" customHeight="1" thickBot="1">
      <c r="A30" s="1513" t="s">
        <v>1449</v>
      </c>
      <c r="B30" s="1517" t="s">
        <v>1196</v>
      </c>
      <c r="C30" s="1507">
        <v>21380</v>
      </c>
      <c r="D30" s="1507">
        <v>19930</v>
      </c>
      <c r="E30" s="1507">
        <v>19860</v>
      </c>
      <c r="F30" s="1521">
        <v>6010</v>
      </c>
      <c r="L30" s="1507" t="s">
        <v>1456</v>
      </c>
      <c r="M30" s="1507" t="s">
        <v>1457</v>
      </c>
      <c r="N30" s="1507" t="s">
        <v>1458</v>
      </c>
      <c r="O30" s="1507" t="s">
        <v>2490</v>
      </c>
      <c r="P30" s="1507" t="s">
        <v>1459</v>
      </c>
    </row>
    <row r="31" spans="1:18" ht="14.25" customHeight="1" thickBot="1">
      <c r="A31" s="1513" t="s">
        <v>1449</v>
      </c>
      <c r="B31" s="1517" t="s">
        <v>1209</v>
      </c>
      <c r="C31" s="1507">
        <v>21670</v>
      </c>
      <c r="D31" s="1507">
        <v>20660</v>
      </c>
      <c r="E31" s="1507">
        <v>20290</v>
      </c>
      <c r="F31" s="1521">
        <v>5840</v>
      </c>
      <c r="L31" s="1507" t="s">
        <v>1460</v>
      </c>
      <c r="M31" s="1507" t="s">
        <v>1461</v>
      </c>
      <c r="N31" s="1507" t="s">
        <v>1462</v>
      </c>
      <c r="O31" s="1507" t="s">
        <v>1463</v>
      </c>
      <c r="P31" s="1507" t="s">
        <v>1464</v>
      </c>
    </row>
    <row r="32" spans="1:18" ht="14.25" customHeight="1" thickBot="1">
      <c r="A32" s="1513" t="s">
        <v>1449</v>
      </c>
      <c r="B32" s="1517" t="s">
        <v>1222</v>
      </c>
      <c r="C32" s="1507">
        <v>22280</v>
      </c>
      <c r="D32" s="1507">
        <v>21800</v>
      </c>
      <c r="E32" s="1507">
        <v>17650</v>
      </c>
      <c r="F32" s="1521">
        <v>4690</v>
      </c>
      <c r="L32" s="1507" t="s">
        <v>1465</v>
      </c>
      <c r="M32" s="1507" t="s">
        <v>1466</v>
      </c>
      <c r="N32" s="1507" t="s">
        <v>1467</v>
      </c>
      <c r="O32" s="1507" t="s">
        <v>1468</v>
      </c>
      <c r="P32" s="1507" t="s">
        <v>1469</v>
      </c>
    </row>
    <row r="33" spans="1:16" ht="14.25" customHeight="1" thickBot="1">
      <c r="A33" s="1513" t="s">
        <v>1449</v>
      </c>
      <c r="B33" s="1517" t="s">
        <v>1234</v>
      </c>
      <c r="C33" s="1507">
        <v>22130</v>
      </c>
      <c r="D33" s="1507">
        <v>20460</v>
      </c>
      <c r="E33" s="1507">
        <v>18500</v>
      </c>
      <c r="F33" s="1521">
        <v>5340</v>
      </c>
      <c r="L33" s="1507" t="s">
        <v>1470</v>
      </c>
      <c r="M33" s="1507" t="s">
        <v>1471</v>
      </c>
      <c r="N33" s="1507" t="s">
        <v>1472</v>
      </c>
      <c r="O33" s="1507" t="s">
        <v>1473</v>
      </c>
      <c r="P33" s="1507" t="s">
        <v>1474</v>
      </c>
    </row>
    <row r="34" spans="1:16" ht="14.25" customHeight="1" thickBot="1">
      <c r="A34" s="1513" t="s">
        <v>1449</v>
      </c>
      <c r="B34" s="1517" t="s">
        <v>1245</v>
      </c>
      <c r="C34" s="1507">
        <v>22070</v>
      </c>
      <c r="D34" s="1507">
        <v>20110</v>
      </c>
      <c r="E34" s="1507">
        <v>18830</v>
      </c>
      <c r="F34" s="1521">
        <v>5190</v>
      </c>
      <c r="L34" s="1507" t="s">
        <v>1475</v>
      </c>
      <c r="M34" s="1507" t="s">
        <v>1476</v>
      </c>
      <c r="N34" s="1507" t="s">
        <v>1477</v>
      </c>
      <c r="O34" s="1507" t="s">
        <v>1478</v>
      </c>
      <c r="P34" s="1507" t="s">
        <v>1479</v>
      </c>
    </row>
    <row r="35" spans="1:16" ht="14.25" customHeight="1" thickBot="1">
      <c r="A35" s="1513" t="s">
        <v>1449</v>
      </c>
      <c r="B35" s="1517" t="s">
        <v>1256</v>
      </c>
      <c r="C35" s="1507">
        <v>22240</v>
      </c>
      <c r="D35" s="1507">
        <v>19550</v>
      </c>
      <c r="E35" s="1507">
        <v>19220</v>
      </c>
      <c r="F35" s="1521">
        <v>5800</v>
      </c>
      <c r="L35" s="1507" t="s">
        <v>1480</v>
      </c>
      <c r="M35" s="1507" t="s">
        <v>1481</v>
      </c>
      <c r="N35" s="1507" t="s">
        <v>1482</v>
      </c>
      <c r="O35" s="1507" t="s">
        <v>1483</v>
      </c>
      <c r="P35" s="1507" t="s">
        <v>1484</v>
      </c>
    </row>
    <row r="36" spans="1:16" ht="14.25" customHeight="1" thickBot="1">
      <c r="A36" s="1513" t="s">
        <v>1449</v>
      </c>
      <c r="B36" s="1517" t="s">
        <v>1267</v>
      </c>
      <c r="C36" s="1507">
        <v>19750</v>
      </c>
      <c r="D36" s="1507">
        <v>19790</v>
      </c>
      <c r="E36" s="1507">
        <v>18510</v>
      </c>
      <c r="F36" s="1521">
        <v>6520</v>
      </c>
      <c r="M36" s="1507" t="s">
        <v>1485</v>
      </c>
      <c r="N36" s="1507" t="s">
        <v>1486</v>
      </c>
      <c r="O36" s="1507" t="s">
        <v>1487</v>
      </c>
      <c r="P36" s="1507" t="s">
        <v>1488</v>
      </c>
    </row>
    <row r="37" spans="1:16" ht="14.25" customHeight="1" thickBot="1">
      <c r="A37" s="1513" t="s">
        <v>1449</v>
      </c>
      <c r="B37" s="1517" t="s">
        <v>1279</v>
      </c>
      <c r="C37" s="1507">
        <v>22380</v>
      </c>
      <c r="D37" s="1507">
        <v>18530</v>
      </c>
      <c r="E37" s="1507">
        <v>17930</v>
      </c>
      <c r="F37" s="1521">
        <v>6270</v>
      </c>
      <c r="M37" s="1507" t="s">
        <v>1489</v>
      </c>
      <c r="N37" s="1507" t="s">
        <v>1490</v>
      </c>
      <c r="O37" s="1507" t="s">
        <v>1491</v>
      </c>
      <c r="P37" s="1507" t="s">
        <v>1492</v>
      </c>
    </row>
    <row r="38" spans="1:16" ht="14.25" customHeight="1" thickBot="1">
      <c r="A38" s="1513" t="s">
        <v>1449</v>
      </c>
      <c r="B38" s="1517" t="s">
        <v>1289</v>
      </c>
      <c r="C38" s="1507">
        <v>20200</v>
      </c>
      <c r="D38" s="1507">
        <v>20070</v>
      </c>
      <c r="E38" s="1507">
        <v>19950</v>
      </c>
      <c r="F38" s="1521"/>
      <c r="M38" s="1507" t="s">
        <v>1493</v>
      </c>
      <c r="N38" s="1507" t="s">
        <v>1494</v>
      </c>
      <c r="O38" s="1507" t="s">
        <v>1495</v>
      </c>
      <c r="P38" s="1507" t="s">
        <v>1496</v>
      </c>
    </row>
    <row r="39" spans="1:16" ht="14.25" customHeight="1" thickBot="1">
      <c r="A39" s="1513" t="s">
        <v>1449</v>
      </c>
      <c r="B39" s="1517" t="s">
        <v>1299</v>
      </c>
      <c r="C39" s="1507">
        <v>19300</v>
      </c>
      <c r="D39" s="1507">
        <v>20360</v>
      </c>
      <c r="E39" s="1507">
        <v>20230</v>
      </c>
      <c r="F39" s="1521"/>
      <c r="M39" s="1507" t="s">
        <v>1497</v>
      </c>
      <c r="N39" s="1507" t="s">
        <v>1498</v>
      </c>
      <c r="O39" s="1507" t="s">
        <v>1499</v>
      </c>
      <c r="P39" s="1507" t="s">
        <v>1500</v>
      </c>
    </row>
    <row r="40" spans="1:16" ht="14.25" customHeight="1" thickBot="1">
      <c r="A40" s="1513" t="s">
        <v>1449</v>
      </c>
      <c r="B40" s="1517" t="s">
        <v>1309</v>
      </c>
      <c r="C40" s="1507">
        <v>20210</v>
      </c>
      <c r="D40" s="1507">
        <v>19060</v>
      </c>
      <c r="E40" s="1507">
        <v>18890</v>
      </c>
      <c r="F40" s="1521"/>
      <c r="M40" s="1507" t="s">
        <v>1501</v>
      </c>
      <c r="N40" s="1507" t="s">
        <v>1502</v>
      </c>
      <c r="O40" s="1507" t="s">
        <v>1503</v>
      </c>
      <c r="P40" s="1507" t="s">
        <v>1504</v>
      </c>
    </row>
    <row r="41" spans="1:16" ht="14.25" customHeight="1" thickBot="1">
      <c r="A41" s="1513" t="s">
        <v>1449</v>
      </c>
      <c r="B41" s="1517" t="s">
        <v>1319</v>
      </c>
      <c r="C41" s="1507">
        <v>20560</v>
      </c>
      <c r="D41" s="1507">
        <v>21040</v>
      </c>
      <c r="E41" s="1507">
        <v>20740</v>
      </c>
      <c r="F41" s="1521"/>
      <c r="M41" s="1517" t="s">
        <v>1505</v>
      </c>
      <c r="N41" s="1517" t="s">
        <v>1506</v>
      </c>
      <c r="P41" s="1517" t="s">
        <v>1507</v>
      </c>
    </row>
    <row r="42" spans="1:16" ht="14.25" customHeight="1" thickBot="1">
      <c r="A42" s="1513" t="s">
        <v>1449</v>
      </c>
      <c r="B42" s="1517" t="s">
        <v>1330</v>
      </c>
      <c r="C42" s="1507">
        <v>19280</v>
      </c>
      <c r="D42" s="1507">
        <v>22940</v>
      </c>
      <c r="E42" s="1507">
        <v>22500</v>
      </c>
      <c r="F42" s="1521"/>
      <c r="M42" s="1507" t="s">
        <v>1508</v>
      </c>
      <c r="N42" s="1507" t="s">
        <v>1509</v>
      </c>
      <c r="P42" s="1507" t="s">
        <v>1510</v>
      </c>
    </row>
    <row r="43" spans="1:16" ht="14.25" customHeight="1" thickBot="1">
      <c r="A43" s="1513" t="s">
        <v>1449</v>
      </c>
      <c r="B43" s="1517" t="s">
        <v>1341</v>
      </c>
      <c r="C43" s="1507">
        <v>21520</v>
      </c>
      <c r="D43" s="1507">
        <v>19230</v>
      </c>
      <c r="E43" s="1507">
        <v>18540</v>
      </c>
      <c r="F43" s="1521"/>
      <c r="M43" s="1507" t="s">
        <v>1511</v>
      </c>
      <c r="N43" s="1507" t="s">
        <v>1512</v>
      </c>
      <c r="P43" s="1507" t="s">
        <v>1513</v>
      </c>
    </row>
    <row r="44" spans="1:16" ht="14.25" customHeight="1" thickBot="1">
      <c r="A44" s="1513" t="s">
        <v>1449</v>
      </c>
      <c r="B44" s="1517" t="s">
        <v>1351</v>
      </c>
      <c r="C44" s="1507">
        <v>23260</v>
      </c>
      <c r="D44" s="1507">
        <v>21180</v>
      </c>
      <c r="E44" s="1507">
        <v>20730</v>
      </c>
      <c r="F44" s="1521"/>
      <c r="M44" s="1507" t="s">
        <v>1514</v>
      </c>
      <c r="N44" s="1507" t="s">
        <v>1515</v>
      </c>
      <c r="P44" s="1507" t="s">
        <v>1516</v>
      </c>
    </row>
    <row r="45" spans="1:16" ht="14.25" customHeight="1" thickBot="1">
      <c r="A45" s="1513" t="s">
        <v>1449</v>
      </c>
      <c r="B45" s="1517" t="s">
        <v>1361</v>
      </c>
      <c r="C45" s="1507">
        <v>19610</v>
      </c>
      <c r="D45" s="1507">
        <v>18090</v>
      </c>
      <c r="E45" s="1507">
        <v>17970</v>
      </c>
      <c r="F45" s="1521"/>
      <c r="M45" s="1507" t="s">
        <v>1517</v>
      </c>
      <c r="N45" s="1507" t="s">
        <v>1518</v>
      </c>
      <c r="P45" s="1507" t="s">
        <v>1519</v>
      </c>
    </row>
    <row r="46" spans="1:16" ht="14.25" customHeight="1" thickBot="1">
      <c r="A46" s="1513" t="s">
        <v>1449</v>
      </c>
      <c r="B46" s="1517" t="s">
        <v>1371</v>
      </c>
      <c r="C46" s="1507">
        <v>21660</v>
      </c>
      <c r="D46" s="1507">
        <v>19190</v>
      </c>
      <c r="E46" s="1507">
        <v>19790</v>
      </c>
      <c r="F46" s="1521"/>
      <c r="M46" s="1507" t="s">
        <v>1520</v>
      </c>
      <c r="N46" s="1507" t="s">
        <v>1521</v>
      </c>
      <c r="P46" s="1507" t="s">
        <v>1522</v>
      </c>
    </row>
    <row r="47" spans="1:16" ht="14.25" customHeight="1" thickBot="1">
      <c r="A47" s="1513" t="s">
        <v>1449</v>
      </c>
      <c r="B47" s="1517" t="s">
        <v>1381</v>
      </c>
      <c r="C47" s="1507">
        <v>18220</v>
      </c>
      <c r="D47" s="1507"/>
      <c r="E47" s="1507">
        <v>17220</v>
      </c>
      <c r="F47" s="1521"/>
      <c r="M47" s="1507" t="s">
        <v>1523</v>
      </c>
      <c r="N47" s="1507" t="s">
        <v>1524</v>
      </c>
    </row>
    <row r="48" spans="1:16" ht="14.25" customHeight="1" thickBot="1">
      <c r="A48" s="1513" t="s">
        <v>1449</v>
      </c>
      <c r="B48" s="1518" t="s">
        <v>1390</v>
      </c>
      <c r="C48" s="1519">
        <v>19430</v>
      </c>
      <c r="D48" s="1519"/>
      <c r="E48" s="1519">
        <v>17830</v>
      </c>
      <c r="F48" s="1524"/>
      <c r="M48" s="1507" t="s">
        <v>1525</v>
      </c>
      <c r="N48" s="1507" t="s">
        <v>1526</v>
      </c>
    </row>
    <row r="49" spans="1:14" ht="14.25" customHeight="1" thickBot="1">
      <c r="A49" s="1513" t="s">
        <v>1130</v>
      </c>
      <c r="B49" s="1514" t="s">
        <v>1527</v>
      </c>
      <c r="C49" s="1514">
        <v>17090</v>
      </c>
      <c r="D49" s="1514">
        <v>16950</v>
      </c>
      <c r="E49" s="1514">
        <v>16310</v>
      </c>
      <c r="F49" s="1515">
        <v>4540</v>
      </c>
      <c r="M49" s="1507" t="s">
        <v>1528</v>
      </c>
      <c r="N49" s="1507" t="s">
        <v>1529</v>
      </c>
    </row>
    <row r="50" spans="1:14" ht="14.25" customHeight="1" thickBot="1">
      <c r="A50" s="1513" t="s">
        <v>1130</v>
      </c>
      <c r="B50" s="1507" t="s">
        <v>1197</v>
      </c>
      <c r="C50" s="1507">
        <v>19040</v>
      </c>
      <c r="D50" s="1507">
        <v>16960</v>
      </c>
      <c r="E50" s="1507">
        <v>14800</v>
      </c>
      <c r="F50" s="1521">
        <v>3940</v>
      </c>
    </row>
    <row r="51" spans="1:14" ht="14.25" customHeight="1" thickBot="1">
      <c r="A51" s="1513" t="s">
        <v>1130</v>
      </c>
      <c r="B51" s="1507" t="s">
        <v>1210</v>
      </c>
      <c r="C51" s="1507">
        <v>17040</v>
      </c>
      <c r="D51" s="1507">
        <v>16930</v>
      </c>
      <c r="E51" s="1507">
        <v>15030</v>
      </c>
      <c r="F51" s="1521">
        <v>4120</v>
      </c>
    </row>
    <row r="52" spans="1:14" ht="14.25" customHeight="1" thickBot="1">
      <c r="A52" s="1513" t="s">
        <v>1130</v>
      </c>
      <c r="B52" s="1507" t="s">
        <v>1223</v>
      </c>
      <c r="C52" s="1507">
        <v>17110</v>
      </c>
      <c r="D52" s="1507">
        <v>17750</v>
      </c>
      <c r="E52" s="1507">
        <v>17310</v>
      </c>
      <c r="F52" s="1521">
        <v>3220</v>
      </c>
    </row>
    <row r="53" spans="1:14" ht="14.25" customHeight="1" thickBot="1">
      <c r="A53" s="1513" t="s">
        <v>1130</v>
      </c>
      <c r="B53" s="1507" t="s">
        <v>1235</v>
      </c>
      <c r="C53" s="1507">
        <v>17810</v>
      </c>
      <c r="D53" s="1507">
        <v>17260</v>
      </c>
      <c r="E53" s="1507">
        <v>17090</v>
      </c>
      <c r="F53" s="1521">
        <v>3520</v>
      </c>
    </row>
    <row r="54" spans="1:14" ht="14.25" customHeight="1" thickBot="1">
      <c r="A54" s="1513" t="s">
        <v>1130</v>
      </c>
      <c r="B54" s="1507" t="s">
        <v>1246</v>
      </c>
      <c r="C54" s="1507">
        <v>17410</v>
      </c>
      <c r="D54" s="1507">
        <v>16780</v>
      </c>
      <c r="E54" s="1507">
        <v>16370</v>
      </c>
      <c r="F54" s="1521">
        <v>3410</v>
      </c>
    </row>
    <row r="55" spans="1:14" ht="14.25" customHeight="1" thickBot="1">
      <c r="A55" s="1513" t="s">
        <v>1130</v>
      </c>
      <c r="B55" s="1507" t="s">
        <v>1257</v>
      </c>
      <c r="C55" s="1507">
        <v>16930</v>
      </c>
      <c r="D55" s="1507">
        <v>14720</v>
      </c>
      <c r="E55" s="1507">
        <v>15000</v>
      </c>
      <c r="F55" s="1521">
        <v>3710</v>
      </c>
    </row>
    <row r="56" spans="1:14" ht="14.25" customHeight="1" thickBot="1">
      <c r="A56" s="1513" t="s">
        <v>1130</v>
      </c>
      <c r="B56" s="1507" t="s">
        <v>1268</v>
      </c>
      <c r="C56" s="1507">
        <v>14930</v>
      </c>
      <c r="D56" s="1507">
        <v>15850</v>
      </c>
      <c r="E56" s="1507">
        <v>14320</v>
      </c>
      <c r="F56" s="1521">
        <v>3960</v>
      </c>
    </row>
    <row r="57" spans="1:14" ht="14.25" customHeight="1" thickBot="1">
      <c r="A57" s="1513" t="s">
        <v>1130</v>
      </c>
      <c r="B57" s="1507" t="s">
        <v>1280</v>
      </c>
      <c r="C57" s="1507">
        <v>16160</v>
      </c>
      <c r="D57" s="1507">
        <v>16190</v>
      </c>
      <c r="E57" s="1507">
        <v>15650</v>
      </c>
      <c r="F57" s="1521">
        <v>4200</v>
      </c>
    </row>
    <row r="58" spans="1:14" ht="14.25" customHeight="1" thickBot="1">
      <c r="A58" s="1513" t="s">
        <v>1130</v>
      </c>
      <c r="B58" s="1507" t="s">
        <v>1290</v>
      </c>
      <c r="C58" s="1507">
        <v>16360</v>
      </c>
      <c r="D58" s="1507">
        <v>14050</v>
      </c>
      <c r="E58" s="1507">
        <v>16070</v>
      </c>
      <c r="F58" s="1521">
        <v>3990</v>
      </c>
    </row>
    <row r="59" spans="1:14" ht="14.25" customHeight="1" thickBot="1">
      <c r="A59" s="1513" t="s">
        <v>1130</v>
      </c>
      <c r="B59" s="1507" t="s">
        <v>1300</v>
      </c>
      <c r="C59" s="1507">
        <v>14160</v>
      </c>
      <c r="D59" s="1507">
        <v>16620</v>
      </c>
      <c r="E59" s="1507">
        <v>13940</v>
      </c>
      <c r="F59" s="1521">
        <v>4260</v>
      </c>
    </row>
    <row r="60" spans="1:14" ht="14.25" customHeight="1" thickBot="1">
      <c r="A60" s="1513" t="s">
        <v>1130</v>
      </c>
      <c r="B60" s="1507" t="s">
        <v>1310</v>
      </c>
      <c r="C60" s="1507">
        <v>16750</v>
      </c>
      <c r="D60" s="1507">
        <v>13910</v>
      </c>
      <c r="E60" s="1507">
        <v>16550</v>
      </c>
      <c r="F60" s="1521">
        <v>4550</v>
      </c>
    </row>
    <row r="61" spans="1:14" ht="14.25" customHeight="1" thickBot="1">
      <c r="A61" s="1513" t="s">
        <v>1130</v>
      </c>
      <c r="B61" s="1507" t="s">
        <v>1320</v>
      </c>
      <c r="C61" s="1507">
        <v>14000</v>
      </c>
      <c r="D61" s="1507">
        <v>14550</v>
      </c>
      <c r="E61" s="1507">
        <v>13860</v>
      </c>
      <c r="F61" s="1525"/>
    </row>
    <row r="62" spans="1:14" ht="14.25" customHeight="1" thickBot="1">
      <c r="A62" s="1513" t="s">
        <v>1130</v>
      </c>
      <c r="B62" s="1507" t="s">
        <v>1331</v>
      </c>
      <c r="C62" s="1507">
        <v>14660</v>
      </c>
      <c r="D62" s="1507">
        <v>17450</v>
      </c>
      <c r="E62" s="1507">
        <v>14470</v>
      </c>
      <c r="F62" s="1525"/>
    </row>
    <row r="63" spans="1:14" ht="14.25" customHeight="1" thickBot="1">
      <c r="A63" s="1513" t="s">
        <v>1130</v>
      </c>
      <c r="B63" s="1507" t="s">
        <v>1342</v>
      </c>
      <c r="C63" s="1507">
        <v>17610</v>
      </c>
      <c r="D63" s="1507">
        <v>16500</v>
      </c>
      <c r="E63" s="1507">
        <v>17330</v>
      </c>
      <c r="F63" s="1525"/>
    </row>
    <row r="64" spans="1:14" ht="14.25" customHeight="1" thickBot="1">
      <c r="A64" s="1513" t="s">
        <v>1130</v>
      </c>
      <c r="B64" s="1507" t="s">
        <v>1352</v>
      </c>
      <c r="C64" s="1507">
        <v>16590</v>
      </c>
      <c r="D64" s="1507">
        <v>15130</v>
      </c>
      <c r="E64" s="1507">
        <v>16420</v>
      </c>
      <c r="F64" s="1525"/>
    </row>
    <row r="65" spans="1:6" s="1501" customFormat="1" ht="14.25" customHeight="1" thickBot="1">
      <c r="A65" s="1513" t="s">
        <v>1130</v>
      </c>
      <c r="B65" s="1507" t="s">
        <v>1362</v>
      </c>
      <c r="C65" s="1507">
        <v>15220</v>
      </c>
      <c r="D65" s="1507">
        <v>14660</v>
      </c>
      <c r="E65" s="1507">
        <v>15060</v>
      </c>
      <c r="F65" s="1521"/>
    </row>
    <row r="66" spans="1:6" s="1501" customFormat="1" ht="14.25" customHeight="1" thickBot="1">
      <c r="A66" s="1513" t="s">
        <v>1130</v>
      </c>
      <c r="B66" s="1507" t="s">
        <v>1372</v>
      </c>
      <c r="C66" s="1507">
        <v>14720</v>
      </c>
      <c r="D66" s="1507">
        <v>15970</v>
      </c>
      <c r="E66" s="1507">
        <v>14610</v>
      </c>
      <c r="F66" s="1521"/>
    </row>
    <row r="67" spans="1:6" s="1501" customFormat="1" ht="14.25" customHeight="1" thickBot="1">
      <c r="A67" s="1513" t="s">
        <v>1130</v>
      </c>
      <c r="B67" s="1507" t="s">
        <v>1382</v>
      </c>
      <c r="C67" s="1507">
        <v>16080</v>
      </c>
      <c r="D67" s="1507">
        <v>14840</v>
      </c>
      <c r="E67" s="1507">
        <v>15630</v>
      </c>
      <c r="F67" s="1521"/>
    </row>
    <row r="68" spans="1:6" s="1501" customFormat="1" ht="14.25" customHeight="1" thickBot="1">
      <c r="A68" s="1513" t="s">
        <v>1130</v>
      </c>
      <c r="B68" s="1507" t="s">
        <v>1391</v>
      </c>
      <c r="C68" s="1507">
        <v>14940</v>
      </c>
      <c r="D68" s="1507">
        <v>18000</v>
      </c>
      <c r="E68" s="1507">
        <v>14040</v>
      </c>
      <c r="F68" s="1521"/>
    </row>
    <row r="69" spans="1:6" s="1501" customFormat="1" ht="14.25" customHeight="1" thickBot="1">
      <c r="A69" s="1513" t="s">
        <v>1130</v>
      </c>
      <c r="B69" s="1507" t="s">
        <v>1400</v>
      </c>
      <c r="C69" s="1507">
        <v>18810</v>
      </c>
      <c r="D69" s="1507">
        <v>15100</v>
      </c>
      <c r="E69" s="1507">
        <v>14710</v>
      </c>
      <c r="F69" s="1521"/>
    </row>
    <row r="70" spans="1:6" s="1501" customFormat="1" ht="14.25" customHeight="1" thickBot="1">
      <c r="A70" s="1513" t="s">
        <v>1130</v>
      </c>
      <c r="B70" s="1507" t="s">
        <v>1408</v>
      </c>
      <c r="C70" s="1507">
        <v>18270</v>
      </c>
      <c r="D70" s="1507"/>
      <c r="E70" s="1507"/>
      <c r="F70" s="1521"/>
    </row>
    <row r="71" spans="1:6" s="1501" customFormat="1" ht="14.25" customHeight="1" thickBot="1">
      <c r="A71" s="1513" t="s">
        <v>1130</v>
      </c>
      <c r="B71" s="1507" t="s">
        <v>1415</v>
      </c>
      <c r="C71" s="1507">
        <v>15230</v>
      </c>
      <c r="D71" s="1507"/>
      <c r="E71" s="1507"/>
      <c r="F71" s="1521"/>
    </row>
    <row r="72" spans="1:6" s="1501" customFormat="1" ht="14.25" customHeight="1" thickBot="1">
      <c r="A72" s="1513" t="s">
        <v>1130</v>
      </c>
      <c r="B72" s="1507" t="s">
        <v>1422</v>
      </c>
      <c r="C72" s="1507"/>
      <c r="D72" s="1507"/>
      <c r="E72" s="1507"/>
      <c r="F72" s="1521">
        <v>4120</v>
      </c>
    </row>
    <row r="73" spans="1:6" s="1501" customFormat="1" ht="14.25" customHeight="1" thickBot="1">
      <c r="A73" s="1513" t="s">
        <v>1130</v>
      </c>
      <c r="B73" s="1507" t="s">
        <v>1429</v>
      </c>
      <c r="C73" s="1507"/>
      <c r="D73" s="1507"/>
      <c r="E73" s="1507"/>
      <c r="F73" s="1521">
        <v>3930</v>
      </c>
    </row>
    <row r="74" spans="1:6" s="1501" customFormat="1" ht="14.25" customHeight="1" thickBot="1">
      <c r="A74" s="1513" t="s">
        <v>1130</v>
      </c>
      <c r="B74" s="1507" t="s">
        <v>1436</v>
      </c>
      <c r="C74" s="1507"/>
      <c r="D74" s="1507"/>
      <c r="E74" s="1507"/>
      <c r="F74" s="1521">
        <v>4060</v>
      </c>
    </row>
    <row r="75" spans="1:6" s="1501" customFormat="1" ht="14.25" customHeight="1" thickBot="1">
      <c r="A75" s="1513" t="s">
        <v>1130</v>
      </c>
      <c r="B75" s="1519" t="s">
        <v>1443</v>
      </c>
      <c r="C75" s="1519"/>
      <c r="D75" s="1519"/>
      <c r="E75" s="1519"/>
      <c r="F75" s="1524">
        <v>3750</v>
      </c>
    </row>
    <row r="76" spans="1:6" s="1501" customFormat="1" ht="14.25" customHeight="1" thickBot="1">
      <c r="A76" s="1513" t="s">
        <v>1530</v>
      </c>
      <c r="B76" s="1514" t="s">
        <v>1531</v>
      </c>
      <c r="C76" s="1514">
        <v>14690</v>
      </c>
      <c r="D76" s="1514">
        <v>14640</v>
      </c>
      <c r="E76" s="1514">
        <v>14590</v>
      </c>
      <c r="F76" s="1515">
        <v>3060</v>
      </c>
    </row>
    <row r="77" spans="1:6" s="1501" customFormat="1" ht="14.25" customHeight="1" thickBot="1">
      <c r="A77" s="1513" t="s">
        <v>1530</v>
      </c>
      <c r="B77" s="1507" t="s">
        <v>1198</v>
      </c>
      <c r="C77" s="1507">
        <v>12550</v>
      </c>
      <c r="D77" s="1507">
        <v>12480</v>
      </c>
      <c r="E77" s="1507">
        <v>12450</v>
      </c>
      <c r="F77" s="1521">
        <v>2590</v>
      </c>
    </row>
    <row r="78" spans="1:6" s="1501" customFormat="1" ht="14.25" customHeight="1" thickBot="1">
      <c r="A78" s="1513" t="s">
        <v>1530</v>
      </c>
      <c r="B78" s="1507" t="s">
        <v>1211</v>
      </c>
      <c r="C78" s="1507">
        <v>14360</v>
      </c>
      <c r="D78" s="1507">
        <v>14320</v>
      </c>
      <c r="E78" s="1507">
        <v>12510</v>
      </c>
      <c r="F78" s="1521">
        <v>2700</v>
      </c>
    </row>
    <row r="79" spans="1:6" s="1501" customFormat="1" ht="14.25" customHeight="1" thickBot="1">
      <c r="A79" s="1513" t="s">
        <v>1530</v>
      </c>
      <c r="B79" s="1507" t="s">
        <v>1224</v>
      </c>
      <c r="C79" s="1507">
        <v>12590</v>
      </c>
      <c r="D79" s="1507">
        <v>12540</v>
      </c>
      <c r="E79" s="1507">
        <v>12350</v>
      </c>
      <c r="F79" s="1521">
        <v>2740</v>
      </c>
    </row>
    <row r="80" spans="1:6" s="1501" customFormat="1" ht="14.25" customHeight="1" thickBot="1">
      <c r="A80" s="1513" t="s">
        <v>1530</v>
      </c>
      <c r="B80" s="1507" t="s">
        <v>1236</v>
      </c>
      <c r="C80" s="1507">
        <v>12450</v>
      </c>
      <c r="D80" s="1507">
        <v>12370</v>
      </c>
      <c r="E80" s="1507">
        <v>10790</v>
      </c>
      <c r="F80" s="1521">
        <v>2290</v>
      </c>
    </row>
    <row r="81" spans="1:6" s="1501" customFormat="1" ht="14.25" customHeight="1" thickBot="1">
      <c r="A81" s="1513" t="s">
        <v>1530</v>
      </c>
      <c r="B81" s="1507" t="s">
        <v>1247</v>
      </c>
      <c r="C81" s="1507">
        <v>14210</v>
      </c>
      <c r="D81" s="1507">
        <v>14150</v>
      </c>
      <c r="E81" s="1507">
        <v>12730</v>
      </c>
      <c r="F81" s="1521">
        <v>2240</v>
      </c>
    </row>
    <row r="82" spans="1:6" s="1501" customFormat="1" ht="14.25" customHeight="1" thickBot="1">
      <c r="A82" s="1513" t="s">
        <v>1530</v>
      </c>
      <c r="B82" s="1507" t="s">
        <v>1258</v>
      </c>
      <c r="C82" s="1507">
        <v>10860</v>
      </c>
      <c r="D82" s="1507">
        <v>10820</v>
      </c>
      <c r="E82" s="1507">
        <v>14720</v>
      </c>
      <c r="F82" s="1521">
        <v>2490</v>
      </c>
    </row>
    <row r="83" spans="1:6" s="1501" customFormat="1" ht="14.25" customHeight="1" thickBot="1">
      <c r="A83" s="1513" t="s">
        <v>1530</v>
      </c>
      <c r="B83" s="1507" t="s">
        <v>1269</v>
      </c>
      <c r="C83" s="1507">
        <v>12810</v>
      </c>
      <c r="D83" s="1507">
        <v>12760</v>
      </c>
      <c r="E83" s="1507">
        <v>14830</v>
      </c>
      <c r="F83" s="1521">
        <v>2450</v>
      </c>
    </row>
    <row r="84" spans="1:6" s="1501" customFormat="1" ht="14.25" customHeight="1" thickBot="1">
      <c r="A84" s="1513" t="s">
        <v>1530</v>
      </c>
      <c r="B84" s="1507" t="s">
        <v>1281</v>
      </c>
      <c r="C84" s="1507">
        <v>14950</v>
      </c>
      <c r="D84" s="1507">
        <v>14810</v>
      </c>
      <c r="E84" s="1507">
        <v>12590</v>
      </c>
      <c r="F84" s="1521">
        <v>2540</v>
      </c>
    </row>
    <row r="85" spans="1:6" s="1501" customFormat="1" ht="14.25" customHeight="1" thickBot="1">
      <c r="A85" s="1513" t="s">
        <v>1530</v>
      </c>
      <c r="B85" s="1507" t="s">
        <v>1291</v>
      </c>
      <c r="C85" s="1507">
        <v>14960</v>
      </c>
      <c r="D85" s="1507">
        <v>14890</v>
      </c>
      <c r="E85" s="1507">
        <v>12840</v>
      </c>
      <c r="F85" s="1521">
        <v>2840</v>
      </c>
    </row>
    <row r="86" spans="1:6" s="1501" customFormat="1" ht="14.25" customHeight="1" thickBot="1">
      <c r="A86" s="1513" t="s">
        <v>1530</v>
      </c>
      <c r="B86" s="1507" t="s">
        <v>1301</v>
      </c>
      <c r="C86" s="1507">
        <v>12730</v>
      </c>
      <c r="D86" s="1507">
        <v>12660</v>
      </c>
      <c r="E86" s="1507">
        <v>13310</v>
      </c>
      <c r="F86" s="1521">
        <v>3140</v>
      </c>
    </row>
    <row r="87" spans="1:6" s="1501" customFormat="1" ht="14.25" customHeight="1" thickBot="1">
      <c r="A87" s="1513" t="s">
        <v>1530</v>
      </c>
      <c r="B87" s="1507" t="s">
        <v>1311</v>
      </c>
      <c r="C87" s="1507">
        <v>12940</v>
      </c>
      <c r="D87" s="1507">
        <v>12890</v>
      </c>
      <c r="E87" s="1507">
        <v>11580</v>
      </c>
      <c r="F87" s="1525"/>
    </row>
    <row r="88" spans="1:6" s="1501" customFormat="1" ht="14.25" customHeight="1" thickBot="1">
      <c r="A88" s="1513" t="s">
        <v>1530</v>
      </c>
      <c r="B88" s="1507" t="s">
        <v>1321</v>
      </c>
      <c r="C88" s="1507">
        <v>13430</v>
      </c>
      <c r="D88" s="1507">
        <v>13360</v>
      </c>
      <c r="E88" s="1507">
        <v>12790</v>
      </c>
      <c r="F88" s="1525"/>
    </row>
    <row r="89" spans="1:6" s="1501" customFormat="1" ht="14.25" customHeight="1" thickBot="1">
      <c r="A89" s="1513" t="s">
        <v>1530</v>
      </c>
      <c r="B89" s="1507" t="s">
        <v>1332</v>
      </c>
      <c r="C89" s="1507">
        <v>11680</v>
      </c>
      <c r="D89" s="1507">
        <v>11630</v>
      </c>
      <c r="E89" s="1507">
        <v>11320</v>
      </c>
      <c r="F89" s="1525"/>
    </row>
    <row r="90" spans="1:6" s="1501" customFormat="1" ht="14.25" customHeight="1" thickBot="1">
      <c r="A90" s="1513" t="s">
        <v>1530</v>
      </c>
      <c r="B90" s="1507" t="s">
        <v>1343</v>
      </c>
      <c r="C90" s="1507">
        <v>12890</v>
      </c>
      <c r="D90" s="1507">
        <v>12820</v>
      </c>
      <c r="E90" s="1507">
        <v>12710</v>
      </c>
      <c r="F90" s="1525"/>
    </row>
    <row r="91" spans="1:6" s="1501" customFormat="1" ht="14.25" customHeight="1" thickBot="1">
      <c r="A91" s="1513" t="s">
        <v>1530</v>
      </c>
      <c r="B91" s="1507" t="s">
        <v>1353</v>
      </c>
      <c r="C91" s="1507">
        <v>11410</v>
      </c>
      <c r="D91" s="1507">
        <v>11360</v>
      </c>
      <c r="E91" s="1507">
        <v>12670</v>
      </c>
      <c r="F91" s="1525"/>
    </row>
    <row r="92" spans="1:6" s="1501" customFormat="1" ht="14.25" customHeight="1" thickBot="1">
      <c r="A92" s="1513" t="s">
        <v>1530</v>
      </c>
      <c r="B92" s="1507" t="s">
        <v>1363</v>
      </c>
      <c r="C92" s="1507">
        <v>12770</v>
      </c>
      <c r="D92" s="1507">
        <v>12740</v>
      </c>
      <c r="E92" s="1507">
        <v>11970</v>
      </c>
      <c r="F92" s="1525"/>
    </row>
    <row r="93" spans="1:6" s="1501" customFormat="1" ht="14.25" customHeight="1" thickBot="1">
      <c r="A93" s="1513" t="s">
        <v>1530</v>
      </c>
      <c r="B93" s="1507" t="s">
        <v>1373</v>
      </c>
      <c r="C93" s="1507">
        <v>12740</v>
      </c>
      <c r="D93" s="1507">
        <v>12700</v>
      </c>
      <c r="E93" s="1507">
        <v>12540</v>
      </c>
      <c r="F93" s="1525"/>
    </row>
    <row r="94" spans="1:6" s="1501" customFormat="1" ht="14.25" customHeight="1" thickBot="1">
      <c r="A94" s="1513" t="s">
        <v>1530</v>
      </c>
      <c r="B94" s="1507" t="s">
        <v>1383</v>
      </c>
      <c r="C94" s="1507">
        <v>12020</v>
      </c>
      <c r="D94" s="1507">
        <v>11990</v>
      </c>
      <c r="E94" s="1507">
        <v>13110</v>
      </c>
      <c r="F94" s="1525"/>
    </row>
    <row r="95" spans="1:6" s="1501" customFormat="1" ht="14.25" customHeight="1" thickBot="1">
      <c r="A95" s="1513" t="s">
        <v>1530</v>
      </c>
      <c r="B95" s="1507" t="s">
        <v>1392</v>
      </c>
      <c r="C95" s="1507">
        <v>12620</v>
      </c>
      <c r="D95" s="1507">
        <v>12580</v>
      </c>
      <c r="E95" s="1507">
        <v>13160</v>
      </c>
      <c r="F95" s="1521"/>
    </row>
    <row r="96" spans="1:6" s="1501" customFormat="1" ht="14.25" customHeight="1" thickBot="1">
      <c r="A96" s="1513" t="s">
        <v>1530</v>
      </c>
      <c r="B96" s="1507" t="s">
        <v>1401</v>
      </c>
      <c r="C96" s="1507">
        <v>13200</v>
      </c>
      <c r="D96" s="1507">
        <v>13150</v>
      </c>
      <c r="E96" s="1507">
        <v>12900</v>
      </c>
      <c r="F96" s="1521"/>
    </row>
    <row r="97" spans="1:6" s="1501" customFormat="1" ht="14.25" customHeight="1" thickBot="1">
      <c r="A97" s="1513" t="s">
        <v>1530</v>
      </c>
      <c r="B97" s="1507" t="s">
        <v>1409</v>
      </c>
      <c r="C97" s="1507">
        <v>13270</v>
      </c>
      <c r="D97" s="1507">
        <v>13210</v>
      </c>
      <c r="E97" s="1507">
        <v>11080</v>
      </c>
      <c r="F97" s="1521"/>
    </row>
    <row r="98" spans="1:6" s="1501" customFormat="1" ht="14.25" customHeight="1" thickBot="1">
      <c r="A98" s="1513" t="s">
        <v>1530</v>
      </c>
      <c r="B98" s="1507" t="s">
        <v>1416</v>
      </c>
      <c r="C98" s="1507">
        <v>13010</v>
      </c>
      <c r="D98" s="1507">
        <v>12930</v>
      </c>
      <c r="E98" s="1507">
        <v>12840</v>
      </c>
      <c r="F98" s="1521"/>
    </row>
    <row r="99" spans="1:6" s="1501" customFormat="1" ht="14.25" customHeight="1" thickBot="1">
      <c r="A99" s="1513" t="s">
        <v>1530</v>
      </c>
      <c r="B99" s="1507" t="s">
        <v>1423</v>
      </c>
      <c r="C99" s="1507">
        <v>11190</v>
      </c>
      <c r="D99" s="1507">
        <v>11130</v>
      </c>
      <c r="E99" s="1507"/>
      <c r="F99" s="1521"/>
    </row>
    <row r="100" spans="1:6" s="1501" customFormat="1" ht="14.25" customHeight="1" thickBot="1">
      <c r="A100" s="1513" t="s">
        <v>1530</v>
      </c>
      <c r="B100" s="1507" t="s">
        <v>1430</v>
      </c>
      <c r="C100" s="1507">
        <v>14280</v>
      </c>
      <c r="D100" s="1507">
        <v>14180</v>
      </c>
      <c r="E100" s="1507"/>
      <c r="F100" s="1521"/>
    </row>
    <row r="101" spans="1:6" s="1501" customFormat="1" ht="14.25" customHeight="1" thickBot="1">
      <c r="A101" s="1513" t="s">
        <v>1530</v>
      </c>
      <c r="B101" s="1507" t="s">
        <v>1437</v>
      </c>
      <c r="C101" s="1507">
        <v>12960</v>
      </c>
      <c r="D101" s="1507">
        <v>12890</v>
      </c>
      <c r="E101" s="1507"/>
      <c r="F101" s="1521"/>
    </row>
    <row r="102" spans="1:6" s="1501" customFormat="1" ht="14.25" customHeight="1" thickBot="1">
      <c r="A102" s="1513" t="s">
        <v>1530</v>
      </c>
      <c r="B102" s="1507" t="s">
        <v>1444</v>
      </c>
      <c r="C102" s="1507"/>
      <c r="D102" s="1507"/>
      <c r="E102" s="1507"/>
      <c r="F102" s="1521">
        <v>3100</v>
      </c>
    </row>
    <row r="103" spans="1:6" s="1501" customFormat="1" ht="14.25" customHeight="1" thickBot="1">
      <c r="A103" s="1513" t="s">
        <v>1530</v>
      </c>
      <c r="B103" s="1507" t="s">
        <v>1451</v>
      </c>
      <c r="C103" s="1507"/>
      <c r="D103" s="1507"/>
      <c r="E103" s="1507"/>
      <c r="F103" s="1521">
        <v>2320</v>
      </c>
    </row>
    <row r="104" spans="1:6" s="1501" customFormat="1" ht="14.25" customHeight="1" thickBot="1">
      <c r="A104" s="1513" t="s">
        <v>1530</v>
      </c>
      <c r="B104" s="1507" t="s">
        <v>1456</v>
      </c>
      <c r="C104" s="1507"/>
      <c r="D104" s="1507"/>
      <c r="E104" s="1507"/>
      <c r="F104" s="1521">
        <v>2320</v>
      </c>
    </row>
    <row r="105" spans="1:6" s="1501" customFormat="1" ht="14.25" customHeight="1" thickBot="1">
      <c r="A105" s="1513" t="s">
        <v>1530</v>
      </c>
      <c r="B105" s="1507" t="s">
        <v>1460</v>
      </c>
      <c r="C105" s="1507"/>
      <c r="D105" s="1507"/>
      <c r="E105" s="1507"/>
      <c r="F105" s="1521">
        <v>2320</v>
      </c>
    </row>
    <row r="106" spans="1:6" s="1501" customFormat="1" ht="14.25" customHeight="1" thickBot="1">
      <c r="A106" s="1513" t="s">
        <v>1530</v>
      </c>
      <c r="B106" s="1507" t="s">
        <v>1465</v>
      </c>
      <c r="C106" s="1507"/>
      <c r="D106" s="1507"/>
      <c r="E106" s="1507"/>
      <c r="F106" s="1521">
        <v>2320</v>
      </c>
    </row>
    <row r="107" spans="1:6" s="1501" customFormat="1" ht="14.25" customHeight="1" thickBot="1">
      <c r="A107" s="1513" t="s">
        <v>1530</v>
      </c>
      <c r="B107" s="1507" t="s">
        <v>1470</v>
      </c>
      <c r="C107" s="1507"/>
      <c r="D107" s="1507"/>
      <c r="E107" s="1507"/>
      <c r="F107" s="1521">
        <v>2280</v>
      </c>
    </row>
    <row r="108" spans="1:6" s="1501" customFormat="1" ht="14.25" customHeight="1" thickBot="1">
      <c r="A108" s="1513" t="s">
        <v>1530</v>
      </c>
      <c r="B108" s="1507" t="s">
        <v>1475</v>
      </c>
      <c r="C108" s="1507"/>
      <c r="D108" s="1507"/>
      <c r="E108" s="1507"/>
      <c r="F108" s="1521">
        <v>2280</v>
      </c>
    </row>
    <row r="109" spans="1:6" s="1501" customFormat="1" ht="14.25" customHeight="1" thickBot="1">
      <c r="A109" s="1513" t="s">
        <v>1530</v>
      </c>
      <c r="B109" s="1519" t="s">
        <v>1480</v>
      </c>
      <c r="C109" s="1519"/>
      <c r="D109" s="1519"/>
      <c r="E109" s="1519"/>
      <c r="F109" s="1524">
        <v>2280</v>
      </c>
    </row>
    <row r="110" spans="1:6" s="1501" customFormat="1" ht="14.25" customHeight="1" thickBot="1">
      <c r="A110" s="1513" t="s">
        <v>202</v>
      </c>
      <c r="B110" s="1514" t="s">
        <v>1532</v>
      </c>
      <c r="C110" s="1514">
        <v>10520</v>
      </c>
      <c r="D110" s="1514">
        <v>10490</v>
      </c>
      <c r="E110" s="1514">
        <v>10760</v>
      </c>
      <c r="F110" s="1515">
        <v>2160</v>
      </c>
    </row>
    <row r="111" spans="1:6" s="1501" customFormat="1" ht="14.25" customHeight="1" thickBot="1">
      <c r="A111" s="1513" t="s">
        <v>202</v>
      </c>
      <c r="B111" s="1507" t="s">
        <v>1199</v>
      </c>
      <c r="C111" s="1507">
        <v>10090</v>
      </c>
      <c r="D111" s="1507">
        <v>10060</v>
      </c>
      <c r="E111" s="1507">
        <v>10300</v>
      </c>
      <c r="F111" s="1521">
        <v>2010</v>
      </c>
    </row>
    <row r="112" spans="1:6" s="1501" customFormat="1" ht="14.25" customHeight="1" thickBot="1">
      <c r="A112" s="1513" t="s">
        <v>202</v>
      </c>
      <c r="B112" s="1507" t="s">
        <v>1212</v>
      </c>
      <c r="C112" s="1507">
        <v>9910</v>
      </c>
      <c r="D112" s="1507">
        <v>9850</v>
      </c>
      <c r="E112" s="1507">
        <v>9960</v>
      </c>
      <c r="F112" s="1521">
        <v>2090</v>
      </c>
    </row>
    <row r="113" spans="1:6" s="1501" customFormat="1" ht="14.25" customHeight="1" thickBot="1">
      <c r="A113" s="1513" t="s">
        <v>202</v>
      </c>
      <c r="B113" s="1507" t="s">
        <v>1225</v>
      </c>
      <c r="C113" s="1507">
        <v>11430</v>
      </c>
      <c r="D113" s="1507">
        <v>11400</v>
      </c>
      <c r="E113" s="1507">
        <v>11710</v>
      </c>
      <c r="F113" s="1521">
        <v>2050</v>
      </c>
    </row>
    <row r="114" spans="1:6" s="1501" customFormat="1" ht="14.25" customHeight="1" thickBot="1">
      <c r="A114" s="1513" t="s">
        <v>202</v>
      </c>
      <c r="B114" s="1507" t="s">
        <v>1237</v>
      </c>
      <c r="C114" s="1507">
        <v>11390</v>
      </c>
      <c r="D114" s="1507">
        <v>11350</v>
      </c>
      <c r="E114" s="1507">
        <v>11640</v>
      </c>
      <c r="F114" s="1521">
        <v>1620</v>
      </c>
    </row>
    <row r="115" spans="1:6" s="1501" customFormat="1" ht="14.25" customHeight="1" thickBot="1">
      <c r="A115" s="1513" t="s">
        <v>202</v>
      </c>
      <c r="B115" s="1507" t="s">
        <v>1248</v>
      </c>
      <c r="C115" s="1507">
        <v>9930</v>
      </c>
      <c r="D115" s="1507">
        <v>9900</v>
      </c>
      <c r="E115" s="1507">
        <v>10160</v>
      </c>
      <c r="F115" s="1521">
        <v>1580</v>
      </c>
    </row>
    <row r="116" spans="1:6" s="1501" customFormat="1" ht="14.25" customHeight="1" thickBot="1">
      <c r="A116" s="1513" t="s">
        <v>202</v>
      </c>
      <c r="B116" s="1507" t="s">
        <v>1259</v>
      </c>
      <c r="C116" s="1507">
        <v>9150</v>
      </c>
      <c r="D116" s="1507">
        <v>9120</v>
      </c>
      <c r="E116" s="1507">
        <v>9380</v>
      </c>
      <c r="F116" s="1521">
        <v>1750</v>
      </c>
    </row>
    <row r="117" spans="1:6" s="1501" customFormat="1" ht="14.25" customHeight="1" thickBot="1">
      <c r="A117" s="1513" t="s">
        <v>202</v>
      </c>
      <c r="B117" s="1507" t="s">
        <v>1270</v>
      </c>
      <c r="C117" s="1507">
        <v>10680</v>
      </c>
      <c r="D117" s="1507">
        <v>10650</v>
      </c>
      <c r="E117" s="1507">
        <v>10970</v>
      </c>
      <c r="F117" s="1521">
        <v>1730</v>
      </c>
    </row>
    <row r="118" spans="1:6" s="1501" customFormat="1" ht="14.25" customHeight="1" thickBot="1">
      <c r="A118" s="1513" t="s">
        <v>202</v>
      </c>
      <c r="B118" s="1507" t="s">
        <v>1282</v>
      </c>
      <c r="C118" s="1507">
        <v>10080</v>
      </c>
      <c r="D118" s="1507">
        <v>10050</v>
      </c>
      <c r="E118" s="1507">
        <v>10350</v>
      </c>
      <c r="F118" s="1521">
        <v>1920</v>
      </c>
    </row>
    <row r="119" spans="1:6" s="1501" customFormat="1" ht="14.25" customHeight="1" thickBot="1">
      <c r="A119" s="1513" t="s">
        <v>202</v>
      </c>
      <c r="B119" s="1507" t="s">
        <v>1292</v>
      </c>
      <c r="C119" s="1507">
        <v>9450</v>
      </c>
      <c r="D119" s="1507">
        <v>9410</v>
      </c>
      <c r="E119" s="1507">
        <v>9680</v>
      </c>
      <c r="F119" s="1521">
        <v>1880</v>
      </c>
    </row>
    <row r="120" spans="1:6" s="1501" customFormat="1" ht="14.25" customHeight="1" thickBot="1">
      <c r="A120" s="1513" t="s">
        <v>202</v>
      </c>
      <c r="B120" s="1507" t="s">
        <v>1302</v>
      </c>
      <c r="C120" s="1507">
        <v>8730</v>
      </c>
      <c r="D120" s="1507">
        <v>8700</v>
      </c>
      <c r="E120" s="1507">
        <v>8950</v>
      </c>
      <c r="F120" s="1521">
        <v>1830</v>
      </c>
    </row>
    <row r="121" spans="1:6" s="1501" customFormat="1" ht="14.25" customHeight="1" thickBot="1">
      <c r="A121" s="1513" t="s">
        <v>202</v>
      </c>
      <c r="B121" s="1507" t="s">
        <v>1312</v>
      </c>
      <c r="C121" s="1507">
        <v>10070</v>
      </c>
      <c r="D121" s="1507">
        <v>10040</v>
      </c>
      <c r="E121" s="1507">
        <v>10270</v>
      </c>
      <c r="F121" s="1521">
        <v>1960</v>
      </c>
    </row>
    <row r="122" spans="1:6" s="1501" customFormat="1" ht="14.25" customHeight="1" thickBot="1">
      <c r="A122" s="1513" t="s">
        <v>202</v>
      </c>
      <c r="B122" s="1507" t="s">
        <v>1322</v>
      </c>
      <c r="C122" s="1507">
        <v>10500</v>
      </c>
      <c r="D122" s="1507">
        <v>10470</v>
      </c>
      <c r="E122" s="1507">
        <v>10780</v>
      </c>
      <c r="F122" s="1521">
        <v>2180</v>
      </c>
    </row>
    <row r="123" spans="1:6" s="1501" customFormat="1" ht="14.25" customHeight="1" thickBot="1">
      <c r="A123" s="1513" t="s">
        <v>202</v>
      </c>
      <c r="B123" s="1507" t="s">
        <v>1333</v>
      </c>
      <c r="C123" s="1507">
        <v>10390</v>
      </c>
      <c r="D123" s="1507">
        <v>10360</v>
      </c>
      <c r="E123" s="1507">
        <v>10660</v>
      </c>
      <c r="F123" s="1521">
        <v>2040</v>
      </c>
    </row>
    <row r="124" spans="1:6" s="1501" customFormat="1" ht="14.25" customHeight="1" thickBot="1">
      <c r="A124" s="1513" t="s">
        <v>202</v>
      </c>
      <c r="B124" s="1507" t="s">
        <v>1344</v>
      </c>
      <c r="C124" s="1507">
        <v>10390</v>
      </c>
      <c r="D124" s="1507">
        <v>10360</v>
      </c>
      <c r="E124" s="1507">
        <v>10680</v>
      </c>
      <c r="F124" s="1525"/>
    </row>
    <row r="125" spans="1:6" s="1501" customFormat="1" ht="14.25" customHeight="1" thickBot="1">
      <c r="A125" s="1513" t="s">
        <v>202</v>
      </c>
      <c r="B125" s="1507" t="s">
        <v>1354</v>
      </c>
      <c r="C125" s="1507">
        <v>10440</v>
      </c>
      <c r="D125" s="1507">
        <v>10410</v>
      </c>
      <c r="E125" s="1507">
        <v>10710</v>
      </c>
      <c r="F125" s="1525"/>
    </row>
    <row r="126" spans="1:6" s="1501" customFormat="1" ht="14.25" customHeight="1" thickBot="1">
      <c r="A126" s="1513" t="s">
        <v>202</v>
      </c>
      <c r="B126" s="1507" t="s">
        <v>1364</v>
      </c>
      <c r="C126" s="1507">
        <v>10780</v>
      </c>
      <c r="D126" s="1507">
        <v>10750</v>
      </c>
      <c r="E126" s="1507">
        <v>11080</v>
      </c>
      <c r="F126" s="1525"/>
    </row>
    <row r="127" spans="1:6" s="1501" customFormat="1" ht="14.25" customHeight="1" thickBot="1">
      <c r="A127" s="1513" t="s">
        <v>202</v>
      </c>
      <c r="B127" s="1507" t="s">
        <v>1374</v>
      </c>
      <c r="C127" s="1507">
        <v>10100</v>
      </c>
      <c r="D127" s="1507">
        <v>10070</v>
      </c>
      <c r="E127" s="1507">
        <v>10350</v>
      </c>
      <c r="F127" s="1525"/>
    </row>
    <row r="128" spans="1:6" s="1501" customFormat="1" ht="14.25" customHeight="1" thickBot="1">
      <c r="A128" s="1513" t="s">
        <v>202</v>
      </c>
      <c r="B128" s="1507" t="s">
        <v>1384</v>
      </c>
      <c r="C128" s="1507">
        <v>9200</v>
      </c>
      <c r="D128" s="1507">
        <v>9160</v>
      </c>
      <c r="E128" s="1507">
        <v>9660</v>
      </c>
      <c r="F128" s="1525"/>
    </row>
    <row r="129" spans="1:6" s="1501" customFormat="1" ht="14.25" customHeight="1" thickBot="1">
      <c r="A129" s="1513" t="s">
        <v>202</v>
      </c>
      <c r="B129" s="1507" t="s">
        <v>1393</v>
      </c>
      <c r="C129" s="1507">
        <v>10340</v>
      </c>
      <c r="D129" s="1507">
        <v>10310</v>
      </c>
      <c r="E129" s="1507">
        <v>10580</v>
      </c>
      <c r="F129" s="1525"/>
    </row>
    <row r="130" spans="1:6" s="1501" customFormat="1" ht="14.25" customHeight="1" thickBot="1">
      <c r="A130" s="1513" t="s">
        <v>202</v>
      </c>
      <c r="B130" s="1507" t="s">
        <v>1402</v>
      </c>
      <c r="C130" s="1507">
        <v>9680</v>
      </c>
      <c r="D130" s="1507">
        <v>9660</v>
      </c>
      <c r="E130" s="1507">
        <v>9950</v>
      </c>
      <c r="F130" s="1525"/>
    </row>
    <row r="131" spans="1:6" s="1501" customFormat="1" ht="14.25" customHeight="1" thickBot="1">
      <c r="A131" s="1513" t="s">
        <v>202</v>
      </c>
      <c r="B131" s="1507" t="s">
        <v>1410</v>
      </c>
      <c r="C131" s="1507">
        <v>9540</v>
      </c>
      <c r="D131" s="1507">
        <v>9510</v>
      </c>
      <c r="E131" s="1507">
        <v>9790</v>
      </c>
      <c r="F131" s="1525"/>
    </row>
    <row r="132" spans="1:6" s="1501" customFormat="1" ht="14.25" customHeight="1" thickBot="1">
      <c r="A132" s="1513" t="s">
        <v>202</v>
      </c>
      <c r="B132" s="1507" t="s">
        <v>1417</v>
      </c>
      <c r="C132" s="1507">
        <v>9320</v>
      </c>
      <c r="D132" s="1507">
        <v>9290</v>
      </c>
      <c r="E132" s="1507">
        <v>9570</v>
      </c>
      <c r="F132" s="1525"/>
    </row>
    <row r="133" spans="1:6" s="1501" customFormat="1" ht="14.25" customHeight="1" thickBot="1">
      <c r="A133" s="1513" t="s">
        <v>202</v>
      </c>
      <c r="B133" s="1507" t="s">
        <v>1424</v>
      </c>
      <c r="C133" s="1507">
        <v>10310</v>
      </c>
      <c r="D133" s="1507">
        <v>10280</v>
      </c>
      <c r="E133" s="1507">
        <v>10530</v>
      </c>
      <c r="F133" s="1525"/>
    </row>
    <row r="134" spans="1:6" s="1501" customFormat="1" ht="14.25" customHeight="1" thickBot="1">
      <c r="A134" s="1513" t="s">
        <v>202</v>
      </c>
      <c r="B134" s="1507" t="s">
        <v>1431</v>
      </c>
      <c r="C134" s="1507">
        <v>10370</v>
      </c>
      <c r="D134" s="1507">
        <v>10310</v>
      </c>
      <c r="E134" s="1507">
        <v>10240</v>
      </c>
      <c r="F134" s="1521">
        <v>2060</v>
      </c>
    </row>
    <row r="135" spans="1:6" s="1501" customFormat="1" ht="14.25" customHeight="1" thickBot="1">
      <c r="A135" s="1513" t="s">
        <v>202</v>
      </c>
      <c r="B135" s="1507" t="s">
        <v>1438</v>
      </c>
      <c r="C135" s="1507">
        <v>9300</v>
      </c>
      <c r="D135" s="1507">
        <v>9270</v>
      </c>
      <c r="E135" s="1507">
        <v>9350</v>
      </c>
      <c r="F135" s="1525"/>
    </row>
    <row r="136" spans="1:6" s="1501" customFormat="1" ht="14.25" customHeight="1" thickBot="1">
      <c r="A136" s="1513" t="s">
        <v>202</v>
      </c>
      <c r="B136" s="1507" t="s">
        <v>1445</v>
      </c>
      <c r="C136" s="1507">
        <v>10160</v>
      </c>
      <c r="D136" s="1507">
        <v>10110</v>
      </c>
      <c r="E136" s="1507">
        <v>10080</v>
      </c>
      <c r="F136" s="1525"/>
    </row>
    <row r="137" spans="1:6" s="1501" customFormat="1" ht="14.25" customHeight="1" thickBot="1">
      <c r="A137" s="1513" t="s">
        <v>202</v>
      </c>
      <c r="B137" s="1507" t="s">
        <v>1452</v>
      </c>
      <c r="C137" s="1507">
        <v>9200</v>
      </c>
      <c r="D137" s="1507">
        <v>9170</v>
      </c>
      <c r="E137" s="1507">
        <v>9450</v>
      </c>
      <c r="F137" s="1525"/>
    </row>
    <row r="138" spans="1:6" s="1501" customFormat="1" ht="14.25" customHeight="1" thickBot="1">
      <c r="A138" s="1513" t="s">
        <v>202</v>
      </c>
      <c r="B138" s="1507" t="s">
        <v>1457</v>
      </c>
      <c r="C138" s="1507">
        <v>9690</v>
      </c>
      <c r="D138" s="1507">
        <v>9660</v>
      </c>
      <c r="E138" s="1507">
        <v>9840</v>
      </c>
      <c r="F138" s="1525"/>
    </row>
    <row r="139" spans="1:6" s="1501" customFormat="1" ht="14.25" customHeight="1" thickBot="1">
      <c r="A139" s="1513" t="s">
        <v>202</v>
      </c>
      <c r="B139" s="1507" t="s">
        <v>1461</v>
      </c>
      <c r="C139" s="1507">
        <v>10290</v>
      </c>
      <c r="D139" s="1507">
        <v>10260</v>
      </c>
      <c r="E139" s="1507">
        <v>10550</v>
      </c>
      <c r="F139" s="1521">
        <v>1700</v>
      </c>
    </row>
    <row r="140" spans="1:6" s="1501" customFormat="1" ht="14.25" customHeight="1" thickBot="1">
      <c r="A140" s="1513" t="s">
        <v>202</v>
      </c>
      <c r="B140" s="1507" t="s">
        <v>1466</v>
      </c>
      <c r="C140" s="1507">
        <v>9740</v>
      </c>
      <c r="D140" s="1507">
        <v>9710</v>
      </c>
      <c r="E140" s="1507">
        <v>10000</v>
      </c>
      <c r="F140" s="1521">
        <v>2000</v>
      </c>
    </row>
    <row r="141" spans="1:6" s="1501" customFormat="1" ht="14.25" customHeight="1" thickBot="1">
      <c r="A141" s="1513" t="s">
        <v>202</v>
      </c>
      <c r="B141" s="1507" t="s">
        <v>1471</v>
      </c>
      <c r="C141" s="1507">
        <v>9810</v>
      </c>
      <c r="D141" s="1507">
        <v>9770</v>
      </c>
      <c r="E141" s="1507">
        <v>10060</v>
      </c>
      <c r="F141" s="1525"/>
    </row>
    <row r="142" spans="1:6" s="1501" customFormat="1" ht="14.25" customHeight="1" thickBot="1">
      <c r="A142" s="1513" t="s">
        <v>202</v>
      </c>
      <c r="B142" s="1507" t="s">
        <v>1476</v>
      </c>
      <c r="C142" s="1507">
        <v>9300</v>
      </c>
      <c r="D142" s="1507">
        <v>9270</v>
      </c>
      <c r="E142" s="1507">
        <v>9530</v>
      </c>
      <c r="F142" s="1525"/>
    </row>
    <row r="143" spans="1:6" s="1501" customFormat="1" ht="14.25" customHeight="1" thickBot="1">
      <c r="A143" s="1513" t="s">
        <v>202</v>
      </c>
      <c r="B143" s="1507" t="s">
        <v>1481</v>
      </c>
      <c r="C143" s="1507">
        <v>10080</v>
      </c>
      <c r="D143" s="1507">
        <v>10050</v>
      </c>
      <c r="E143" s="1507">
        <v>10340</v>
      </c>
      <c r="F143" s="1525"/>
    </row>
    <row r="144" spans="1:6" s="1501" customFormat="1" ht="14.25" customHeight="1" thickBot="1">
      <c r="A144" s="1513" t="s">
        <v>202</v>
      </c>
      <c r="B144" s="1507" t="s">
        <v>1485</v>
      </c>
      <c r="C144" s="1507">
        <v>9820</v>
      </c>
      <c r="D144" s="1507">
        <v>9750</v>
      </c>
      <c r="E144" s="1507">
        <v>9900</v>
      </c>
      <c r="F144" s="1525"/>
    </row>
    <row r="145" spans="1:6" s="1501" customFormat="1" ht="14.25" customHeight="1" thickBot="1">
      <c r="A145" s="1513" t="s">
        <v>202</v>
      </c>
      <c r="B145" s="1507" t="s">
        <v>1489</v>
      </c>
      <c r="C145" s="1507"/>
      <c r="D145" s="1507"/>
      <c r="E145" s="1507"/>
      <c r="F145" s="1521">
        <v>1740</v>
      </c>
    </row>
    <row r="146" spans="1:6" s="1501" customFormat="1" ht="14.25" customHeight="1" thickBot="1">
      <c r="A146" s="1513" t="s">
        <v>202</v>
      </c>
      <c r="B146" s="1507" t="s">
        <v>1493</v>
      </c>
      <c r="C146" s="1507"/>
      <c r="D146" s="1507"/>
      <c r="E146" s="1507"/>
      <c r="F146" s="1521">
        <v>1740</v>
      </c>
    </row>
    <row r="147" spans="1:6" s="1501" customFormat="1" ht="14.25" customHeight="1" thickBot="1">
      <c r="A147" s="1513" t="s">
        <v>202</v>
      </c>
      <c r="B147" s="1507" t="s">
        <v>1497</v>
      </c>
      <c r="C147" s="1507"/>
      <c r="D147" s="1507"/>
      <c r="E147" s="1507"/>
      <c r="F147" s="1521">
        <v>1740</v>
      </c>
    </row>
    <row r="148" spans="1:6" s="1501" customFormat="1" ht="14.25" customHeight="1" thickBot="1">
      <c r="A148" s="1513" t="s">
        <v>202</v>
      </c>
      <c r="B148" s="1507" t="s">
        <v>1501</v>
      </c>
      <c r="C148" s="1507"/>
      <c r="D148" s="1507"/>
      <c r="E148" s="1507"/>
      <c r="F148" s="1521">
        <v>1740</v>
      </c>
    </row>
    <row r="149" spans="1:6" s="1501" customFormat="1" ht="14.25" customHeight="1" thickBot="1">
      <c r="A149" s="1513" t="s">
        <v>202</v>
      </c>
      <c r="B149" s="1507" t="s">
        <v>1505</v>
      </c>
      <c r="C149" s="1507"/>
      <c r="D149" s="1507"/>
      <c r="E149" s="1507"/>
      <c r="F149" s="1521">
        <v>1740</v>
      </c>
    </row>
    <row r="150" spans="1:6" s="1501" customFormat="1" ht="14.25" customHeight="1" thickBot="1">
      <c r="A150" s="1513" t="s">
        <v>202</v>
      </c>
      <c r="B150" s="1507" t="s">
        <v>1508</v>
      </c>
      <c r="C150" s="1507"/>
      <c r="D150" s="1507"/>
      <c r="E150" s="1507"/>
      <c r="F150" s="1521">
        <v>1610</v>
      </c>
    </row>
    <row r="151" spans="1:6" s="1501" customFormat="1" ht="14.25" customHeight="1" thickBot="1">
      <c r="A151" s="1513" t="s">
        <v>202</v>
      </c>
      <c r="B151" s="1507" t="s">
        <v>1511</v>
      </c>
      <c r="C151" s="1507"/>
      <c r="D151" s="1507"/>
      <c r="E151" s="1507"/>
      <c r="F151" s="1521">
        <v>1610</v>
      </c>
    </row>
    <row r="152" spans="1:6" s="1501" customFormat="1" ht="14.25" customHeight="1" thickBot="1">
      <c r="A152" s="1513" t="s">
        <v>202</v>
      </c>
      <c r="B152" s="1507" t="s">
        <v>1514</v>
      </c>
      <c r="C152" s="1507"/>
      <c r="D152" s="1507"/>
      <c r="E152" s="1507"/>
      <c r="F152" s="1521">
        <v>1610</v>
      </c>
    </row>
    <row r="153" spans="1:6" s="1501" customFormat="1" ht="14.25" customHeight="1" thickBot="1">
      <c r="A153" s="1513" t="s">
        <v>202</v>
      </c>
      <c r="B153" s="1507" t="s">
        <v>1517</v>
      </c>
      <c r="C153" s="1507"/>
      <c r="D153" s="1507"/>
      <c r="E153" s="1507"/>
      <c r="F153" s="1521">
        <v>1610</v>
      </c>
    </row>
    <row r="154" spans="1:6" s="1501" customFormat="1" ht="14.25" customHeight="1" thickBot="1">
      <c r="A154" s="1513" t="s">
        <v>202</v>
      </c>
      <c r="B154" s="1507" t="s">
        <v>1520</v>
      </c>
      <c r="C154" s="1507"/>
      <c r="D154" s="1507"/>
      <c r="E154" s="1507"/>
      <c r="F154" s="1521">
        <v>1610</v>
      </c>
    </row>
    <row r="155" spans="1:6" s="1501" customFormat="1" ht="14.25" customHeight="1" thickBot="1">
      <c r="A155" s="1513" t="s">
        <v>202</v>
      </c>
      <c r="B155" s="1507" t="s">
        <v>1523</v>
      </c>
      <c r="C155" s="1507"/>
      <c r="D155" s="1507"/>
      <c r="E155" s="1507"/>
      <c r="F155" s="1521">
        <v>1800</v>
      </c>
    </row>
    <row r="156" spans="1:6" s="1501" customFormat="1" ht="14.25" customHeight="1" thickBot="1">
      <c r="A156" s="1513" t="s">
        <v>202</v>
      </c>
      <c r="B156" s="1507" t="s">
        <v>1525</v>
      </c>
      <c r="C156" s="1507"/>
      <c r="D156" s="1507"/>
      <c r="E156" s="1507"/>
      <c r="F156" s="1521">
        <v>1910</v>
      </c>
    </row>
    <row r="157" spans="1:6" s="1501" customFormat="1" ht="14.25" customHeight="1" thickBot="1">
      <c r="A157" s="1513" t="s">
        <v>202</v>
      </c>
      <c r="B157" s="1519" t="s">
        <v>1528</v>
      </c>
      <c r="C157" s="1519"/>
      <c r="D157" s="1519"/>
      <c r="E157" s="1519"/>
      <c r="F157" s="1524">
        <v>1500</v>
      </c>
    </row>
    <row r="158" spans="1:6" s="1501" customFormat="1" ht="14.25" customHeight="1" thickBot="1">
      <c r="A158" s="1513" t="s">
        <v>1533</v>
      </c>
      <c r="B158" s="1514" t="s">
        <v>1534</v>
      </c>
      <c r="C158" s="1514">
        <v>8170</v>
      </c>
      <c r="D158" s="1514">
        <v>8140</v>
      </c>
      <c r="E158" s="1514">
        <v>8590</v>
      </c>
      <c r="F158" s="1515">
        <v>1450</v>
      </c>
    </row>
    <row r="159" spans="1:6" s="1501" customFormat="1" ht="14.25" customHeight="1" thickBot="1">
      <c r="A159" s="1513" t="s">
        <v>1533</v>
      </c>
      <c r="B159" s="1507" t="s">
        <v>1200</v>
      </c>
      <c r="C159" s="1507">
        <v>7410</v>
      </c>
      <c r="D159" s="1507">
        <v>7370</v>
      </c>
      <c r="E159" s="1507">
        <v>8030</v>
      </c>
      <c r="F159" s="1521">
        <v>1510</v>
      </c>
    </row>
    <row r="160" spans="1:6" s="1501" customFormat="1" ht="14.25" customHeight="1" thickBot="1">
      <c r="A160" s="1513" t="s">
        <v>1533</v>
      </c>
      <c r="B160" s="1507" t="s">
        <v>1213</v>
      </c>
      <c r="C160" s="1507">
        <v>7240</v>
      </c>
      <c r="D160" s="1507">
        <v>7210</v>
      </c>
      <c r="E160" s="1507">
        <v>7860</v>
      </c>
      <c r="F160" s="1521">
        <v>1370</v>
      </c>
    </row>
    <row r="161" spans="1:6" s="1501" customFormat="1" ht="14.25" customHeight="1" thickBot="1">
      <c r="A161" s="1513" t="s">
        <v>1533</v>
      </c>
      <c r="B161" s="1507" t="s">
        <v>1226</v>
      </c>
      <c r="C161" s="1507">
        <v>7720</v>
      </c>
      <c r="D161" s="1507">
        <v>7690</v>
      </c>
      <c r="E161" s="1507">
        <v>8200</v>
      </c>
      <c r="F161" s="1521">
        <v>1190</v>
      </c>
    </row>
    <row r="162" spans="1:6" s="1501" customFormat="1" ht="14.25" customHeight="1" thickBot="1">
      <c r="A162" s="1513" t="s">
        <v>1533</v>
      </c>
      <c r="B162" s="1507" t="s">
        <v>1238</v>
      </c>
      <c r="C162" s="1507">
        <v>6900</v>
      </c>
      <c r="D162" s="1507">
        <v>6870</v>
      </c>
      <c r="E162" s="1507">
        <v>7500</v>
      </c>
      <c r="F162" s="1521">
        <v>1390</v>
      </c>
    </row>
    <row r="163" spans="1:6" s="1501" customFormat="1" ht="14.25" customHeight="1" thickBot="1">
      <c r="A163" s="1513" t="s">
        <v>1533</v>
      </c>
      <c r="B163" s="1507" t="s">
        <v>1249</v>
      </c>
      <c r="C163" s="1507">
        <v>7120</v>
      </c>
      <c r="D163" s="1507">
        <v>7090</v>
      </c>
      <c r="E163" s="1507">
        <v>7690</v>
      </c>
      <c r="F163" s="1521">
        <v>1230</v>
      </c>
    </row>
    <row r="164" spans="1:6" s="1501" customFormat="1" ht="14.25" customHeight="1" thickBot="1">
      <c r="A164" s="1513" t="s">
        <v>1533</v>
      </c>
      <c r="B164" s="1507" t="s">
        <v>1260</v>
      </c>
      <c r="C164" s="1507">
        <v>6560</v>
      </c>
      <c r="D164" s="1507">
        <v>6530</v>
      </c>
      <c r="E164" s="1507">
        <v>7110</v>
      </c>
      <c r="F164" s="1521">
        <v>1340</v>
      </c>
    </row>
    <row r="165" spans="1:6" s="1501" customFormat="1" ht="14.25" customHeight="1" thickBot="1">
      <c r="A165" s="1513" t="s">
        <v>1533</v>
      </c>
      <c r="B165" s="1507" t="s">
        <v>1271</v>
      </c>
      <c r="C165" s="1507">
        <v>7450</v>
      </c>
      <c r="D165" s="1507">
        <v>7430</v>
      </c>
      <c r="E165" s="1507">
        <v>8110</v>
      </c>
      <c r="F165" s="1521">
        <v>1290</v>
      </c>
    </row>
    <row r="166" spans="1:6" s="1501" customFormat="1" ht="14.25" customHeight="1" thickBot="1">
      <c r="A166" s="1513" t="s">
        <v>1533</v>
      </c>
      <c r="B166" s="1507" t="s">
        <v>1283</v>
      </c>
      <c r="C166" s="1507">
        <v>7490</v>
      </c>
      <c r="D166" s="1507">
        <v>7460</v>
      </c>
      <c r="E166" s="1507">
        <v>8150</v>
      </c>
      <c r="F166" s="1521">
        <v>1350</v>
      </c>
    </row>
    <row r="167" spans="1:6" s="1501" customFormat="1" ht="14.25" customHeight="1" thickBot="1">
      <c r="A167" s="1513" t="s">
        <v>1533</v>
      </c>
      <c r="B167" s="1507" t="s">
        <v>1293</v>
      </c>
      <c r="C167" s="1507">
        <v>7540</v>
      </c>
      <c r="D167" s="1507">
        <v>7510</v>
      </c>
      <c r="E167" s="1507">
        <v>8030</v>
      </c>
      <c r="F167" s="1525"/>
    </row>
    <row r="168" spans="1:6" s="1501" customFormat="1" ht="14.25" customHeight="1" thickBot="1">
      <c r="A168" s="1513" t="s">
        <v>1533</v>
      </c>
      <c r="B168" s="1507" t="s">
        <v>1303</v>
      </c>
      <c r="C168" s="1507">
        <v>7210</v>
      </c>
      <c r="D168" s="1507">
        <v>7180</v>
      </c>
      <c r="E168" s="1507">
        <v>7830</v>
      </c>
      <c r="F168" s="1525"/>
    </row>
    <row r="169" spans="1:6" s="1501" customFormat="1" ht="14.25" customHeight="1" thickBot="1">
      <c r="A169" s="1513" t="s">
        <v>1533</v>
      </c>
      <c r="B169" s="1507" t="s">
        <v>1313</v>
      </c>
      <c r="C169" s="1507">
        <v>7040</v>
      </c>
      <c r="D169" s="1507">
        <v>7020</v>
      </c>
      <c r="E169" s="1507">
        <v>7670</v>
      </c>
      <c r="F169" s="1525"/>
    </row>
    <row r="170" spans="1:6" s="1501" customFormat="1" ht="14.25" customHeight="1" thickBot="1">
      <c r="A170" s="1513" t="s">
        <v>1533</v>
      </c>
      <c r="B170" s="1507" t="s">
        <v>1323</v>
      </c>
      <c r="C170" s="1507">
        <v>8040</v>
      </c>
      <c r="D170" s="1507">
        <v>7190</v>
      </c>
      <c r="E170" s="1507">
        <v>7850</v>
      </c>
      <c r="F170" s="1525"/>
    </row>
    <row r="171" spans="1:6" s="1501" customFormat="1" ht="14.25" customHeight="1" thickBot="1">
      <c r="A171" s="1513" t="s">
        <v>1533</v>
      </c>
      <c r="B171" s="1507" t="s">
        <v>1334</v>
      </c>
      <c r="C171" s="1507">
        <v>7860</v>
      </c>
      <c r="D171" s="1507">
        <v>7720</v>
      </c>
      <c r="E171" s="1507">
        <v>8150</v>
      </c>
      <c r="F171" s="1521">
        <v>1110</v>
      </c>
    </row>
    <row r="172" spans="1:6" s="1501" customFormat="1" ht="14.25" customHeight="1" thickBot="1">
      <c r="A172" s="1513" t="s">
        <v>1533</v>
      </c>
      <c r="B172" s="1507" t="s">
        <v>1345</v>
      </c>
      <c r="C172" s="1507">
        <v>7210</v>
      </c>
      <c r="D172" s="1507">
        <v>7170</v>
      </c>
      <c r="E172" s="1507">
        <v>7320</v>
      </c>
      <c r="F172" s="1525"/>
    </row>
    <row r="173" spans="1:6" s="1501" customFormat="1" ht="14.25" customHeight="1" thickBot="1">
      <c r="A173" s="1513" t="s">
        <v>1533</v>
      </c>
      <c r="B173" s="1507" t="s">
        <v>1355</v>
      </c>
      <c r="C173" s="1507">
        <v>6860</v>
      </c>
      <c r="D173" s="1507">
        <v>6810</v>
      </c>
      <c r="E173" s="1507">
        <v>7440</v>
      </c>
      <c r="F173" s="1525"/>
    </row>
    <row r="174" spans="1:6" s="1501" customFormat="1" ht="14.25" customHeight="1" thickBot="1">
      <c r="A174" s="1513" t="s">
        <v>1533</v>
      </c>
      <c r="B174" s="1507" t="s">
        <v>1365</v>
      </c>
      <c r="C174" s="1507">
        <v>7120</v>
      </c>
      <c r="D174" s="1507">
        <v>7090</v>
      </c>
      <c r="E174" s="1507">
        <v>7500</v>
      </c>
      <c r="F174" s="1521">
        <v>1490</v>
      </c>
    </row>
    <row r="175" spans="1:6" s="1501" customFormat="1" ht="14.25" customHeight="1" thickBot="1">
      <c r="A175" s="1513" t="s">
        <v>1533</v>
      </c>
      <c r="B175" s="1507" t="s">
        <v>1375</v>
      </c>
      <c r="C175" s="1507">
        <v>7850</v>
      </c>
      <c r="D175" s="1507">
        <v>7820</v>
      </c>
      <c r="E175" s="1507">
        <v>8120</v>
      </c>
      <c r="F175" s="1521">
        <v>1530</v>
      </c>
    </row>
    <row r="176" spans="1:6" s="1501" customFormat="1" ht="14.25" customHeight="1" thickBot="1">
      <c r="A176" s="1513" t="s">
        <v>1533</v>
      </c>
      <c r="B176" s="1507" t="s">
        <v>1385</v>
      </c>
      <c r="C176" s="1507">
        <v>7620</v>
      </c>
      <c r="D176" s="1507">
        <v>7570</v>
      </c>
      <c r="E176" s="1507">
        <v>7990</v>
      </c>
      <c r="F176" s="1521">
        <v>1480</v>
      </c>
    </row>
    <row r="177" spans="1:6" s="1501" customFormat="1" ht="14.25" customHeight="1" thickBot="1">
      <c r="A177" s="1513" t="s">
        <v>1533</v>
      </c>
      <c r="B177" s="1507" t="s">
        <v>1394</v>
      </c>
      <c r="C177" s="1507">
        <v>8590</v>
      </c>
      <c r="D177" s="1507">
        <v>8570</v>
      </c>
      <c r="E177" s="1507">
        <v>8740</v>
      </c>
      <c r="F177" s="1521">
        <v>1540</v>
      </c>
    </row>
    <row r="178" spans="1:6" s="1501" customFormat="1" ht="14.25" customHeight="1" thickBot="1">
      <c r="A178" s="1513" t="s">
        <v>1533</v>
      </c>
      <c r="B178" s="1507" t="s">
        <v>1403</v>
      </c>
      <c r="C178" s="1507">
        <v>7510</v>
      </c>
      <c r="D178" s="1507">
        <v>7470</v>
      </c>
      <c r="E178" s="1507">
        <v>8090</v>
      </c>
      <c r="F178" s="1521">
        <v>1320</v>
      </c>
    </row>
    <row r="179" spans="1:6" s="1501" customFormat="1" ht="14.25" customHeight="1" thickBot="1">
      <c r="A179" s="1513" t="s">
        <v>1533</v>
      </c>
      <c r="B179" s="1507" t="s">
        <v>1411</v>
      </c>
      <c r="C179" s="1507">
        <v>6380</v>
      </c>
      <c r="D179" s="1507">
        <v>6340</v>
      </c>
      <c r="E179" s="1507">
        <v>6810</v>
      </c>
      <c r="F179" s="1525"/>
    </row>
    <row r="180" spans="1:6" s="1501" customFormat="1" ht="14.25" customHeight="1" thickBot="1">
      <c r="A180" s="1513" t="s">
        <v>1533</v>
      </c>
      <c r="B180" s="1507" t="s">
        <v>1418</v>
      </c>
      <c r="C180" s="1507">
        <v>7830</v>
      </c>
      <c r="D180" s="1507">
        <v>7800</v>
      </c>
      <c r="E180" s="1507">
        <v>7780</v>
      </c>
      <c r="F180" s="1521">
        <v>1440</v>
      </c>
    </row>
    <row r="181" spans="1:6" s="1501" customFormat="1" ht="14.25" customHeight="1" thickBot="1">
      <c r="A181" s="1513" t="s">
        <v>1533</v>
      </c>
      <c r="B181" s="1507" t="s">
        <v>1425</v>
      </c>
      <c r="C181" s="1507">
        <v>7110</v>
      </c>
      <c r="D181" s="1507">
        <v>7080</v>
      </c>
      <c r="E181" s="1507">
        <v>7730</v>
      </c>
      <c r="F181" s="1521">
        <v>1350</v>
      </c>
    </row>
    <row r="182" spans="1:6" s="1501" customFormat="1" ht="14.25" customHeight="1" thickBot="1">
      <c r="A182" s="1513" t="s">
        <v>1533</v>
      </c>
      <c r="B182" s="1507" t="s">
        <v>1432</v>
      </c>
      <c r="C182" s="1507">
        <v>7310</v>
      </c>
      <c r="D182" s="1507">
        <v>7280</v>
      </c>
      <c r="E182" s="1507">
        <v>7950</v>
      </c>
      <c r="F182" s="1521">
        <v>1220</v>
      </c>
    </row>
    <row r="183" spans="1:6" s="1501" customFormat="1" ht="14.25" customHeight="1" thickBot="1">
      <c r="A183" s="1513" t="s">
        <v>1533</v>
      </c>
      <c r="B183" s="1507" t="s">
        <v>1439</v>
      </c>
      <c r="C183" s="1507">
        <v>7470</v>
      </c>
      <c r="D183" s="1507">
        <v>7440</v>
      </c>
      <c r="E183" s="1507">
        <v>7880</v>
      </c>
      <c r="F183" s="1525"/>
    </row>
    <row r="184" spans="1:6" s="1501" customFormat="1" ht="14.25" customHeight="1" thickBot="1">
      <c r="A184" s="1513" t="s">
        <v>1533</v>
      </c>
      <c r="B184" s="1507" t="s">
        <v>1446</v>
      </c>
      <c r="C184" s="1507">
        <v>6960</v>
      </c>
      <c r="D184" s="1507">
        <v>6930</v>
      </c>
      <c r="E184" s="1507">
        <v>7570</v>
      </c>
      <c r="F184" s="1525"/>
    </row>
    <row r="185" spans="1:6" s="1501" customFormat="1" ht="14.25" customHeight="1" thickBot="1">
      <c r="A185" s="1513" t="s">
        <v>1533</v>
      </c>
      <c r="B185" s="1507" t="s">
        <v>1453</v>
      </c>
      <c r="C185" s="1507">
        <v>7260</v>
      </c>
      <c r="D185" s="1507">
        <v>7230</v>
      </c>
      <c r="E185" s="1507">
        <v>7710</v>
      </c>
      <c r="F185" s="1521">
        <v>1360</v>
      </c>
    </row>
    <row r="186" spans="1:6" s="1501" customFormat="1" ht="14.25" customHeight="1" thickBot="1">
      <c r="A186" s="1513" t="s">
        <v>1533</v>
      </c>
      <c r="B186" s="1507" t="s">
        <v>1458</v>
      </c>
      <c r="C186" s="1507"/>
      <c r="D186" s="1507"/>
      <c r="E186" s="1507"/>
      <c r="F186" s="1521">
        <v>1560</v>
      </c>
    </row>
    <row r="187" spans="1:6" s="1501" customFormat="1" ht="14.25" customHeight="1" thickBot="1">
      <c r="A187" s="1513" t="s">
        <v>1533</v>
      </c>
      <c r="B187" s="1507" t="s">
        <v>1462</v>
      </c>
      <c r="C187" s="1507"/>
      <c r="D187" s="1507"/>
      <c r="E187" s="1507"/>
      <c r="F187" s="1521">
        <v>1560</v>
      </c>
    </row>
    <row r="188" spans="1:6" s="1501" customFormat="1" ht="14.25" customHeight="1" thickBot="1">
      <c r="A188" s="1513" t="s">
        <v>1533</v>
      </c>
      <c r="B188" s="1507" t="s">
        <v>1467</v>
      </c>
      <c r="C188" s="1507"/>
      <c r="D188" s="1507"/>
      <c r="E188" s="1507"/>
      <c r="F188" s="1521">
        <v>1560</v>
      </c>
    </row>
    <row r="189" spans="1:6" s="1501" customFormat="1" ht="14.25" customHeight="1" thickBot="1">
      <c r="A189" s="1513" t="s">
        <v>1533</v>
      </c>
      <c r="B189" s="1507" t="s">
        <v>1472</v>
      </c>
      <c r="C189" s="1507"/>
      <c r="D189" s="1507"/>
      <c r="E189" s="1507"/>
      <c r="F189" s="1521">
        <v>1320</v>
      </c>
    </row>
    <row r="190" spans="1:6" s="1501" customFormat="1" ht="14.25" customHeight="1" thickBot="1">
      <c r="A190" s="1513" t="s">
        <v>1533</v>
      </c>
      <c r="B190" s="1507" t="s">
        <v>1477</v>
      </c>
      <c r="C190" s="1507"/>
      <c r="D190" s="1507"/>
      <c r="E190" s="1507"/>
      <c r="F190" s="1521">
        <v>1320</v>
      </c>
    </row>
    <row r="191" spans="1:6" s="1501" customFormat="1" ht="14.25" customHeight="1" thickBot="1">
      <c r="A191" s="1513" t="s">
        <v>1533</v>
      </c>
      <c r="B191" s="1507" t="s">
        <v>1482</v>
      </c>
      <c r="C191" s="1507"/>
      <c r="D191" s="1507"/>
      <c r="E191" s="1507"/>
      <c r="F191" s="1521">
        <v>1320</v>
      </c>
    </row>
    <row r="192" spans="1:6" s="1501" customFormat="1" ht="14.25" customHeight="1" thickBot="1">
      <c r="A192" s="1513" t="s">
        <v>1533</v>
      </c>
      <c r="B192" s="1507" t="s">
        <v>1486</v>
      </c>
      <c r="C192" s="1507"/>
      <c r="D192" s="1507"/>
      <c r="E192" s="1507"/>
      <c r="F192" s="1521">
        <v>1100</v>
      </c>
    </row>
    <row r="193" spans="1:6" s="1501" customFormat="1" ht="14.25" customHeight="1" thickBot="1">
      <c r="A193" s="1513" t="s">
        <v>1533</v>
      </c>
      <c r="B193" s="1507" t="s">
        <v>1490</v>
      </c>
      <c r="C193" s="1507"/>
      <c r="D193" s="1507"/>
      <c r="E193" s="1507"/>
      <c r="F193" s="1521">
        <v>1100</v>
      </c>
    </row>
    <row r="194" spans="1:6" s="1501" customFormat="1" ht="14.25" customHeight="1" thickBot="1">
      <c r="A194" s="1513" t="s">
        <v>1533</v>
      </c>
      <c r="B194" s="1507" t="s">
        <v>1494</v>
      </c>
      <c r="C194" s="1507"/>
      <c r="D194" s="1507"/>
      <c r="E194" s="1507"/>
      <c r="F194" s="1521">
        <v>1080</v>
      </c>
    </row>
    <row r="195" spans="1:6" s="1501" customFormat="1" ht="14.25" customHeight="1" thickBot="1">
      <c r="A195" s="1513" t="s">
        <v>1533</v>
      </c>
      <c r="B195" s="1507" t="s">
        <v>1498</v>
      </c>
      <c r="C195" s="1507"/>
      <c r="D195" s="1507"/>
      <c r="E195" s="1507"/>
      <c r="F195" s="1521">
        <v>1270</v>
      </c>
    </row>
    <row r="196" spans="1:6" s="1501" customFormat="1" ht="14.25" customHeight="1" thickBot="1">
      <c r="A196" s="1513" t="s">
        <v>1533</v>
      </c>
      <c r="B196" s="1507" t="s">
        <v>1502</v>
      </c>
      <c r="C196" s="1507"/>
      <c r="D196" s="1507"/>
      <c r="E196" s="1507"/>
      <c r="F196" s="1521">
        <v>1150</v>
      </c>
    </row>
    <row r="197" spans="1:6" s="1501" customFormat="1" ht="14.25" customHeight="1" thickBot="1">
      <c r="A197" s="1513" t="s">
        <v>1533</v>
      </c>
      <c r="B197" s="1507" t="s">
        <v>1506</v>
      </c>
      <c r="C197" s="1507"/>
      <c r="D197" s="1507"/>
      <c r="E197" s="1507"/>
      <c r="F197" s="1521">
        <v>1330</v>
      </c>
    </row>
    <row r="198" spans="1:6" s="1501" customFormat="1" ht="14.25" customHeight="1" thickBot="1">
      <c r="A198" s="1513" t="s">
        <v>1533</v>
      </c>
      <c r="B198" s="1507" t="s">
        <v>1509</v>
      </c>
      <c r="C198" s="1507"/>
      <c r="D198" s="1507"/>
      <c r="E198" s="1507"/>
      <c r="F198" s="1521">
        <v>1170</v>
      </c>
    </row>
    <row r="199" spans="1:6" s="1501" customFormat="1" ht="14.25" customHeight="1" thickBot="1">
      <c r="A199" s="1513" t="s">
        <v>1533</v>
      </c>
      <c r="B199" s="1507" t="s">
        <v>1512</v>
      </c>
      <c r="C199" s="1507"/>
      <c r="D199" s="1507"/>
      <c r="E199" s="1507"/>
      <c r="F199" s="1521">
        <v>1120</v>
      </c>
    </row>
    <row r="200" spans="1:6" s="1501" customFormat="1" ht="14.25" customHeight="1" thickBot="1">
      <c r="A200" s="1513" t="s">
        <v>1533</v>
      </c>
      <c r="B200" s="1507" t="s">
        <v>1515</v>
      </c>
      <c r="C200" s="1507"/>
      <c r="D200" s="1507"/>
      <c r="E200" s="1507"/>
      <c r="F200" s="1521">
        <v>1120</v>
      </c>
    </row>
    <row r="201" spans="1:6" s="1501" customFormat="1" ht="14.25" customHeight="1" thickBot="1">
      <c r="A201" s="1513" t="s">
        <v>1533</v>
      </c>
      <c r="B201" s="1507" t="s">
        <v>1518</v>
      </c>
      <c r="C201" s="1507"/>
      <c r="D201" s="1507"/>
      <c r="E201" s="1507"/>
      <c r="F201" s="1521">
        <v>1540</v>
      </c>
    </row>
    <row r="202" spans="1:6" s="1501" customFormat="1" ht="14.25" customHeight="1" thickBot="1">
      <c r="A202" s="1513" t="s">
        <v>1533</v>
      </c>
      <c r="B202" s="1507" t="s">
        <v>1521</v>
      </c>
      <c r="C202" s="1507"/>
      <c r="D202" s="1507"/>
      <c r="E202" s="1507"/>
      <c r="F202" s="1521">
        <v>1310</v>
      </c>
    </row>
    <row r="203" spans="1:6" s="1501" customFormat="1" ht="14.25" customHeight="1" thickBot="1">
      <c r="A203" s="1513" t="s">
        <v>1533</v>
      </c>
      <c r="B203" s="1507" t="s">
        <v>1524</v>
      </c>
      <c r="C203" s="1507"/>
      <c r="D203" s="1507"/>
      <c r="E203" s="1507"/>
      <c r="F203" s="1521">
        <v>1310</v>
      </c>
    </row>
    <row r="204" spans="1:6" s="1501" customFormat="1" ht="14.25" customHeight="1" thickBot="1">
      <c r="A204" s="1513" t="s">
        <v>1533</v>
      </c>
      <c r="B204" s="1507" t="s">
        <v>1526</v>
      </c>
      <c r="C204" s="1507"/>
      <c r="D204" s="1507"/>
      <c r="E204" s="1507"/>
      <c r="F204" s="1521">
        <v>1080</v>
      </c>
    </row>
    <row r="205" spans="1:6" s="1501" customFormat="1" ht="14.25" customHeight="1" thickBot="1">
      <c r="A205" s="1513" t="s">
        <v>1533</v>
      </c>
      <c r="B205" s="1507" t="s">
        <v>1529</v>
      </c>
      <c r="C205" s="1507"/>
      <c r="D205" s="1507"/>
      <c r="E205" s="1507"/>
      <c r="F205" s="1521">
        <v>1080</v>
      </c>
    </row>
    <row r="206" spans="1:6" s="1501" customFormat="1" ht="14.25" customHeight="1" thickBot="1">
      <c r="A206" s="1513" t="s">
        <v>1535</v>
      </c>
      <c r="B206" s="1514" t="s">
        <v>1536</v>
      </c>
      <c r="C206" s="1514">
        <v>5450</v>
      </c>
      <c r="D206" s="1514">
        <v>5430</v>
      </c>
      <c r="E206" s="1514">
        <v>5700</v>
      </c>
      <c r="F206" s="1515">
        <v>1020</v>
      </c>
    </row>
    <row r="207" spans="1:6" s="1501" customFormat="1" ht="14.25" customHeight="1" thickBot="1">
      <c r="A207" s="1513" t="s">
        <v>1535</v>
      </c>
      <c r="B207" s="1507" t="s">
        <v>1201</v>
      </c>
      <c r="C207" s="1507">
        <v>5860</v>
      </c>
      <c r="D207" s="1507">
        <v>5820</v>
      </c>
      <c r="E207" s="1507">
        <v>6050</v>
      </c>
      <c r="F207" s="1521">
        <v>1080</v>
      </c>
    </row>
    <row r="208" spans="1:6" s="1501" customFormat="1" ht="14.25" customHeight="1" thickBot="1">
      <c r="A208" s="1513" t="s">
        <v>1535</v>
      </c>
      <c r="B208" s="1507" t="s">
        <v>1214</v>
      </c>
      <c r="C208" s="1507">
        <v>4630</v>
      </c>
      <c r="D208" s="1507">
        <v>4600</v>
      </c>
      <c r="E208" s="1507">
        <v>4840</v>
      </c>
      <c r="F208" s="1521">
        <v>900</v>
      </c>
    </row>
    <row r="209" spans="1:6" s="1501" customFormat="1" ht="14.25" customHeight="1" thickBot="1">
      <c r="A209" s="1513" t="s">
        <v>1535</v>
      </c>
      <c r="B209" s="1507" t="s">
        <v>1227</v>
      </c>
      <c r="C209" s="1507">
        <v>5320</v>
      </c>
      <c r="D209" s="1507">
        <v>5270</v>
      </c>
      <c r="E209" s="1507">
        <v>5540</v>
      </c>
      <c r="F209" s="1521">
        <v>980</v>
      </c>
    </row>
    <row r="210" spans="1:6" s="1501" customFormat="1" ht="14.25" customHeight="1" thickBot="1">
      <c r="A210" s="1513" t="s">
        <v>1535</v>
      </c>
      <c r="B210" s="1507" t="s">
        <v>1239</v>
      </c>
      <c r="C210" s="1507">
        <v>5760</v>
      </c>
      <c r="D210" s="1507">
        <v>5710</v>
      </c>
      <c r="E210" s="1507">
        <v>6010</v>
      </c>
      <c r="F210" s="1521">
        <v>870</v>
      </c>
    </row>
    <row r="211" spans="1:6" s="1501" customFormat="1" ht="14.25" customHeight="1" thickBot="1">
      <c r="A211" s="1513" t="s">
        <v>1535</v>
      </c>
      <c r="B211" s="1507" t="s">
        <v>1250</v>
      </c>
      <c r="C211" s="1507">
        <v>4160</v>
      </c>
      <c r="D211" s="1507">
        <v>4100</v>
      </c>
      <c r="E211" s="1507">
        <v>4270</v>
      </c>
      <c r="F211" s="1521">
        <v>790</v>
      </c>
    </row>
    <row r="212" spans="1:6" s="1501" customFormat="1" ht="14.25" customHeight="1" thickBot="1">
      <c r="A212" s="1513" t="s">
        <v>1535</v>
      </c>
      <c r="B212" s="1507" t="s">
        <v>1261</v>
      </c>
      <c r="C212" s="1507">
        <v>4880</v>
      </c>
      <c r="D212" s="1507">
        <v>4850</v>
      </c>
      <c r="E212" s="1507">
        <v>5110</v>
      </c>
      <c r="F212" s="1521">
        <v>940</v>
      </c>
    </row>
    <row r="213" spans="1:6" s="1501" customFormat="1" ht="14.25" customHeight="1" thickBot="1">
      <c r="A213" s="1513" t="s">
        <v>1535</v>
      </c>
      <c r="B213" s="1507" t="s">
        <v>1272</v>
      </c>
      <c r="C213" s="1507">
        <v>4640</v>
      </c>
      <c r="D213" s="1507">
        <v>4590</v>
      </c>
      <c r="E213" s="1507">
        <v>4700</v>
      </c>
      <c r="F213" s="1521">
        <v>1030</v>
      </c>
    </row>
    <row r="214" spans="1:6" s="1501" customFormat="1" ht="14.25" customHeight="1" thickBot="1">
      <c r="A214" s="1513" t="s">
        <v>1535</v>
      </c>
      <c r="B214" s="1507" t="s">
        <v>1284</v>
      </c>
      <c r="C214" s="1507">
        <v>4540</v>
      </c>
      <c r="D214" s="1507">
        <v>4490</v>
      </c>
      <c r="E214" s="1507">
        <v>4610</v>
      </c>
      <c r="F214" s="1525"/>
    </row>
    <row r="215" spans="1:6" s="1501" customFormat="1" ht="14.25" customHeight="1" thickBot="1">
      <c r="A215" s="1513" t="s">
        <v>1535</v>
      </c>
      <c r="B215" s="1507" t="s">
        <v>1294</v>
      </c>
      <c r="C215" s="1507">
        <v>5280</v>
      </c>
      <c r="D215" s="1507">
        <v>5250</v>
      </c>
      <c r="E215" s="1507">
        <v>5520</v>
      </c>
      <c r="F215" s="1521">
        <v>1000</v>
      </c>
    </row>
    <row r="216" spans="1:6" s="1501" customFormat="1" ht="14.25" customHeight="1" thickBot="1">
      <c r="A216" s="1513" t="s">
        <v>1535</v>
      </c>
      <c r="B216" s="1507" t="s">
        <v>1304</v>
      </c>
      <c r="C216" s="1507">
        <v>5100</v>
      </c>
      <c r="D216" s="1507">
        <v>5050</v>
      </c>
      <c r="E216" s="1507">
        <v>5300</v>
      </c>
      <c r="F216" s="1521">
        <v>950</v>
      </c>
    </row>
    <row r="217" spans="1:6" s="1501" customFormat="1" ht="14.25" customHeight="1" thickBot="1">
      <c r="A217" s="1513" t="s">
        <v>1535</v>
      </c>
      <c r="B217" s="1507" t="s">
        <v>1314</v>
      </c>
      <c r="C217" s="1507">
        <v>5370</v>
      </c>
      <c r="D217" s="1507">
        <v>5320</v>
      </c>
      <c r="E217" s="1507">
        <v>5410</v>
      </c>
      <c r="F217" s="1521">
        <v>950</v>
      </c>
    </row>
    <row r="218" spans="1:6" s="1501" customFormat="1" ht="14.25" customHeight="1" thickBot="1">
      <c r="A218" s="1513" t="s">
        <v>1535</v>
      </c>
      <c r="B218" s="1507" t="s">
        <v>1324</v>
      </c>
      <c r="C218" s="1507">
        <v>5540</v>
      </c>
      <c r="D218" s="1507">
        <v>5480</v>
      </c>
      <c r="E218" s="1507">
        <v>5740</v>
      </c>
      <c r="F218" s="1521">
        <v>1020</v>
      </c>
    </row>
    <row r="219" spans="1:6" s="1501" customFormat="1" ht="14.25" customHeight="1" thickBot="1">
      <c r="A219" s="1513" t="s">
        <v>1535</v>
      </c>
      <c r="B219" s="1507" t="s">
        <v>1335</v>
      </c>
      <c r="C219" s="1507">
        <v>5140</v>
      </c>
      <c r="D219" s="1507">
        <v>5100</v>
      </c>
      <c r="E219" s="1507">
        <v>5350</v>
      </c>
      <c r="F219" s="1521">
        <v>1120</v>
      </c>
    </row>
    <row r="220" spans="1:6" s="1501" customFormat="1" ht="14.25" customHeight="1" thickBot="1">
      <c r="A220" s="1513" t="s">
        <v>1535</v>
      </c>
      <c r="B220" s="1507" t="s">
        <v>1346</v>
      </c>
      <c r="C220" s="1507">
        <v>5040</v>
      </c>
      <c r="D220" s="1507">
        <v>5000</v>
      </c>
      <c r="E220" s="1507">
        <v>5240</v>
      </c>
      <c r="F220" s="1521">
        <v>980</v>
      </c>
    </row>
    <row r="221" spans="1:6" s="1501" customFormat="1" ht="14.25" customHeight="1" thickBot="1">
      <c r="A221" s="1513" t="s">
        <v>1535</v>
      </c>
      <c r="B221" s="1507" t="s">
        <v>1356</v>
      </c>
      <c r="C221" s="1526"/>
      <c r="D221" s="1526"/>
      <c r="E221" s="1526"/>
      <c r="F221" s="1521">
        <v>1070</v>
      </c>
    </row>
    <row r="222" spans="1:6" s="1501" customFormat="1" ht="14.25" customHeight="1" thickBot="1">
      <c r="A222" s="1513" t="s">
        <v>1535</v>
      </c>
      <c r="B222" s="1507" t="s">
        <v>1366</v>
      </c>
      <c r="C222" s="1526"/>
      <c r="D222" s="1526"/>
      <c r="E222" s="1526"/>
      <c r="F222" s="1521">
        <v>870</v>
      </c>
    </row>
    <row r="223" spans="1:6" s="1501" customFormat="1" ht="14.25" customHeight="1" thickBot="1">
      <c r="A223" s="1513" t="s">
        <v>1535</v>
      </c>
      <c r="B223" s="1507" t="s">
        <v>1376</v>
      </c>
      <c r="C223" s="1526"/>
      <c r="D223" s="1526"/>
      <c r="E223" s="1526"/>
      <c r="F223" s="1521">
        <v>940</v>
      </c>
    </row>
    <row r="224" spans="1:6" s="1501" customFormat="1" ht="14.25" customHeight="1" thickBot="1">
      <c r="A224" s="1513" t="s">
        <v>1535</v>
      </c>
      <c r="B224" s="1507" t="s">
        <v>1386</v>
      </c>
      <c r="C224" s="1526"/>
      <c r="D224" s="1526"/>
      <c r="E224" s="1526"/>
      <c r="F224" s="1521">
        <v>990</v>
      </c>
    </row>
    <row r="225" spans="1:6" s="1501" customFormat="1" ht="14.25" customHeight="1" thickBot="1">
      <c r="A225" s="1513" t="s">
        <v>1535</v>
      </c>
      <c r="B225" s="1507" t="s">
        <v>1395</v>
      </c>
      <c r="C225" s="1507">
        <v>5730</v>
      </c>
      <c r="D225" s="1507">
        <v>5680</v>
      </c>
      <c r="E225" s="1507">
        <v>6020</v>
      </c>
      <c r="F225" s="1521">
        <v>1000</v>
      </c>
    </row>
    <row r="226" spans="1:6" s="1501" customFormat="1" ht="14.25" customHeight="1" thickBot="1">
      <c r="A226" s="1513" t="s">
        <v>1535</v>
      </c>
      <c r="B226" s="1507" t="s">
        <v>1404</v>
      </c>
      <c r="C226" s="1507">
        <v>4970</v>
      </c>
      <c r="D226" s="1507">
        <v>4940</v>
      </c>
      <c r="E226" s="1507">
        <v>5180</v>
      </c>
      <c r="F226" s="1521">
        <v>960</v>
      </c>
    </row>
    <row r="227" spans="1:6" s="1501" customFormat="1" ht="14.25" customHeight="1" thickBot="1">
      <c r="A227" s="1513" t="s">
        <v>1535</v>
      </c>
      <c r="B227" s="1507" t="s">
        <v>1412</v>
      </c>
      <c r="C227" s="1507">
        <v>5550</v>
      </c>
      <c r="D227" s="1507">
        <v>5500</v>
      </c>
      <c r="E227" s="1507">
        <v>5780</v>
      </c>
      <c r="F227" s="1521">
        <v>940</v>
      </c>
    </row>
    <row r="228" spans="1:6" s="1501" customFormat="1" ht="14.25" customHeight="1" thickBot="1">
      <c r="A228" s="1513" t="s">
        <v>1535</v>
      </c>
      <c r="B228" s="1507" t="s">
        <v>1419</v>
      </c>
      <c r="C228" s="1507">
        <v>5460</v>
      </c>
      <c r="D228" s="1507">
        <v>5420</v>
      </c>
      <c r="E228" s="1507">
        <v>5690</v>
      </c>
      <c r="F228" s="1521">
        <v>910</v>
      </c>
    </row>
    <row r="229" spans="1:6" s="1501" customFormat="1" ht="14.25" customHeight="1" thickBot="1">
      <c r="A229" s="1513" t="s">
        <v>1535</v>
      </c>
      <c r="B229" s="1507" t="s">
        <v>1426</v>
      </c>
      <c r="C229" s="1507">
        <v>5310</v>
      </c>
      <c r="D229" s="1507">
        <v>5270</v>
      </c>
      <c r="E229" s="1507">
        <v>5510</v>
      </c>
      <c r="F229" s="1525"/>
    </row>
    <row r="230" spans="1:6" s="1501" customFormat="1" ht="14.25" customHeight="1" thickBot="1">
      <c r="A230" s="1513" t="s">
        <v>1535</v>
      </c>
      <c r="B230" s="1507" t="s">
        <v>1433</v>
      </c>
      <c r="C230" s="1507">
        <v>4540</v>
      </c>
      <c r="D230" s="1507">
        <v>4500</v>
      </c>
      <c r="E230" s="1507">
        <v>4730</v>
      </c>
      <c r="F230" s="1525"/>
    </row>
    <row r="231" spans="1:6" s="1501" customFormat="1" ht="14.25" customHeight="1" thickBot="1">
      <c r="A231" s="1513" t="s">
        <v>1535</v>
      </c>
      <c r="B231" s="1507" t="s">
        <v>1440</v>
      </c>
      <c r="C231" s="1507">
        <v>4480</v>
      </c>
      <c r="D231" s="1507">
        <v>4410</v>
      </c>
      <c r="E231" s="1507">
        <v>4640</v>
      </c>
      <c r="F231" s="1525"/>
    </row>
    <row r="232" spans="1:6" s="1501" customFormat="1" ht="14.25" customHeight="1" thickBot="1">
      <c r="A232" s="1513" t="s">
        <v>1535</v>
      </c>
      <c r="B232" s="1507" t="s">
        <v>1447</v>
      </c>
      <c r="C232" s="1507">
        <v>5670</v>
      </c>
      <c r="D232" s="1507">
        <v>5600</v>
      </c>
      <c r="E232" s="1507">
        <v>5890</v>
      </c>
      <c r="F232" s="1521">
        <v>1150</v>
      </c>
    </row>
    <row r="233" spans="1:6" s="1501" customFormat="1" ht="14.25" customHeight="1" thickBot="1">
      <c r="A233" s="1513" t="s">
        <v>1535</v>
      </c>
      <c r="B233" s="1507" t="s">
        <v>1454</v>
      </c>
      <c r="C233" s="1507">
        <v>4590</v>
      </c>
      <c r="D233" s="1507">
        <v>4500</v>
      </c>
      <c r="E233" s="1507">
        <v>4600</v>
      </c>
      <c r="F233" s="1525"/>
    </row>
    <row r="234" spans="1:6" s="1501" customFormat="1" ht="14.25" customHeight="1" thickBot="1">
      <c r="A234" s="1513" t="s">
        <v>1535</v>
      </c>
      <c r="B234" s="1507" t="s">
        <v>2490</v>
      </c>
      <c r="C234" s="1507">
        <v>3990</v>
      </c>
      <c r="D234" s="1507">
        <v>3950</v>
      </c>
      <c r="E234" s="1507">
        <v>4180</v>
      </c>
      <c r="F234" s="1525"/>
    </row>
    <row r="235" spans="1:6" s="1501" customFormat="1" ht="14.25" customHeight="1" thickBot="1">
      <c r="A235" s="1513" t="s">
        <v>1535</v>
      </c>
      <c r="B235" s="1507" t="s">
        <v>1463</v>
      </c>
      <c r="C235" s="1507">
        <v>5590</v>
      </c>
      <c r="D235" s="1507">
        <v>5540</v>
      </c>
      <c r="E235" s="1507">
        <v>5810</v>
      </c>
      <c r="F235" s="1521">
        <v>970</v>
      </c>
    </row>
    <row r="236" spans="1:6" s="1501" customFormat="1" ht="14.25" customHeight="1" thickBot="1">
      <c r="A236" s="1513" t="s">
        <v>1535</v>
      </c>
      <c r="B236" s="1507" t="s">
        <v>1468</v>
      </c>
      <c r="C236" s="1507"/>
      <c r="D236" s="1507"/>
      <c r="E236" s="1507"/>
      <c r="F236" s="1521">
        <v>1020</v>
      </c>
    </row>
    <row r="237" spans="1:6" s="1501" customFormat="1" ht="14.25" customHeight="1" thickBot="1">
      <c r="A237" s="1513" t="s">
        <v>1535</v>
      </c>
      <c r="B237" s="1507" t="s">
        <v>1473</v>
      </c>
      <c r="C237" s="1507"/>
      <c r="D237" s="1507"/>
      <c r="E237" s="1507"/>
      <c r="F237" s="1521">
        <v>960</v>
      </c>
    </row>
    <row r="238" spans="1:6" s="1501" customFormat="1" ht="14.25" customHeight="1" thickBot="1">
      <c r="A238" s="1513" t="s">
        <v>1535</v>
      </c>
      <c r="B238" s="1507" t="s">
        <v>1478</v>
      </c>
      <c r="C238" s="1507"/>
      <c r="D238" s="1507"/>
      <c r="E238" s="1507"/>
      <c r="F238" s="1521">
        <v>960</v>
      </c>
    </row>
    <row r="239" spans="1:6" s="1501" customFormat="1" ht="14.25" customHeight="1" thickBot="1">
      <c r="A239" s="1513" t="s">
        <v>1535</v>
      </c>
      <c r="B239" s="1507" t="s">
        <v>1483</v>
      </c>
      <c r="C239" s="1507"/>
      <c r="D239" s="1507"/>
      <c r="E239" s="1507"/>
      <c r="F239" s="1521">
        <v>960</v>
      </c>
    </row>
    <row r="240" spans="1:6" s="1501" customFormat="1" ht="14.25" customHeight="1" thickBot="1">
      <c r="A240" s="1513" t="s">
        <v>1535</v>
      </c>
      <c r="B240" s="1507" t="s">
        <v>1487</v>
      </c>
      <c r="C240" s="1507"/>
      <c r="D240" s="1507"/>
      <c r="E240" s="1507"/>
      <c r="F240" s="1521">
        <v>990</v>
      </c>
    </row>
    <row r="241" spans="1:6" s="1501" customFormat="1" ht="14.25" customHeight="1" thickBot="1">
      <c r="A241" s="1513" t="s">
        <v>1535</v>
      </c>
      <c r="B241" s="1507" t="s">
        <v>1491</v>
      </c>
      <c r="C241" s="1507"/>
      <c r="D241" s="1507"/>
      <c r="E241" s="1507"/>
      <c r="F241" s="1521">
        <v>1000</v>
      </c>
    </row>
    <row r="242" spans="1:6" s="1501" customFormat="1" ht="14.25" customHeight="1" thickBot="1">
      <c r="A242" s="1513" t="s">
        <v>1535</v>
      </c>
      <c r="B242" s="1507" t="s">
        <v>1495</v>
      </c>
      <c r="C242" s="1507"/>
      <c r="D242" s="1507"/>
      <c r="E242" s="1507"/>
      <c r="F242" s="1521">
        <v>980</v>
      </c>
    </row>
    <row r="243" spans="1:6" s="1501" customFormat="1" ht="14.25" customHeight="1" thickBot="1">
      <c r="A243" s="1513" t="s">
        <v>1535</v>
      </c>
      <c r="B243" s="1507" t="s">
        <v>1499</v>
      </c>
      <c r="C243" s="1507"/>
      <c r="D243" s="1507"/>
      <c r="E243" s="1507"/>
      <c r="F243" s="1521">
        <v>970</v>
      </c>
    </row>
    <row r="244" spans="1:6" s="1501" customFormat="1" ht="14.25" customHeight="1" thickBot="1">
      <c r="A244" s="1513" t="s">
        <v>1535</v>
      </c>
      <c r="B244" s="1519" t="s">
        <v>1503</v>
      </c>
      <c r="C244" s="1519"/>
      <c r="D244" s="1519"/>
      <c r="E244" s="1519"/>
      <c r="F244" s="1524">
        <v>970</v>
      </c>
    </row>
    <row r="245" spans="1:6" s="1501" customFormat="1" ht="14.25" customHeight="1" thickBot="1">
      <c r="A245" s="1513" t="s">
        <v>1537</v>
      </c>
      <c r="B245" s="1514" t="s">
        <v>1538</v>
      </c>
      <c r="C245" s="1514">
        <v>4050</v>
      </c>
      <c r="D245" s="1514">
        <v>4020</v>
      </c>
      <c r="E245" s="1514">
        <v>4160</v>
      </c>
      <c r="F245" s="1515">
        <v>840</v>
      </c>
    </row>
    <row r="246" spans="1:6" s="1501" customFormat="1" ht="14.25" customHeight="1" thickBot="1">
      <c r="A246" s="1513" t="s">
        <v>1537</v>
      </c>
      <c r="B246" s="1507" t="s">
        <v>1202</v>
      </c>
      <c r="C246" s="1507">
        <v>4010</v>
      </c>
      <c r="D246" s="1507">
        <v>3960</v>
      </c>
      <c r="E246" s="1507">
        <v>4130</v>
      </c>
      <c r="F246" s="1521">
        <v>840</v>
      </c>
    </row>
    <row r="247" spans="1:6" s="1501" customFormat="1" ht="14.25" customHeight="1" thickBot="1">
      <c r="A247" s="1513" t="s">
        <v>1537</v>
      </c>
      <c r="B247" s="1507" t="s">
        <v>1539</v>
      </c>
      <c r="C247" s="1507">
        <v>3170</v>
      </c>
      <c r="D247" s="1507">
        <v>3140</v>
      </c>
      <c r="E247" s="1507">
        <v>3270</v>
      </c>
      <c r="F247" s="1521">
        <v>640</v>
      </c>
    </row>
    <row r="248" spans="1:6" s="1501" customFormat="1" ht="14.25" customHeight="1" thickBot="1">
      <c r="A248" s="1513" t="s">
        <v>1537</v>
      </c>
      <c r="B248" s="1507" t="s">
        <v>1540</v>
      </c>
      <c r="C248" s="1507">
        <v>3140</v>
      </c>
      <c r="D248" s="1507">
        <v>3120</v>
      </c>
      <c r="E248" s="1507">
        <v>3240</v>
      </c>
      <c r="F248" s="1521">
        <v>620</v>
      </c>
    </row>
    <row r="249" spans="1:6" s="1501" customFormat="1" ht="14.25" customHeight="1" thickBot="1">
      <c r="A249" s="1513" t="s">
        <v>1537</v>
      </c>
      <c r="B249" s="1507" t="s">
        <v>1240</v>
      </c>
      <c r="C249" s="1507">
        <v>3200</v>
      </c>
      <c r="D249" s="1507">
        <v>3100</v>
      </c>
      <c r="E249" s="1507">
        <v>3230</v>
      </c>
      <c r="F249" s="1521">
        <v>750</v>
      </c>
    </row>
    <row r="250" spans="1:6" s="1501" customFormat="1" ht="14.25" customHeight="1" thickBot="1">
      <c r="A250" s="1513" t="s">
        <v>1537</v>
      </c>
      <c r="B250" s="1507" t="s">
        <v>1251</v>
      </c>
      <c r="C250" s="1507">
        <v>4060</v>
      </c>
      <c r="D250" s="1507">
        <v>4000</v>
      </c>
      <c r="E250" s="1507">
        <v>4140</v>
      </c>
      <c r="F250" s="1521">
        <v>790</v>
      </c>
    </row>
    <row r="251" spans="1:6" s="1501" customFormat="1" ht="14.25" customHeight="1" thickBot="1">
      <c r="A251" s="1513" t="s">
        <v>1537</v>
      </c>
      <c r="B251" s="1507" t="s">
        <v>1262</v>
      </c>
      <c r="C251" s="1507">
        <v>3990</v>
      </c>
      <c r="D251" s="1507">
        <v>3970</v>
      </c>
      <c r="E251" s="1507">
        <v>4110</v>
      </c>
      <c r="F251" s="1521">
        <v>730</v>
      </c>
    </row>
    <row r="252" spans="1:6" s="1501" customFormat="1" ht="14.25" customHeight="1" thickBot="1">
      <c r="A252" s="1513" t="s">
        <v>1537</v>
      </c>
      <c r="B252" s="1507" t="s">
        <v>1273</v>
      </c>
      <c r="C252" s="1507">
        <v>3560</v>
      </c>
      <c r="D252" s="1507">
        <v>3530</v>
      </c>
      <c r="E252" s="1507">
        <v>3650</v>
      </c>
      <c r="F252" s="1521">
        <v>750</v>
      </c>
    </row>
    <row r="253" spans="1:6" s="1501" customFormat="1" ht="14.25" customHeight="1" thickBot="1">
      <c r="A253" s="1513" t="s">
        <v>1537</v>
      </c>
      <c r="B253" s="1507" t="s">
        <v>1285</v>
      </c>
      <c r="C253" s="1507">
        <v>3780</v>
      </c>
      <c r="D253" s="1507">
        <v>3750</v>
      </c>
      <c r="E253" s="1507">
        <v>3870</v>
      </c>
      <c r="F253" s="1521">
        <v>770</v>
      </c>
    </row>
    <row r="254" spans="1:6" s="1501" customFormat="1" ht="14.25" customHeight="1" thickBot="1">
      <c r="A254" s="1513" t="s">
        <v>1537</v>
      </c>
      <c r="B254" s="1507" t="s">
        <v>1295</v>
      </c>
      <c r="C254" s="1526"/>
      <c r="D254" s="1526"/>
      <c r="E254" s="1526"/>
      <c r="F254" s="1521">
        <v>740</v>
      </c>
    </row>
    <row r="255" spans="1:6" s="1501" customFormat="1" ht="14.25" customHeight="1" thickBot="1">
      <c r="A255" s="1513" t="s">
        <v>1537</v>
      </c>
      <c r="B255" s="1507" t="s">
        <v>1305</v>
      </c>
      <c r="C255" s="1526"/>
      <c r="D255" s="1526"/>
      <c r="E255" s="1526"/>
      <c r="F255" s="1521">
        <v>760</v>
      </c>
    </row>
    <row r="256" spans="1:6" s="1501" customFormat="1" ht="14.25" customHeight="1" thickBot="1">
      <c r="A256" s="1513" t="s">
        <v>1537</v>
      </c>
      <c r="B256" s="1507" t="s">
        <v>1315</v>
      </c>
      <c r="C256" s="1507">
        <v>3760</v>
      </c>
      <c r="D256" s="1507">
        <v>3730</v>
      </c>
      <c r="E256" s="1507">
        <v>3870</v>
      </c>
      <c r="F256" s="1521">
        <v>830</v>
      </c>
    </row>
    <row r="257" spans="1:6" s="1501" customFormat="1" ht="14.25" customHeight="1" thickBot="1">
      <c r="A257" s="1513" t="s">
        <v>1537</v>
      </c>
      <c r="B257" s="1507" t="s">
        <v>1325</v>
      </c>
      <c r="C257" s="1507">
        <v>3570</v>
      </c>
      <c r="D257" s="1507">
        <v>3540</v>
      </c>
      <c r="E257" s="1507">
        <v>3650</v>
      </c>
      <c r="F257" s="1521">
        <v>790</v>
      </c>
    </row>
    <row r="258" spans="1:6" s="1501" customFormat="1" ht="14.25" customHeight="1" thickBot="1">
      <c r="A258" s="1513" t="s">
        <v>1537</v>
      </c>
      <c r="B258" s="1507" t="s">
        <v>1336</v>
      </c>
      <c r="C258" s="1507">
        <v>3410</v>
      </c>
      <c r="D258" s="1507">
        <v>3380</v>
      </c>
      <c r="E258" s="1507">
        <v>3500</v>
      </c>
      <c r="F258" s="1521">
        <v>830</v>
      </c>
    </row>
    <row r="259" spans="1:6" s="1501" customFormat="1" ht="14.25" customHeight="1" thickBot="1">
      <c r="A259" s="1513" t="s">
        <v>1537</v>
      </c>
      <c r="B259" s="1507" t="s">
        <v>1347</v>
      </c>
      <c r="C259" s="1507">
        <v>3870</v>
      </c>
      <c r="D259" s="1507">
        <v>3840</v>
      </c>
      <c r="E259" s="1507">
        <v>3970</v>
      </c>
      <c r="F259" s="1521">
        <v>830</v>
      </c>
    </row>
    <row r="260" spans="1:6" s="1501" customFormat="1" ht="14.25" customHeight="1" thickBot="1">
      <c r="A260" s="1513" t="s">
        <v>1537</v>
      </c>
      <c r="B260" s="1507" t="s">
        <v>1357</v>
      </c>
      <c r="C260" s="1507">
        <v>3700</v>
      </c>
      <c r="D260" s="1507">
        <v>3660</v>
      </c>
      <c r="E260" s="1507">
        <v>3810</v>
      </c>
      <c r="F260" s="1521">
        <v>790</v>
      </c>
    </row>
    <row r="261" spans="1:6" s="1501" customFormat="1" ht="14.25" customHeight="1" thickBot="1">
      <c r="A261" s="1513" t="s">
        <v>1537</v>
      </c>
      <c r="B261" s="1507" t="s">
        <v>1367</v>
      </c>
      <c r="C261" s="1507">
        <v>3470</v>
      </c>
      <c r="D261" s="1507">
        <v>3430</v>
      </c>
      <c r="E261" s="1507">
        <v>3640</v>
      </c>
      <c r="F261" s="1521">
        <v>760</v>
      </c>
    </row>
    <row r="262" spans="1:6" s="1501" customFormat="1" ht="14.25" customHeight="1" thickBot="1">
      <c r="A262" s="1513" t="s">
        <v>1537</v>
      </c>
      <c r="B262" s="1507" t="s">
        <v>1377</v>
      </c>
      <c r="C262" s="1507">
        <v>3510</v>
      </c>
      <c r="D262" s="1507">
        <v>3470</v>
      </c>
      <c r="E262" s="1507">
        <v>3680</v>
      </c>
      <c r="F262" s="1525"/>
    </row>
    <row r="263" spans="1:6" s="1501" customFormat="1" ht="14.25" customHeight="1" thickBot="1">
      <c r="A263" s="1513" t="s">
        <v>1537</v>
      </c>
      <c r="B263" s="1507" t="s">
        <v>1387</v>
      </c>
      <c r="C263" s="1507">
        <v>3960</v>
      </c>
      <c r="D263" s="1507">
        <v>3930</v>
      </c>
      <c r="E263" s="1507">
        <v>4070</v>
      </c>
      <c r="F263" s="1521">
        <v>830</v>
      </c>
    </row>
    <row r="264" spans="1:6" s="1501" customFormat="1" ht="14.25" customHeight="1" thickBot="1">
      <c r="A264" s="1513" t="s">
        <v>1537</v>
      </c>
      <c r="B264" s="1507" t="s">
        <v>1396</v>
      </c>
      <c r="C264" s="1507">
        <v>4010</v>
      </c>
      <c r="D264" s="1507">
        <v>3980</v>
      </c>
      <c r="E264" s="1507">
        <v>4150</v>
      </c>
      <c r="F264" s="1521">
        <v>760</v>
      </c>
    </row>
    <row r="265" spans="1:6" s="1501" customFormat="1" ht="14.25" customHeight="1" thickBot="1">
      <c r="A265" s="1513" t="s">
        <v>1537</v>
      </c>
      <c r="B265" s="1507" t="s">
        <v>1405</v>
      </c>
      <c r="C265" s="1507">
        <v>3910</v>
      </c>
      <c r="D265" s="1507">
        <v>3890</v>
      </c>
      <c r="E265" s="1507">
        <v>4040</v>
      </c>
      <c r="F265" s="1521">
        <v>780</v>
      </c>
    </row>
    <row r="266" spans="1:6" s="1501" customFormat="1" ht="14.25" customHeight="1" thickBot="1">
      <c r="A266" s="1513" t="s">
        <v>1537</v>
      </c>
      <c r="B266" s="1507" t="s">
        <v>1413</v>
      </c>
      <c r="C266" s="1507">
        <v>3930</v>
      </c>
      <c r="D266" s="1507">
        <v>3900</v>
      </c>
      <c r="E266" s="1507">
        <v>4080</v>
      </c>
      <c r="F266" s="1521">
        <v>770</v>
      </c>
    </row>
    <row r="267" spans="1:6" s="1501" customFormat="1" ht="14.25" customHeight="1" thickBot="1">
      <c r="A267" s="1513" t="s">
        <v>1537</v>
      </c>
      <c r="B267" s="1507" t="s">
        <v>1420</v>
      </c>
      <c r="C267" s="1507">
        <v>3800</v>
      </c>
      <c r="D267" s="1507">
        <v>3780</v>
      </c>
      <c r="E267" s="1507">
        <v>3930</v>
      </c>
      <c r="F267" s="1525"/>
    </row>
    <row r="268" spans="1:6" s="1501" customFormat="1" ht="14.25" customHeight="1" thickBot="1">
      <c r="A268" s="1513" t="s">
        <v>1537</v>
      </c>
      <c r="B268" s="1507" t="s">
        <v>1427</v>
      </c>
      <c r="C268" s="1507">
        <v>3460</v>
      </c>
      <c r="D268" s="1507">
        <v>3430</v>
      </c>
      <c r="E268" s="1507">
        <v>3560</v>
      </c>
      <c r="F268" s="1521">
        <v>840</v>
      </c>
    </row>
    <row r="269" spans="1:6" s="1501" customFormat="1" ht="14.25" customHeight="1" thickBot="1">
      <c r="A269" s="1513" t="s">
        <v>1537</v>
      </c>
      <c r="B269" s="1507" t="s">
        <v>1434</v>
      </c>
      <c r="C269" s="1507">
        <v>3210</v>
      </c>
      <c r="D269" s="1507">
        <v>3190</v>
      </c>
      <c r="E269" s="1507">
        <v>3310</v>
      </c>
      <c r="F269" s="1521">
        <v>730</v>
      </c>
    </row>
    <row r="270" spans="1:6" s="1501" customFormat="1" ht="14.25" customHeight="1" thickBot="1">
      <c r="A270" s="1513" t="s">
        <v>1537</v>
      </c>
      <c r="B270" s="1507" t="s">
        <v>1441</v>
      </c>
      <c r="C270" s="1507">
        <v>3240</v>
      </c>
      <c r="D270" s="1507">
        <v>3210</v>
      </c>
      <c r="E270" s="1507">
        <v>3390</v>
      </c>
      <c r="F270" s="1521">
        <v>820</v>
      </c>
    </row>
    <row r="271" spans="1:6" s="1501" customFormat="1" ht="14.25" customHeight="1" thickBot="1">
      <c r="A271" s="1513" t="s">
        <v>1537</v>
      </c>
      <c r="B271" s="1507" t="s">
        <v>1448</v>
      </c>
      <c r="C271" s="1507">
        <v>3300</v>
      </c>
      <c r="D271" s="1507">
        <v>3270</v>
      </c>
      <c r="E271" s="1507">
        <v>3380</v>
      </c>
      <c r="F271" s="1521">
        <v>750</v>
      </c>
    </row>
    <row r="272" spans="1:6" s="1501" customFormat="1" ht="14.25" customHeight="1" thickBot="1">
      <c r="A272" s="1513" t="s">
        <v>1537</v>
      </c>
      <c r="B272" s="1507" t="s">
        <v>1455</v>
      </c>
      <c r="C272" s="1526"/>
      <c r="D272" s="1526"/>
      <c r="E272" s="1526"/>
      <c r="F272" s="1521">
        <v>740</v>
      </c>
    </row>
    <row r="273" spans="1:6" s="1501" customFormat="1" ht="14.25" customHeight="1" thickBot="1">
      <c r="A273" s="1513" t="s">
        <v>1537</v>
      </c>
      <c r="B273" s="1507" t="s">
        <v>1459</v>
      </c>
      <c r="C273" s="1507">
        <v>3130</v>
      </c>
      <c r="D273" s="1507">
        <v>3100</v>
      </c>
      <c r="E273" s="1507">
        <v>3230</v>
      </c>
      <c r="F273" s="1521">
        <v>700</v>
      </c>
    </row>
    <row r="274" spans="1:6" s="1501" customFormat="1" ht="14.25" customHeight="1" thickBot="1">
      <c r="A274" s="1513" t="s">
        <v>1537</v>
      </c>
      <c r="B274" s="1507" t="s">
        <v>1464</v>
      </c>
      <c r="C274" s="1507">
        <v>3460</v>
      </c>
      <c r="D274" s="1507">
        <v>3430</v>
      </c>
      <c r="E274" s="1507">
        <v>3560</v>
      </c>
      <c r="F274" s="1521">
        <v>690</v>
      </c>
    </row>
    <row r="275" spans="1:6" s="1501" customFormat="1" ht="14.25" customHeight="1" thickBot="1">
      <c r="A275" s="1513" t="s">
        <v>1537</v>
      </c>
      <c r="B275" s="1507" t="s">
        <v>1469</v>
      </c>
      <c r="C275" s="1507">
        <v>4040</v>
      </c>
      <c r="D275" s="1507">
        <v>4020</v>
      </c>
      <c r="E275" s="1507">
        <v>4160</v>
      </c>
      <c r="F275" s="1521">
        <v>820</v>
      </c>
    </row>
    <row r="276" spans="1:6" s="1501" customFormat="1" ht="14.25" customHeight="1" thickBot="1">
      <c r="A276" s="1513" t="s">
        <v>1537</v>
      </c>
      <c r="B276" s="1507" t="s">
        <v>1474</v>
      </c>
      <c r="C276" s="1507">
        <v>3270</v>
      </c>
      <c r="D276" s="1507">
        <v>3240</v>
      </c>
      <c r="E276" s="1507">
        <v>3350</v>
      </c>
      <c r="F276" s="1521">
        <v>680</v>
      </c>
    </row>
    <row r="277" spans="1:6" s="1501" customFormat="1" ht="14.25" customHeight="1" thickBot="1">
      <c r="A277" s="1513" t="s">
        <v>1537</v>
      </c>
      <c r="B277" s="1507" t="s">
        <v>1479</v>
      </c>
      <c r="C277" s="1507">
        <v>2930</v>
      </c>
      <c r="D277" s="1507">
        <v>2900</v>
      </c>
      <c r="E277" s="1507">
        <v>3000</v>
      </c>
      <c r="F277" s="1521">
        <v>640</v>
      </c>
    </row>
    <row r="278" spans="1:6" s="1501" customFormat="1" ht="14.25" customHeight="1" thickBot="1">
      <c r="A278" s="1513" t="s">
        <v>1537</v>
      </c>
      <c r="B278" s="1507" t="s">
        <v>1484</v>
      </c>
      <c r="C278" s="1507">
        <v>4080</v>
      </c>
      <c r="D278" s="1507">
        <v>4030</v>
      </c>
      <c r="E278" s="1507">
        <v>4140</v>
      </c>
      <c r="F278" s="1521">
        <v>850</v>
      </c>
    </row>
    <row r="279" spans="1:6" s="1501" customFormat="1" ht="14.25" customHeight="1" thickBot="1">
      <c r="A279" s="1513" t="s">
        <v>1537</v>
      </c>
      <c r="B279" s="1507" t="s">
        <v>1488</v>
      </c>
      <c r="C279" s="1507"/>
      <c r="D279" s="1507"/>
      <c r="E279" s="1507"/>
      <c r="F279" s="1521">
        <v>760</v>
      </c>
    </row>
    <row r="280" spans="1:6" s="1501" customFormat="1" ht="14.25" customHeight="1" thickBot="1">
      <c r="A280" s="1513" t="s">
        <v>1537</v>
      </c>
      <c r="B280" s="1507" t="s">
        <v>1492</v>
      </c>
      <c r="C280" s="1507"/>
      <c r="D280" s="1507"/>
      <c r="E280" s="1507"/>
      <c r="F280" s="1521">
        <v>760</v>
      </c>
    </row>
    <row r="281" spans="1:6" s="1501" customFormat="1" ht="14.25" customHeight="1" thickBot="1">
      <c r="A281" s="1513" t="s">
        <v>1537</v>
      </c>
      <c r="B281" s="1507" t="s">
        <v>1496</v>
      </c>
      <c r="C281" s="1507"/>
      <c r="D281" s="1507"/>
      <c r="E281" s="1507"/>
      <c r="F281" s="1521">
        <v>780</v>
      </c>
    </row>
    <row r="282" spans="1:6" s="1501" customFormat="1" ht="14.25" customHeight="1" thickBot="1">
      <c r="A282" s="1513" t="s">
        <v>1537</v>
      </c>
      <c r="B282" s="1507" t="s">
        <v>1500</v>
      </c>
      <c r="C282" s="1507"/>
      <c r="D282" s="1507"/>
      <c r="E282" s="1507"/>
      <c r="F282" s="1521">
        <v>730</v>
      </c>
    </row>
    <row r="283" spans="1:6" s="1501" customFormat="1" ht="14.25" customHeight="1" thickBot="1">
      <c r="A283" s="1513" t="s">
        <v>1537</v>
      </c>
      <c r="B283" s="1507" t="s">
        <v>1504</v>
      </c>
      <c r="C283" s="1507"/>
      <c r="D283" s="1507"/>
      <c r="E283" s="1507"/>
      <c r="F283" s="1521">
        <v>770</v>
      </c>
    </row>
    <row r="284" spans="1:6" s="1501" customFormat="1" ht="14.25" customHeight="1" thickBot="1">
      <c r="A284" s="1513" t="s">
        <v>1537</v>
      </c>
      <c r="B284" s="1507" t="s">
        <v>1507</v>
      </c>
      <c r="C284" s="1507"/>
      <c r="D284" s="1507"/>
      <c r="E284" s="1507"/>
      <c r="F284" s="1521">
        <v>640</v>
      </c>
    </row>
    <row r="285" spans="1:6" s="1501" customFormat="1" ht="14.25" customHeight="1" thickBot="1">
      <c r="A285" s="1513" t="s">
        <v>1537</v>
      </c>
      <c r="B285" s="1507" t="s">
        <v>1510</v>
      </c>
      <c r="C285" s="1507"/>
      <c r="D285" s="1507"/>
      <c r="E285" s="1507"/>
      <c r="F285" s="1521">
        <v>640</v>
      </c>
    </row>
    <row r="286" spans="1:6" s="1501" customFormat="1" ht="14.25" customHeight="1" thickBot="1">
      <c r="A286" s="1513" t="s">
        <v>1537</v>
      </c>
      <c r="B286" s="1507" t="s">
        <v>1513</v>
      </c>
      <c r="C286" s="1507"/>
      <c r="D286" s="1507"/>
      <c r="E286" s="1507"/>
      <c r="F286" s="1521">
        <v>850</v>
      </c>
    </row>
    <row r="287" spans="1:6" s="1501" customFormat="1" ht="14.25" customHeight="1" thickBot="1">
      <c r="A287" s="1513" t="s">
        <v>1537</v>
      </c>
      <c r="B287" s="1507" t="s">
        <v>1516</v>
      </c>
      <c r="C287" s="1507"/>
      <c r="D287" s="1507"/>
      <c r="E287" s="1507"/>
      <c r="F287" s="1521">
        <v>760</v>
      </c>
    </row>
    <row r="288" spans="1:6" s="1501" customFormat="1" ht="14.25" customHeight="1" thickBot="1">
      <c r="A288" s="1513" t="s">
        <v>1537</v>
      </c>
      <c r="B288" s="1507" t="s">
        <v>1519</v>
      </c>
      <c r="C288" s="1507"/>
      <c r="D288" s="1507"/>
      <c r="E288" s="1507"/>
      <c r="F288" s="1521">
        <v>830</v>
      </c>
    </row>
    <row r="289" spans="1:6" s="1501" customFormat="1" ht="14.25" customHeight="1" thickBot="1">
      <c r="A289" s="1513" t="s">
        <v>1537</v>
      </c>
      <c r="B289" s="1519" t="s">
        <v>1522</v>
      </c>
      <c r="C289" s="1519"/>
      <c r="D289" s="1519"/>
      <c r="E289" s="1519"/>
      <c r="F289" s="1524">
        <v>680</v>
      </c>
    </row>
    <row r="290" spans="1:6" s="1501" customFormat="1" ht="14.25" customHeight="1" thickBot="1">
      <c r="A290" s="1513" t="s">
        <v>1541</v>
      </c>
      <c r="B290" s="1514" t="s">
        <v>1542</v>
      </c>
      <c r="C290" s="1514">
        <v>2770</v>
      </c>
      <c r="D290" s="1514">
        <v>2740</v>
      </c>
      <c r="E290" s="1514">
        <v>2720</v>
      </c>
      <c r="F290" s="1527"/>
    </row>
    <row r="291" spans="1:6" s="1501" customFormat="1" ht="14.25" customHeight="1" thickBot="1">
      <c r="A291" s="1513" t="s">
        <v>1541</v>
      </c>
      <c r="B291" s="1507" t="s">
        <v>1203</v>
      </c>
      <c r="C291" s="1507">
        <v>2670</v>
      </c>
      <c r="D291" s="1507">
        <v>2640</v>
      </c>
      <c r="E291" s="1507">
        <v>2620</v>
      </c>
      <c r="F291" s="1525"/>
    </row>
    <row r="292" spans="1:6" s="1501" customFormat="1" ht="14.25" customHeight="1" thickBot="1">
      <c r="A292" s="1513" t="s">
        <v>1541</v>
      </c>
      <c r="B292" s="1507" t="s">
        <v>1543</v>
      </c>
      <c r="C292" s="1507">
        <v>2180</v>
      </c>
      <c r="D292" s="1507">
        <v>2140</v>
      </c>
      <c r="E292" s="1507">
        <v>2120</v>
      </c>
      <c r="F292" s="1521">
        <v>490</v>
      </c>
    </row>
    <row r="293" spans="1:6" s="1501" customFormat="1" ht="14.25" customHeight="1" thickBot="1">
      <c r="A293" s="1513" t="s">
        <v>1541</v>
      </c>
      <c r="B293" s="1507" t="s">
        <v>1544</v>
      </c>
      <c r="C293" s="1507"/>
      <c r="D293" s="1507"/>
      <c r="E293" s="1507"/>
      <c r="F293" s="1521">
        <v>470</v>
      </c>
    </row>
    <row r="294" spans="1:6" s="1501" customFormat="1" ht="14.25" customHeight="1" thickBot="1">
      <c r="A294" s="1513" t="s">
        <v>1541</v>
      </c>
      <c r="B294" s="1507" t="s">
        <v>1545</v>
      </c>
      <c r="C294" s="1507">
        <v>2730</v>
      </c>
      <c r="D294" s="1507">
        <v>2700</v>
      </c>
      <c r="E294" s="1507">
        <v>2680</v>
      </c>
      <c r="F294" s="1521">
        <v>490</v>
      </c>
    </row>
    <row r="295" spans="1:6" s="1501" customFormat="1" ht="14.25" customHeight="1" thickBot="1">
      <c r="A295" s="1513" t="s">
        <v>1541</v>
      </c>
      <c r="B295" s="1507" t="s">
        <v>1241</v>
      </c>
      <c r="C295" s="1507">
        <v>2380</v>
      </c>
      <c r="D295" s="1507">
        <v>2350</v>
      </c>
      <c r="E295" s="1507">
        <v>2330</v>
      </c>
      <c r="F295" s="1521">
        <v>530</v>
      </c>
    </row>
    <row r="296" spans="1:6" s="1501" customFormat="1" ht="14.25" customHeight="1" thickBot="1">
      <c r="A296" s="1513" t="s">
        <v>1541</v>
      </c>
      <c r="B296" s="1507" t="s">
        <v>1252</v>
      </c>
      <c r="C296" s="1507">
        <v>2650</v>
      </c>
      <c r="D296" s="1507">
        <v>2620</v>
      </c>
      <c r="E296" s="1507">
        <v>2590</v>
      </c>
      <c r="F296" s="1521">
        <v>590</v>
      </c>
    </row>
    <row r="297" spans="1:6" s="1501" customFormat="1" ht="14.25" customHeight="1" thickBot="1">
      <c r="A297" s="1513" t="s">
        <v>1541</v>
      </c>
      <c r="B297" s="1507" t="s">
        <v>1263</v>
      </c>
      <c r="C297" s="1507">
        <v>2700</v>
      </c>
      <c r="D297" s="1507">
        <v>2670</v>
      </c>
      <c r="E297" s="1507">
        <v>2650</v>
      </c>
      <c r="F297" s="1521">
        <v>630</v>
      </c>
    </row>
    <row r="298" spans="1:6" s="1501" customFormat="1" ht="14.25" customHeight="1" thickBot="1">
      <c r="A298" s="1513" t="s">
        <v>1541</v>
      </c>
      <c r="B298" s="1507" t="s">
        <v>1274</v>
      </c>
      <c r="C298" s="1507">
        <v>2650</v>
      </c>
      <c r="D298" s="1507">
        <v>2620</v>
      </c>
      <c r="E298" s="1507">
        <v>2590</v>
      </c>
      <c r="F298" s="1521">
        <v>640</v>
      </c>
    </row>
    <row r="299" spans="1:6" s="1501" customFormat="1" ht="14.25" customHeight="1" thickBot="1">
      <c r="A299" s="1513" t="s">
        <v>1541</v>
      </c>
      <c r="B299" s="1507" t="s">
        <v>1286</v>
      </c>
      <c r="C299" s="1507">
        <v>2500</v>
      </c>
      <c r="D299" s="1507">
        <v>2480</v>
      </c>
      <c r="E299" s="1507">
        <v>2460</v>
      </c>
      <c r="F299" s="1525"/>
    </row>
    <row r="300" spans="1:6" s="1501" customFormat="1" ht="14.25" customHeight="1" thickBot="1">
      <c r="A300" s="1513" t="s">
        <v>1541</v>
      </c>
      <c r="B300" s="1507" t="s">
        <v>1296</v>
      </c>
      <c r="C300" s="1507">
        <v>2760</v>
      </c>
      <c r="D300" s="1507">
        <v>2730</v>
      </c>
      <c r="E300" s="1507">
        <v>2700</v>
      </c>
      <c r="F300" s="1521">
        <v>630</v>
      </c>
    </row>
    <row r="301" spans="1:6" s="1501" customFormat="1" ht="14.25" customHeight="1" thickBot="1">
      <c r="A301" s="1513" t="s">
        <v>1541</v>
      </c>
      <c r="B301" s="1507" t="s">
        <v>1306</v>
      </c>
      <c r="C301" s="1507">
        <v>2510</v>
      </c>
      <c r="D301" s="1507">
        <v>2480</v>
      </c>
      <c r="E301" s="1507">
        <v>2460</v>
      </c>
      <c r="F301" s="1525"/>
    </row>
    <row r="302" spans="1:6" s="1501" customFormat="1" ht="14.25" customHeight="1" thickBot="1">
      <c r="A302" s="1513" t="s">
        <v>1541</v>
      </c>
      <c r="B302" s="1507" t="s">
        <v>1316</v>
      </c>
      <c r="C302" s="1507">
        <v>2480</v>
      </c>
      <c r="D302" s="1507">
        <v>2450</v>
      </c>
      <c r="E302" s="1507">
        <v>2420</v>
      </c>
      <c r="F302" s="1521">
        <v>600</v>
      </c>
    </row>
    <row r="303" spans="1:6" s="1501" customFormat="1" ht="14.25" customHeight="1" thickBot="1">
      <c r="A303" s="1513" t="s">
        <v>1541</v>
      </c>
      <c r="B303" s="1507" t="s">
        <v>1326</v>
      </c>
      <c r="C303" s="1507">
        <v>2270</v>
      </c>
      <c r="D303" s="1507">
        <v>2240</v>
      </c>
      <c r="E303" s="1507">
        <v>2210</v>
      </c>
      <c r="F303" s="1521">
        <v>540</v>
      </c>
    </row>
    <row r="304" spans="1:6" s="1501" customFormat="1" ht="14.25" customHeight="1" thickBot="1">
      <c r="A304" s="1513" t="s">
        <v>1541</v>
      </c>
      <c r="B304" s="1507" t="s">
        <v>1337</v>
      </c>
      <c r="C304" s="1507">
        <v>2310</v>
      </c>
      <c r="D304" s="1507">
        <v>2290</v>
      </c>
      <c r="E304" s="1507">
        <v>2270</v>
      </c>
      <c r="F304" s="1525"/>
    </row>
    <row r="305" spans="1:6" s="1501" customFormat="1" ht="14.25" customHeight="1" thickBot="1">
      <c r="A305" s="1513" t="s">
        <v>1541</v>
      </c>
      <c r="B305" s="1507" t="s">
        <v>1348</v>
      </c>
      <c r="C305" s="1507">
        <v>2490</v>
      </c>
      <c r="D305" s="1507">
        <v>2470</v>
      </c>
      <c r="E305" s="1507">
        <v>2440</v>
      </c>
      <c r="F305" s="1521">
        <v>560</v>
      </c>
    </row>
    <row r="306" spans="1:6" s="1501" customFormat="1" ht="14.25" customHeight="1" thickBot="1">
      <c r="A306" s="1513" t="s">
        <v>1541</v>
      </c>
      <c r="B306" s="1507" t="s">
        <v>1358</v>
      </c>
      <c r="C306" s="1507">
        <v>2420</v>
      </c>
      <c r="D306" s="1507">
        <v>2400</v>
      </c>
      <c r="E306" s="1507">
        <v>2380</v>
      </c>
      <c r="F306" s="1525"/>
    </row>
    <row r="307" spans="1:6" s="1501" customFormat="1" ht="14.25" customHeight="1" thickBot="1">
      <c r="A307" s="1513" t="s">
        <v>1541</v>
      </c>
      <c r="B307" s="1507" t="s">
        <v>1368</v>
      </c>
      <c r="C307" s="1507">
        <v>2770</v>
      </c>
      <c r="D307" s="1507">
        <v>2740</v>
      </c>
      <c r="E307" s="1507">
        <v>2710</v>
      </c>
      <c r="F307" s="1521">
        <v>650</v>
      </c>
    </row>
    <row r="308" spans="1:6" s="1501" customFormat="1" ht="14.25" customHeight="1" thickBot="1">
      <c r="A308" s="1513" t="s">
        <v>1541</v>
      </c>
      <c r="B308" s="1507" t="s">
        <v>1378</v>
      </c>
      <c r="C308" s="1507">
        <v>2610</v>
      </c>
      <c r="D308" s="1507">
        <v>2580</v>
      </c>
      <c r="E308" s="1507">
        <v>2550</v>
      </c>
      <c r="F308" s="1521">
        <v>580</v>
      </c>
    </row>
    <row r="309" spans="1:6" s="1501" customFormat="1" ht="14.25" customHeight="1" thickBot="1">
      <c r="A309" s="1513" t="s">
        <v>1541</v>
      </c>
      <c r="B309" s="1507" t="s">
        <v>1388</v>
      </c>
      <c r="C309" s="1507">
        <v>2690</v>
      </c>
      <c r="D309" s="1507">
        <v>2670</v>
      </c>
      <c r="E309" s="1507">
        <v>2650</v>
      </c>
      <c r="F309" s="1525"/>
    </row>
    <row r="310" spans="1:6" s="1501" customFormat="1" ht="14.25" customHeight="1" thickBot="1">
      <c r="A310" s="1513" t="s">
        <v>1541</v>
      </c>
      <c r="B310" s="1507" t="s">
        <v>1397</v>
      </c>
      <c r="C310" s="1507">
        <v>2360</v>
      </c>
      <c r="D310" s="1507">
        <v>2330</v>
      </c>
      <c r="E310" s="1507">
        <v>2310</v>
      </c>
      <c r="F310" s="1521">
        <v>560</v>
      </c>
    </row>
    <row r="311" spans="1:6" s="1501" customFormat="1" ht="14.25" customHeight="1" thickBot="1">
      <c r="A311" s="1513" t="s">
        <v>1541</v>
      </c>
      <c r="B311" s="1507" t="s">
        <v>1406</v>
      </c>
      <c r="C311" s="1507">
        <v>1970</v>
      </c>
      <c r="D311" s="1507">
        <v>1950</v>
      </c>
      <c r="E311" s="1507">
        <v>1920</v>
      </c>
      <c r="F311" s="1521">
        <v>470</v>
      </c>
    </row>
    <row r="312" spans="1:6" s="1501" customFormat="1" ht="14.25" customHeight="1" thickBot="1">
      <c r="A312" s="1513" t="s">
        <v>1541</v>
      </c>
      <c r="B312" s="1507" t="s">
        <v>1414</v>
      </c>
      <c r="C312" s="1507">
        <v>2230</v>
      </c>
      <c r="D312" s="1507">
        <v>2200</v>
      </c>
      <c r="E312" s="1507">
        <v>2170</v>
      </c>
      <c r="F312" s="1521">
        <v>460</v>
      </c>
    </row>
    <row r="313" spans="1:6" s="1501" customFormat="1" ht="14.25" customHeight="1" thickBot="1">
      <c r="A313" s="1513" t="s">
        <v>1541</v>
      </c>
      <c r="B313" s="1507" t="s">
        <v>1421</v>
      </c>
      <c r="C313" s="1507">
        <v>2770</v>
      </c>
      <c r="D313" s="1507">
        <v>2740</v>
      </c>
      <c r="E313" s="1507">
        <v>2710</v>
      </c>
      <c r="F313" s="1521">
        <v>610</v>
      </c>
    </row>
    <row r="314" spans="1:6" s="1501" customFormat="1" ht="14.25" customHeight="1" thickBot="1">
      <c r="A314" s="1513" t="s">
        <v>1541</v>
      </c>
      <c r="B314" s="1507" t="s">
        <v>1428</v>
      </c>
      <c r="C314" s="1507"/>
      <c r="D314" s="1507"/>
      <c r="E314" s="1507"/>
      <c r="F314" s="1521">
        <v>490</v>
      </c>
    </row>
    <row r="315" spans="1:6" s="1501" customFormat="1" ht="14.25" customHeight="1" thickBot="1">
      <c r="A315" s="1513" t="s">
        <v>1541</v>
      </c>
      <c r="B315" s="1507" t="s">
        <v>1435</v>
      </c>
      <c r="C315" s="1507"/>
      <c r="D315" s="1507"/>
      <c r="E315" s="1507"/>
      <c r="F315" s="1521">
        <v>520</v>
      </c>
    </row>
    <row r="316" spans="1:6" s="1501" customFormat="1" ht="14.25" customHeight="1" thickBot="1">
      <c r="A316" s="1513" t="s">
        <v>1541</v>
      </c>
      <c r="B316" s="1519" t="s">
        <v>1442</v>
      </c>
      <c r="C316" s="1519"/>
      <c r="D316" s="1519"/>
      <c r="E316" s="1519"/>
      <c r="F316" s="1524">
        <v>460</v>
      </c>
    </row>
    <row r="317" spans="1:6" s="1501" customFormat="1" ht="14.25" customHeight="1" thickBot="1">
      <c r="A317" s="1513" t="s">
        <v>1328</v>
      </c>
      <c r="B317" s="1514" t="s">
        <v>1546</v>
      </c>
      <c r="C317" s="1514">
        <v>1200</v>
      </c>
      <c r="D317" s="1514">
        <v>1180</v>
      </c>
      <c r="E317" s="1514">
        <v>1160</v>
      </c>
      <c r="F317" s="1515">
        <v>370</v>
      </c>
    </row>
    <row r="318" spans="1:6" s="1501" customFormat="1" ht="14.25" customHeight="1" thickBot="1">
      <c r="A318" s="1513" t="s">
        <v>1328</v>
      </c>
      <c r="B318" s="1507" t="s">
        <v>1547</v>
      </c>
      <c r="C318" s="1507">
        <v>1090</v>
      </c>
      <c r="D318" s="1507">
        <v>1060</v>
      </c>
      <c r="E318" s="1507">
        <v>1040</v>
      </c>
      <c r="F318" s="1525"/>
    </row>
    <row r="319" spans="1:6" s="1501" customFormat="1" ht="14.25" customHeight="1" thickBot="1">
      <c r="A319" s="1513" t="s">
        <v>1328</v>
      </c>
      <c r="B319" s="1507" t="s">
        <v>1548</v>
      </c>
      <c r="C319" s="1507">
        <v>1520</v>
      </c>
      <c r="D319" s="1507">
        <v>1470</v>
      </c>
      <c r="E319" s="1507">
        <v>1440</v>
      </c>
      <c r="F319" s="1521">
        <v>370</v>
      </c>
    </row>
    <row r="320" spans="1:6" s="1501" customFormat="1" ht="14.25" customHeight="1" thickBot="1">
      <c r="A320" s="1513" t="s">
        <v>1328</v>
      </c>
      <c r="B320" s="1507" t="s">
        <v>1230</v>
      </c>
      <c r="C320" s="1507">
        <v>1360</v>
      </c>
      <c r="D320" s="1507">
        <v>1300</v>
      </c>
      <c r="E320" s="1507">
        <v>1270</v>
      </c>
      <c r="F320" s="1525"/>
    </row>
    <row r="321" spans="1:6" s="1501" customFormat="1" ht="14.25" customHeight="1" thickBot="1">
      <c r="A321" s="1513" t="s">
        <v>1328</v>
      </c>
      <c r="B321" s="1507" t="s">
        <v>1242</v>
      </c>
      <c r="C321" s="1507">
        <v>1750</v>
      </c>
      <c r="D321" s="1507">
        <v>1690</v>
      </c>
      <c r="E321" s="1507">
        <v>1660</v>
      </c>
      <c r="F321" s="1525"/>
    </row>
    <row r="322" spans="1:6" s="1501" customFormat="1" ht="14.25" customHeight="1" thickBot="1">
      <c r="A322" s="1513" t="s">
        <v>1328</v>
      </c>
      <c r="B322" s="1507" t="s">
        <v>1253</v>
      </c>
      <c r="C322" s="1507">
        <v>1650</v>
      </c>
      <c r="D322" s="1507">
        <v>1610</v>
      </c>
      <c r="E322" s="1507">
        <v>1580</v>
      </c>
      <c r="F322" s="1521">
        <v>500</v>
      </c>
    </row>
    <row r="323" spans="1:6" s="1501" customFormat="1" ht="14.25" customHeight="1" thickBot="1">
      <c r="A323" s="1513" t="s">
        <v>1328</v>
      </c>
      <c r="B323" s="1507" t="s">
        <v>1264</v>
      </c>
      <c r="C323" s="1507">
        <v>1780</v>
      </c>
      <c r="D323" s="1507">
        <v>1740</v>
      </c>
      <c r="E323" s="1507">
        <v>1720</v>
      </c>
      <c r="F323" s="1525"/>
    </row>
    <row r="324" spans="1:6" s="1501" customFormat="1" ht="14.25" customHeight="1" thickBot="1">
      <c r="A324" s="1513" t="s">
        <v>1328</v>
      </c>
      <c r="B324" s="1507" t="s">
        <v>1275</v>
      </c>
      <c r="C324" s="1507">
        <v>1650</v>
      </c>
      <c r="D324" s="1507">
        <v>1610</v>
      </c>
      <c r="E324" s="1507">
        <v>1580</v>
      </c>
      <c r="F324" s="1525"/>
    </row>
    <row r="325" spans="1:6" s="1501" customFormat="1" ht="14.25" customHeight="1" thickBot="1">
      <c r="A325" s="1513" t="s">
        <v>1328</v>
      </c>
      <c r="B325" s="1507" t="s">
        <v>1287</v>
      </c>
      <c r="C325" s="1507">
        <v>1330</v>
      </c>
      <c r="D325" s="1507">
        <v>1270</v>
      </c>
      <c r="E325" s="1507">
        <v>1240</v>
      </c>
      <c r="F325" s="1521">
        <v>430</v>
      </c>
    </row>
    <row r="326" spans="1:6" s="1501" customFormat="1" ht="14.25" customHeight="1" thickBot="1">
      <c r="A326" s="1513" t="s">
        <v>1328</v>
      </c>
      <c r="B326" s="1507" t="s">
        <v>1297</v>
      </c>
      <c r="C326" s="1507">
        <v>1470</v>
      </c>
      <c r="D326" s="1507">
        <v>1430</v>
      </c>
      <c r="E326" s="1507">
        <v>1400</v>
      </c>
      <c r="F326" s="1525"/>
    </row>
    <row r="327" spans="1:6" s="1501" customFormat="1" ht="14.25" customHeight="1" thickBot="1">
      <c r="A327" s="1513" t="s">
        <v>1328</v>
      </c>
      <c r="B327" s="1507" t="s">
        <v>1307</v>
      </c>
      <c r="C327" s="1507">
        <v>1420</v>
      </c>
      <c r="D327" s="1507">
        <v>1380</v>
      </c>
      <c r="E327" s="1507">
        <v>1360</v>
      </c>
      <c r="F327" s="1521">
        <v>420</v>
      </c>
    </row>
    <row r="328" spans="1:6" s="1501" customFormat="1" ht="14.25" customHeight="1" thickBot="1">
      <c r="A328" s="1513" t="s">
        <v>1328</v>
      </c>
      <c r="B328" s="1507" t="s">
        <v>1317</v>
      </c>
      <c r="C328" s="1507">
        <v>1400</v>
      </c>
      <c r="D328" s="1507">
        <v>1360</v>
      </c>
      <c r="E328" s="1507">
        <v>1330</v>
      </c>
      <c r="F328" s="1521">
        <v>460</v>
      </c>
    </row>
    <row r="329" spans="1:6" s="1501" customFormat="1" ht="14.25" customHeight="1" thickBot="1">
      <c r="A329" s="1513" t="s">
        <v>1328</v>
      </c>
      <c r="B329" s="1507" t="s">
        <v>1327</v>
      </c>
      <c r="C329" s="1507">
        <v>1640</v>
      </c>
      <c r="D329" s="1507">
        <v>1610</v>
      </c>
      <c r="E329" s="1507">
        <v>1580</v>
      </c>
      <c r="F329" s="1521">
        <v>410</v>
      </c>
    </row>
    <row r="330" spans="1:6" s="1501" customFormat="1" ht="14.25" customHeight="1" thickBot="1">
      <c r="A330" s="1513" t="s">
        <v>1328</v>
      </c>
      <c r="B330" s="1507" t="s">
        <v>1338</v>
      </c>
      <c r="C330" s="1507">
        <v>1260</v>
      </c>
      <c r="D330" s="1507">
        <v>1220</v>
      </c>
      <c r="E330" s="1507">
        <v>1200</v>
      </c>
      <c r="F330" s="1525"/>
    </row>
    <row r="331" spans="1:6" s="1501" customFormat="1" ht="14.25" customHeight="1" thickBot="1">
      <c r="A331" s="1513" t="s">
        <v>1328</v>
      </c>
      <c r="B331" s="1507" t="s">
        <v>1349</v>
      </c>
      <c r="C331" s="1507">
        <v>1620</v>
      </c>
      <c r="D331" s="1507">
        <v>1560</v>
      </c>
      <c r="E331" s="1507">
        <v>1530</v>
      </c>
      <c r="F331" s="1521">
        <v>490</v>
      </c>
    </row>
    <row r="332" spans="1:6" s="1501" customFormat="1" ht="14.25" customHeight="1" thickBot="1">
      <c r="A332" s="1513" t="s">
        <v>1328</v>
      </c>
      <c r="B332" s="1507" t="s">
        <v>1359</v>
      </c>
      <c r="C332" s="1507">
        <v>1520</v>
      </c>
      <c r="D332" s="1507">
        <v>1470</v>
      </c>
      <c r="E332" s="1507">
        <v>1440</v>
      </c>
      <c r="F332" s="1521">
        <v>440</v>
      </c>
    </row>
    <row r="333" spans="1:6" s="1501" customFormat="1" ht="14.25" customHeight="1" thickBot="1">
      <c r="A333" s="1513" t="s">
        <v>1328</v>
      </c>
      <c r="B333" s="1507" t="s">
        <v>1369</v>
      </c>
      <c r="C333" s="1507">
        <v>1370</v>
      </c>
      <c r="D333" s="1507">
        <v>1320</v>
      </c>
      <c r="E333" s="1507">
        <v>1300</v>
      </c>
      <c r="F333" s="1521">
        <v>460</v>
      </c>
    </row>
    <row r="334" spans="1:6" s="1501" customFormat="1" ht="14.25" customHeight="1" thickBot="1">
      <c r="A334" s="1513" t="s">
        <v>1328</v>
      </c>
      <c r="B334" s="1507" t="s">
        <v>1379</v>
      </c>
      <c r="C334" s="1507">
        <v>1410</v>
      </c>
      <c r="D334" s="1507">
        <v>1340</v>
      </c>
      <c r="E334" s="1507">
        <v>1310</v>
      </c>
      <c r="F334" s="1521">
        <v>410</v>
      </c>
    </row>
    <row r="335" spans="1:6" s="1501" customFormat="1" ht="14.25" customHeight="1" thickBot="1">
      <c r="A335" s="1513" t="s">
        <v>1328</v>
      </c>
      <c r="B335" s="1507" t="s">
        <v>1389</v>
      </c>
      <c r="C335" s="1507">
        <v>1260</v>
      </c>
      <c r="D335" s="1507">
        <v>1220</v>
      </c>
      <c r="E335" s="1507">
        <v>1200</v>
      </c>
      <c r="F335" s="1525"/>
    </row>
    <row r="336" spans="1:6" s="1501" customFormat="1" ht="14.25" customHeight="1" thickBot="1">
      <c r="A336" s="1513" t="s">
        <v>1328</v>
      </c>
      <c r="B336" s="1507" t="s">
        <v>1398</v>
      </c>
      <c r="C336" s="1507">
        <v>1160</v>
      </c>
      <c r="D336" s="1507">
        <v>1140</v>
      </c>
      <c r="E336" s="1507">
        <v>1120</v>
      </c>
      <c r="F336" s="1521">
        <v>430</v>
      </c>
    </row>
    <row r="337" spans="1:6" s="1501" customFormat="1" ht="14.25" customHeight="1" thickBot="1">
      <c r="A337" s="1513" t="s">
        <v>1328</v>
      </c>
      <c r="B337" s="1519" t="s">
        <v>1407</v>
      </c>
      <c r="C337" s="1519"/>
      <c r="D337" s="1519"/>
      <c r="E337" s="1519"/>
      <c r="F337" s="1524">
        <v>380</v>
      </c>
    </row>
    <row r="338" spans="1:6" s="1501" customFormat="1" ht="14.25" customHeight="1" thickBot="1">
      <c r="A338" s="1513" t="s">
        <v>1339</v>
      </c>
      <c r="B338" s="1514" t="s">
        <v>1549</v>
      </c>
      <c r="C338" s="1514">
        <v>880</v>
      </c>
      <c r="D338" s="1514">
        <v>850</v>
      </c>
      <c r="E338" s="1514">
        <v>830</v>
      </c>
      <c r="F338" s="1527"/>
    </row>
    <row r="339" spans="1:6" s="1501" customFormat="1" ht="14.25" customHeight="1" thickBot="1">
      <c r="A339" s="1513" t="s">
        <v>1339</v>
      </c>
      <c r="B339" s="1507" t="s">
        <v>1550</v>
      </c>
      <c r="C339" s="1507">
        <v>830</v>
      </c>
      <c r="D339" s="1507">
        <v>800</v>
      </c>
      <c r="E339" s="1507">
        <v>780</v>
      </c>
      <c r="F339" s="1525"/>
    </row>
    <row r="340" spans="1:6" s="1501" customFormat="1" ht="14.25" customHeight="1" thickBot="1">
      <c r="A340" s="1513" t="s">
        <v>1339</v>
      </c>
      <c r="B340" s="1507" t="s">
        <v>1551</v>
      </c>
      <c r="C340" s="1507">
        <v>980</v>
      </c>
      <c r="D340" s="1507">
        <v>950</v>
      </c>
      <c r="E340" s="1507">
        <v>920</v>
      </c>
      <c r="F340" s="1525"/>
    </row>
    <row r="341" spans="1:6" s="1501" customFormat="1" ht="14.25" customHeight="1" thickBot="1">
      <c r="A341" s="1513" t="s">
        <v>1339</v>
      </c>
      <c r="B341" s="1507" t="s">
        <v>1552</v>
      </c>
      <c r="C341" s="1507">
        <v>760</v>
      </c>
      <c r="D341" s="1507">
        <v>720</v>
      </c>
      <c r="E341" s="1507">
        <v>690</v>
      </c>
      <c r="F341" s="1521">
        <v>350</v>
      </c>
    </row>
    <row r="342" spans="1:6" s="1501" customFormat="1" ht="14.25" customHeight="1" thickBot="1">
      <c r="A342" s="1513" t="s">
        <v>1339</v>
      </c>
      <c r="B342" s="1507" t="s">
        <v>1243</v>
      </c>
      <c r="C342" s="1507">
        <v>910</v>
      </c>
      <c r="D342" s="1507">
        <v>870</v>
      </c>
      <c r="E342" s="1507">
        <v>850</v>
      </c>
      <c r="F342" s="1521">
        <v>370</v>
      </c>
    </row>
    <row r="343" spans="1:6" s="1501" customFormat="1" ht="14.25" customHeight="1" thickBot="1">
      <c r="A343" s="1513" t="s">
        <v>1339</v>
      </c>
      <c r="B343" s="1507" t="s">
        <v>1254</v>
      </c>
      <c r="C343" s="1507">
        <v>800</v>
      </c>
      <c r="D343" s="1507">
        <v>760</v>
      </c>
      <c r="E343" s="1507">
        <v>730</v>
      </c>
      <c r="F343" s="1521">
        <v>340</v>
      </c>
    </row>
    <row r="344" spans="1:6" s="1501" customFormat="1" ht="14.25" customHeight="1" thickBot="1">
      <c r="A344" s="1513" t="s">
        <v>1339</v>
      </c>
      <c r="B344" s="1519" t="s">
        <v>1265</v>
      </c>
      <c r="C344" s="1519">
        <v>720</v>
      </c>
      <c r="D344" s="1519">
        <v>690</v>
      </c>
      <c r="E344" s="1519">
        <v>660</v>
      </c>
      <c r="F344" s="152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28" customWidth="1"/>
    <col min="2" max="2" width="10.25" style="1473" customWidth="1"/>
  </cols>
  <sheetData>
    <row r="1" spans="1:6">
      <c r="A1" s="3775" t="s">
        <v>2126</v>
      </c>
      <c r="B1" s="3775"/>
    </row>
    <row r="2" spans="1:6" ht="14.25" thickBot="1">
      <c r="A2" s="2093"/>
      <c r="B2" s="2093"/>
    </row>
    <row r="3" spans="1:6" ht="14.25" thickBot="1">
      <c r="A3" s="2093"/>
      <c r="B3" s="2093"/>
      <c r="C3" s="2097" t="s">
        <v>2129</v>
      </c>
      <c r="D3" s="2097" t="s">
        <v>2130</v>
      </c>
      <c r="E3" s="2097" t="s">
        <v>2131</v>
      </c>
      <c r="F3" s="2097" t="s">
        <v>2132</v>
      </c>
    </row>
    <row r="4" spans="1:6" ht="14.25" thickBot="1">
      <c r="A4" s="2095" t="s">
        <v>2127</v>
      </c>
      <c r="B4" s="2096" t="s">
        <v>2128</v>
      </c>
      <c r="C4" s="2097"/>
      <c r="D4" s="2097"/>
      <c r="E4" s="2097"/>
      <c r="F4" s="2097"/>
    </row>
    <row r="5" spans="1:6" ht="14.25" thickBot="1">
      <c r="A5" s="1513" t="s">
        <v>2133</v>
      </c>
      <c r="B5" s="1514" t="s">
        <v>2134</v>
      </c>
      <c r="C5" s="2098">
        <v>8.8999999999999996E-2</v>
      </c>
      <c r="D5" s="2098">
        <v>7.3999999999999996E-2</v>
      </c>
      <c r="E5" s="2098">
        <v>7.4999999999999997E-2</v>
      </c>
      <c r="F5" s="2099">
        <v>0.1</v>
      </c>
    </row>
    <row r="6" spans="1:6" ht="14.25" thickBot="1">
      <c r="A6" s="1513" t="s">
        <v>1219</v>
      </c>
      <c r="B6" s="1507" t="s">
        <v>2135</v>
      </c>
      <c r="C6" s="2100">
        <v>0.1</v>
      </c>
      <c r="D6" s="2100">
        <v>9.0999999999999998E-2</v>
      </c>
      <c r="E6" s="2100">
        <v>9.0999999999999998E-2</v>
      </c>
      <c r="F6" s="2101">
        <v>0.1</v>
      </c>
    </row>
    <row r="7" spans="1:6" ht="14.25" thickBot="1">
      <c r="A7" s="1513" t="s">
        <v>1219</v>
      </c>
      <c r="B7" s="1517" t="s">
        <v>1208</v>
      </c>
      <c r="C7" s="2100">
        <v>8.5999999999999993E-2</v>
      </c>
      <c r="D7" s="2100">
        <v>9.6000000000000002E-2</v>
      </c>
      <c r="E7" s="2100">
        <v>7.5999999999999998E-2</v>
      </c>
      <c r="F7" s="2101">
        <v>0.1</v>
      </c>
    </row>
    <row r="8" spans="1:6" ht="14.25" thickBot="1">
      <c r="A8" s="1513" t="s">
        <v>1219</v>
      </c>
      <c r="B8" s="1507" t="s">
        <v>1220</v>
      </c>
      <c r="C8" s="2100">
        <v>9.9000000000000005E-2</v>
      </c>
      <c r="D8" s="2100">
        <v>9.8000000000000004E-2</v>
      </c>
      <c r="E8" s="2100">
        <v>9.8000000000000004E-2</v>
      </c>
      <c r="F8" s="2101">
        <v>0.1</v>
      </c>
    </row>
    <row r="9" spans="1:6" ht="14.25" thickBot="1">
      <c r="A9" s="1523" t="s">
        <v>1219</v>
      </c>
      <c r="B9" s="1518" t="s">
        <v>1232</v>
      </c>
      <c r="C9" s="2102">
        <v>0.05</v>
      </c>
      <c r="D9" s="2110"/>
      <c r="E9" s="2110"/>
      <c r="F9" s="2111"/>
    </row>
    <row r="10" spans="1:6" ht="14.25" thickBot="1">
      <c r="A10" s="1513" t="s">
        <v>1276</v>
      </c>
      <c r="B10" s="1514" t="s">
        <v>2136</v>
      </c>
      <c r="C10" s="2098">
        <v>8.8999999999999996E-2</v>
      </c>
      <c r="D10" s="2098">
        <v>7.2999999999999995E-2</v>
      </c>
      <c r="E10" s="2098">
        <v>8.2000000000000003E-2</v>
      </c>
      <c r="F10" s="2099">
        <v>0.1</v>
      </c>
    </row>
    <row r="11" spans="1:6" ht="14.25" thickBot="1">
      <c r="A11" s="1513" t="s">
        <v>1276</v>
      </c>
      <c r="B11" s="1517" t="s">
        <v>1195</v>
      </c>
      <c r="C11" s="2100">
        <v>8.8999999999999996E-2</v>
      </c>
      <c r="D11" s="2100">
        <v>7.2999999999999995E-2</v>
      </c>
      <c r="E11" s="2100">
        <v>8.2000000000000003E-2</v>
      </c>
      <c r="F11" s="2101">
        <v>0.1</v>
      </c>
    </row>
    <row r="12" spans="1:6" ht="14.25" thickBot="1">
      <c r="A12" s="1513" t="s">
        <v>1276</v>
      </c>
      <c r="B12" s="1517" t="s">
        <v>1131</v>
      </c>
      <c r="C12" s="2100">
        <v>6.0999999999999999E-2</v>
      </c>
      <c r="D12" s="2100">
        <v>7.0999999999999994E-2</v>
      </c>
      <c r="E12" s="2100">
        <v>9.6000000000000002E-2</v>
      </c>
      <c r="F12" s="2101">
        <v>0.1</v>
      </c>
    </row>
    <row r="13" spans="1:6" ht="14.25" thickBot="1">
      <c r="A13" s="1513" t="s">
        <v>1276</v>
      </c>
      <c r="B13" s="1517" t="s">
        <v>1221</v>
      </c>
      <c r="C13" s="2100">
        <v>6.9000000000000006E-2</v>
      </c>
      <c r="D13" s="2100">
        <v>6.5000000000000002E-2</v>
      </c>
      <c r="E13" s="2100">
        <v>6.6000000000000003E-2</v>
      </c>
      <c r="F13" s="2101">
        <v>0.1</v>
      </c>
    </row>
    <row r="14" spans="1:6" ht="14.25" thickBot="1">
      <c r="A14" s="1513" t="s">
        <v>1276</v>
      </c>
      <c r="B14" s="1517" t="s">
        <v>1233</v>
      </c>
      <c r="C14" s="2100">
        <v>0.1</v>
      </c>
      <c r="D14" s="2100">
        <v>6.5000000000000002E-2</v>
      </c>
      <c r="E14" s="2100">
        <v>7.0000000000000007E-2</v>
      </c>
      <c r="F14" s="2101">
        <v>0.1</v>
      </c>
    </row>
    <row r="15" spans="1:6" ht="14.25" thickBot="1">
      <c r="A15" s="1513" t="s">
        <v>1276</v>
      </c>
      <c r="B15" s="1517" t="s">
        <v>1244</v>
      </c>
      <c r="C15" s="2100">
        <v>9.8000000000000004E-2</v>
      </c>
      <c r="D15" s="2100">
        <v>8.8999999999999996E-2</v>
      </c>
      <c r="E15" s="2100">
        <v>8.8999999999999996E-2</v>
      </c>
      <c r="F15" s="2101">
        <v>0.1</v>
      </c>
    </row>
    <row r="16" spans="1:6" ht="14.25" thickBot="1">
      <c r="A16" s="1513" t="s">
        <v>1276</v>
      </c>
      <c r="B16" s="1517" t="s">
        <v>1255</v>
      </c>
      <c r="C16" s="2100">
        <v>7.0000000000000007E-2</v>
      </c>
      <c r="D16" s="2100">
        <v>9.2999999999999999E-2</v>
      </c>
      <c r="E16" s="2100">
        <v>9.6000000000000002E-2</v>
      </c>
      <c r="F16" s="2101">
        <v>0.1</v>
      </c>
    </row>
    <row r="17" spans="1:6" ht="14.25" thickBot="1">
      <c r="A17" s="1513" t="s">
        <v>1276</v>
      </c>
      <c r="B17" s="1517" t="s">
        <v>1266</v>
      </c>
      <c r="C17" s="2100">
        <v>9.5000000000000001E-2</v>
      </c>
      <c r="D17" s="2100">
        <v>0.1</v>
      </c>
      <c r="E17" s="2100">
        <v>0.1</v>
      </c>
      <c r="F17" s="2112"/>
    </row>
    <row r="18" spans="1:6" ht="14.25" thickBot="1">
      <c r="A18" s="1513" t="s">
        <v>1276</v>
      </c>
      <c r="B18" s="1517" t="s">
        <v>1278</v>
      </c>
      <c r="C18" s="2100">
        <v>7.3999999999999996E-2</v>
      </c>
      <c r="D18" s="2100">
        <v>9.9000000000000005E-2</v>
      </c>
      <c r="E18" s="2100">
        <v>0.1</v>
      </c>
      <c r="F18" s="2112"/>
    </row>
    <row r="19" spans="1:6" ht="14.25" thickBot="1">
      <c r="A19" s="1513" t="s">
        <v>1276</v>
      </c>
      <c r="B19" s="1517" t="s">
        <v>1288</v>
      </c>
      <c r="C19" s="2100">
        <v>9.9000000000000005E-2</v>
      </c>
      <c r="D19" s="2100">
        <v>7.5999999999999998E-2</v>
      </c>
      <c r="E19" s="2100">
        <v>8.6999999999999994E-2</v>
      </c>
      <c r="F19" s="2112"/>
    </row>
    <row r="20" spans="1:6" ht="14.25" thickBot="1">
      <c r="A20" s="1513" t="s">
        <v>1276</v>
      </c>
      <c r="B20" s="1517" t="s">
        <v>1298</v>
      </c>
      <c r="C20" s="2100">
        <v>9.8000000000000004E-2</v>
      </c>
      <c r="D20" s="2100">
        <v>8.5000000000000006E-2</v>
      </c>
      <c r="E20" s="2100">
        <v>8.2000000000000003E-2</v>
      </c>
      <c r="F20" s="2112"/>
    </row>
    <row r="21" spans="1:6" ht="14.25" thickBot="1">
      <c r="A21" s="1513" t="s">
        <v>1276</v>
      </c>
      <c r="B21" s="1517" t="s">
        <v>1308</v>
      </c>
      <c r="C21" s="2100">
        <v>6.6000000000000003E-2</v>
      </c>
      <c r="D21" s="2100">
        <v>6.4000000000000001E-2</v>
      </c>
      <c r="E21" s="2100">
        <v>6.5000000000000002E-2</v>
      </c>
      <c r="F21" s="2112"/>
    </row>
    <row r="22" spans="1:6" ht="14.25" thickBot="1">
      <c r="A22" s="1513" t="s">
        <v>1276</v>
      </c>
      <c r="B22" s="1517" t="s">
        <v>2137</v>
      </c>
      <c r="C22" s="2100">
        <v>0.08</v>
      </c>
      <c r="D22" s="2100">
        <v>9.8000000000000004E-2</v>
      </c>
      <c r="E22" s="2100">
        <v>9.8000000000000004E-2</v>
      </c>
      <c r="F22" s="2112"/>
    </row>
    <row r="23" spans="1:6" ht="14.25" thickBot="1">
      <c r="A23" s="1513" t="s">
        <v>1276</v>
      </c>
      <c r="B23" s="1517" t="s">
        <v>1329</v>
      </c>
      <c r="C23" s="2100">
        <v>9.9000000000000005E-2</v>
      </c>
      <c r="D23" s="2100">
        <v>9.8000000000000004E-2</v>
      </c>
      <c r="E23" s="2100">
        <v>9.0999999999999998E-2</v>
      </c>
      <c r="F23" s="2112"/>
    </row>
    <row r="24" spans="1:6" ht="14.25" thickBot="1">
      <c r="A24" s="1513" t="s">
        <v>1276</v>
      </c>
      <c r="B24" s="1517" t="s">
        <v>1340</v>
      </c>
      <c r="C24" s="2100">
        <v>8.8999999999999996E-2</v>
      </c>
      <c r="D24" s="2100">
        <v>9.7000000000000003E-2</v>
      </c>
      <c r="E24" s="2100">
        <v>7.0000000000000007E-2</v>
      </c>
      <c r="F24" s="2112"/>
    </row>
    <row r="25" spans="1:6" ht="14.25" thickBot="1">
      <c r="A25" s="1513" t="s">
        <v>1276</v>
      </c>
      <c r="B25" s="1517" t="s">
        <v>1350</v>
      </c>
      <c r="C25" s="2100">
        <v>8.8999999999999996E-2</v>
      </c>
      <c r="D25" s="2100">
        <v>0.1</v>
      </c>
      <c r="E25" s="2100">
        <v>8.1000000000000003E-2</v>
      </c>
      <c r="F25" s="2112"/>
    </row>
    <row r="26" spans="1:6" ht="14.25" thickBot="1">
      <c r="A26" s="1513" t="s">
        <v>1276</v>
      </c>
      <c r="B26" s="1517" t="s">
        <v>1360</v>
      </c>
      <c r="C26" s="2113"/>
      <c r="D26" s="2100">
        <v>9.6000000000000002E-2</v>
      </c>
      <c r="E26" s="2100">
        <v>9.2999999999999999E-2</v>
      </c>
      <c r="F26" s="2112"/>
    </row>
    <row r="27" spans="1:6" ht="14.25" thickBot="1">
      <c r="A27" s="1513" t="s">
        <v>1276</v>
      </c>
      <c r="B27" s="1517" t="s">
        <v>1370</v>
      </c>
      <c r="C27" s="2113"/>
      <c r="D27" s="2100">
        <v>7.5999999999999998E-2</v>
      </c>
      <c r="E27" s="2100">
        <v>9.1999999999999998E-2</v>
      </c>
      <c r="F27" s="2112"/>
    </row>
    <row r="28" spans="1:6" ht="14.25" thickBot="1">
      <c r="A28" s="1523" t="s">
        <v>1276</v>
      </c>
      <c r="B28" s="1518" t="s">
        <v>1380</v>
      </c>
      <c r="C28" s="2110"/>
      <c r="D28" s="2102">
        <v>7.5999999999999998E-2</v>
      </c>
      <c r="E28" s="2102">
        <v>9.1999999999999998E-2</v>
      </c>
      <c r="F28" s="2111"/>
    </row>
    <row r="29" spans="1:6" ht="14.25" thickBot="1">
      <c r="A29" s="1513" t="s">
        <v>1449</v>
      </c>
      <c r="B29" s="1514" t="s">
        <v>2138</v>
      </c>
      <c r="C29" s="2098">
        <v>6.4000000000000001E-2</v>
      </c>
      <c r="D29" s="2098">
        <v>6.5000000000000002E-2</v>
      </c>
      <c r="E29" s="2098">
        <v>6.9000000000000006E-2</v>
      </c>
      <c r="F29" s="2099">
        <v>0.1</v>
      </c>
    </row>
    <row r="30" spans="1:6" ht="14.25" thickBot="1">
      <c r="A30" s="1513" t="s">
        <v>1449</v>
      </c>
      <c r="B30" s="1517" t="s">
        <v>1196</v>
      </c>
      <c r="C30" s="2100">
        <v>6.4000000000000001E-2</v>
      </c>
      <c r="D30" s="2100">
        <v>9.9000000000000005E-2</v>
      </c>
      <c r="E30" s="2100">
        <v>0.1</v>
      </c>
      <c r="F30" s="2101">
        <v>0.1</v>
      </c>
    </row>
    <row r="31" spans="1:6" ht="14.25" thickBot="1">
      <c r="A31" s="1513" t="s">
        <v>1449</v>
      </c>
      <c r="B31" s="1517" t="s">
        <v>1209</v>
      </c>
      <c r="C31" s="2100">
        <v>0.1</v>
      </c>
      <c r="D31" s="2100">
        <v>9.5000000000000001E-2</v>
      </c>
      <c r="E31" s="2100">
        <v>8.8999999999999996E-2</v>
      </c>
      <c r="F31" s="2101">
        <v>0.1</v>
      </c>
    </row>
    <row r="32" spans="1:6" ht="14.25" thickBot="1">
      <c r="A32" s="1513" t="s">
        <v>1449</v>
      </c>
      <c r="B32" s="1517" t="s">
        <v>1222</v>
      </c>
      <c r="C32" s="2100">
        <v>0.05</v>
      </c>
      <c r="D32" s="2100">
        <v>0.05</v>
      </c>
      <c r="E32" s="2100">
        <v>8.7999999999999995E-2</v>
      </c>
      <c r="F32" s="2101">
        <v>0.1</v>
      </c>
    </row>
    <row r="33" spans="1:6" ht="14.25" thickBot="1">
      <c r="A33" s="1513" t="s">
        <v>1449</v>
      </c>
      <c r="B33" s="1517" t="s">
        <v>1234</v>
      </c>
      <c r="C33" s="2100">
        <v>7.4999999999999997E-2</v>
      </c>
      <c r="D33" s="2100">
        <v>9.4E-2</v>
      </c>
      <c r="E33" s="2100">
        <v>9.7000000000000003E-2</v>
      </c>
      <c r="F33" s="2101">
        <v>0.1</v>
      </c>
    </row>
    <row r="34" spans="1:6" ht="14.25" thickBot="1">
      <c r="A34" s="1513" t="s">
        <v>1449</v>
      </c>
      <c r="B34" s="1517" t="s">
        <v>1245</v>
      </c>
      <c r="C34" s="2100">
        <v>9.8000000000000004E-2</v>
      </c>
      <c r="D34" s="2100">
        <v>8.5999999999999993E-2</v>
      </c>
      <c r="E34" s="2100">
        <v>9.7000000000000003E-2</v>
      </c>
      <c r="F34" s="2101">
        <v>0.1</v>
      </c>
    </row>
    <row r="35" spans="1:6" ht="14.25" thickBot="1">
      <c r="A35" s="1513" t="s">
        <v>1449</v>
      </c>
      <c r="B35" s="1517" t="s">
        <v>1256</v>
      </c>
      <c r="C35" s="2100">
        <v>5.8999999999999997E-2</v>
      </c>
      <c r="D35" s="2100">
        <v>6.5000000000000002E-2</v>
      </c>
      <c r="E35" s="2100">
        <v>7.0000000000000007E-2</v>
      </c>
      <c r="F35" s="2101">
        <v>0.1</v>
      </c>
    </row>
    <row r="36" spans="1:6" ht="14.25" thickBot="1">
      <c r="A36" s="1513" t="s">
        <v>1449</v>
      </c>
      <c r="B36" s="1517" t="s">
        <v>1267</v>
      </c>
      <c r="C36" s="2100">
        <v>6.3E-2</v>
      </c>
      <c r="D36" s="2100">
        <v>0.1</v>
      </c>
      <c r="E36" s="2100">
        <v>0.1</v>
      </c>
      <c r="F36" s="2101">
        <v>0.1</v>
      </c>
    </row>
    <row r="37" spans="1:6" ht="14.25" thickBot="1">
      <c r="A37" s="1513" t="s">
        <v>1449</v>
      </c>
      <c r="B37" s="1517" t="s">
        <v>1279</v>
      </c>
      <c r="C37" s="2100">
        <v>7.3999999999999996E-2</v>
      </c>
      <c r="D37" s="2100">
        <v>0.1</v>
      </c>
      <c r="E37" s="2100">
        <v>0.1</v>
      </c>
      <c r="F37" s="2101">
        <v>0.1</v>
      </c>
    </row>
    <row r="38" spans="1:6" ht="14.25" thickBot="1">
      <c r="A38" s="1513" t="s">
        <v>1449</v>
      </c>
      <c r="B38" s="1517" t="s">
        <v>1289</v>
      </c>
      <c r="C38" s="2100">
        <v>0.1</v>
      </c>
      <c r="D38" s="2100">
        <v>9.6000000000000002E-2</v>
      </c>
      <c r="E38" s="2100">
        <v>9.6000000000000002E-2</v>
      </c>
      <c r="F38" s="2112"/>
    </row>
    <row r="39" spans="1:6" ht="14.25" thickBot="1">
      <c r="A39" s="1513" t="s">
        <v>1449</v>
      </c>
      <c r="B39" s="1517" t="s">
        <v>1299</v>
      </c>
      <c r="C39" s="2100">
        <v>0.1</v>
      </c>
      <c r="D39" s="2100">
        <v>9.6000000000000002E-2</v>
      </c>
      <c r="E39" s="2100">
        <v>9.6000000000000002E-2</v>
      </c>
      <c r="F39" s="2112"/>
    </row>
    <row r="40" spans="1:6" ht="14.25" thickBot="1">
      <c r="A40" s="1513" t="s">
        <v>1449</v>
      </c>
      <c r="B40" s="1517" t="s">
        <v>1309</v>
      </c>
      <c r="C40" s="2100">
        <v>9.6000000000000002E-2</v>
      </c>
      <c r="D40" s="2100">
        <v>0.1</v>
      </c>
      <c r="E40" s="2100">
        <v>9.9000000000000005E-2</v>
      </c>
      <c r="F40" s="2112"/>
    </row>
    <row r="41" spans="1:6" ht="14.25" thickBot="1">
      <c r="A41" s="1513" t="s">
        <v>1449</v>
      </c>
      <c r="B41" s="1517" t="s">
        <v>1319</v>
      </c>
      <c r="C41" s="2100">
        <v>9.6000000000000002E-2</v>
      </c>
      <c r="D41" s="2100">
        <v>9.8000000000000004E-2</v>
      </c>
      <c r="E41" s="2100">
        <v>9.8000000000000004E-2</v>
      </c>
      <c r="F41" s="2112"/>
    </row>
    <row r="42" spans="1:6" ht="14.25" thickBot="1">
      <c r="A42" s="1513" t="s">
        <v>1449</v>
      </c>
      <c r="B42" s="1517" t="s">
        <v>1330</v>
      </c>
      <c r="C42" s="2100">
        <v>0.1</v>
      </c>
      <c r="D42" s="2100">
        <v>8.7999999999999995E-2</v>
      </c>
      <c r="E42" s="2100">
        <v>0.1</v>
      </c>
      <c r="F42" s="2112"/>
    </row>
    <row r="43" spans="1:6" ht="14.25" thickBot="1">
      <c r="A43" s="1513" t="s">
        <v>1449</v>
      </c>
      <c r="B43" s="1517" t="s">
        <v>1341</v>
      </c>
      <c r="C43" s="2100">
        <v>9.8000000000000004E-2</v>
      </c>
      <c r="D43" s="2100">
        <v>9.7000000000000003E-2</v>
      </c>
      <c r="E43" s="2100">
        <v>9.6000000000000002E-2</v>
      </c>
      <c r="F43" s="2112"/>
    </row>
    <row r="44" spans="1:6" ht="14.25" thickBot="1">
      <c r="A44" s="1513" t="s">
        <v>1449</v>
      </c>
      <c r="B44" s="1517" t="s">
        <v>1351</v>
      </c>
      <c r="C44" s="2100">
        <v>8.5999999999999993E-2</v>
      </c>
      <c r="D44" s="2100">
        <v>7.9000000000000001E-2</v>
      </c>
      <c r="E44" s="2100">
        <v>7.0999999999999994E-2</v>
      </c>
      <c r="F44" s="2112"/>
    </row>
    <row r="45" spans="1:6" ht="14.25" thickBot="1">
      <c r="A45" s="1513" t="s">
        <v>1449</v>
      </c>
      <c r="B45" s="1517" t="s">
        <v>1361</v>
      </c>
      <c r="C45" s="2100">
        <v>9.8000000000000004E-2</v>
      </c>
      <c r="D45" s="2100">
        <v>9.6000000000000002E-2</v>
      </c>
      <c r="E45" s="2100">
        <v>9.6000000000000002E-2</v>
      </c>
      <c r="F45" s="2112"/>
    </row>
    <row r="46" spans="1:6" ht="14.25" thickBot="1">
      <c r="A46" s="1513" t="s">
        <v>1449</v>
      </c>
      <c r="B46" s="1517" t="s">
        <v>1371</v>
      </c>
      <c r="C46" s="2100">
        <v>8.5999999999999993E-2</v>
      </c>
      <c r="D46" s="2100">
        <v>9.8000000000000004E-2</v>
      </c>
      <c r="E46" s="2100">
        <v>8.7999999999999995E-2</v>
      </c>
      <c r="F46" s="2112"/>
    </row>
    <row r="47" spans="1:6" ht="14.25" thickBot="1">
      <c r="A47" s="1513" t="s">
        <v>1449</v>
      </c>
      <c r="B47" s="1517" t="s">
        <v>1381</v>
      </c>
      <c r="C47" s="2100">
        <v>9.6000000000000002E-2</v>
      </c>
      <c r="D47" s="2113"/>
      <c r="E47" s="2100">
        <v>6.9000000000000006E-2</v>
      </c>
      <c r="F47" s="2112"/>
    </row>
    <row r="48" spans="1:6" ht="14.25" thickBot="1">
      <c r="A48" s="1523" t="s">
        <v>1449</v>
      </c>
      <c r="B48" s="1518" t="s">
        <v>1390</v>
      </c>
      <c r="C48" s="2102">
        <v>9.8000000000000004E-2</v>
      </c>
      <c r="D48" s="2110"/>
      <c r="E48" s="2102">
        <v>9.5000000000000001E-2</v>
      </c>
      <c r="F48" s="2111"/>
    </row>
    <row r="49" spans="1:6" ht="14.25" thickBot="1">
      <c r="A49" s="1513" t="s">
        <v>1130</v>
      </c>
      <c r="B49" s="1514" t="s">
        <v>2139</v>
      </c>
      <c r="C49" s="2098">
        <v>9.7000000000000003E-2</v>
      </c>
      <c r="D49" s="2098">
        <v>9.5000000000000001E-2</v>
      </c>
      <c r="E49" s="2098">
        <v>9.7000000000000003E-2</v>
      </c>
      <c r="F49" s="2099">
        <v>0.1</v>
      </c>
    </row>
    <row r="50" spans="1:6" ht="14.25" thickBot="1">
      <c r="A50" s="1513" t="s">
        <v>1130</v>
      </c>
      <c r="B50" s="1507" t="s">
        <v>1197</v>
      </c>
      <c r="C50" s="2100">
        <v>7.4999999999999997E-2</v>
      </c>
      <c r="D50" s="2100">
        <v>9.5000000000000001E-2</v>
      </c>
      <c r="E50" s="2100">
        <v>0.1</v>
      </c>
      <c r="F50" s="2101">
        <v>0.1</v>
      </c>
    </row>
    <row r="51" spans="1:6" ht="14.25" thickBot="1">
      <c r="A51" s="1513" t="s">
        <v>1130</v>
      </c>
      <c r="B51" s="1507" t="s">
        <v>1210</v>
      </c>
      <c r="C51" s="2100">
        <v>9.8000000000000004E-2</v>
      </c>
      <c r="D51" s="2100">
        <v>8.8999999999999996E-2</v>
      </c>
      <c r="E51" s="2100">
        <v>0.1</v>
      </c>
      <c r="F51" s="2101">
        <v>0.1</v>
      </c>
    </row>
    <row r="52" spans="1:6" ht="14.25" thickBot="1">
      <c r="A52" s="1513" t="s">
        <v>1130</v>
      </c>
      <c r="B52" s="1507" t="s">
        <v>1223</v>
      </c>
      <c r="C52" s="2100">
        <v>9.8000000000000004E-2</v>
      </c>
      <c r="D52" s="2100">
        <v>9.7000000000000003E-2</v>
      </c>
      <c r="E52" s="2100">
        <v>8.1000000000000003E-2</v>
      </c>
      <c r="F52" s="2101">
        <v>0.1</v>
      </c>
    </row>
    <row r="53" spans="1:6" ht="14.25" thickBot="1">
      <c r="A53" s="1513" t="s">
        <v>1130</v>
      </c>
      <c r="B53" s="1507" t="s">
        <v>1235</v>
      </c>
      <c r="C53" s="2100">
        <v>9.7000000000000003E-2</v>
      </c>
      <c r="D53" s="2100">
        <v>7.5999999999999998E-2</v>
      </c>
      <c r="E53" s="2100">
        <v>7.0999999999999994E-2</v>
      </c>
      <c r="F53" s="2101">
        <v>0.1</v>
      </c>
    </row>
    <row r="54" spans="1:6" ht="14.25" thickBot="1">
      <c r="A54" s="1513" t="s">
        <v>1130</v>
      </c>
      <c r="B54" s="1507" t="s">
        <v>1246</v>
      </c>
      <c r="C54" s="2100">
        <v>7.5999999999999998E-2</v>
      </c>
      <c r="D54" s="2100">
        <v>0.1</v>
      </c>
      <c r="E54" s="2100">
        <v>9.9000000000000005E-2</v>
      </c>
      <c r="F54" s="2101">
        <v>0.1</v>
      </c>
    </row>
    <row r="55" spans="1:6" ht="14.25" thickBot="1">
      <c r="A55" s="1513" t="s">
        <v>1130</v>
      </c>
      <c r="B55" s="1507" t="s">
        <v>1257</v>
      </c>
      <c r="C55" s="2100">
        <v>0.1</v>
      </c>
      <c r="D55" s="2100">
        <v>0.1</v>
      </c>
      <c r="E55" s="2100">
        <v>9.6000000000000002E-2</v>
      </c>
      <c r="F55" s="2101">
        <v>0.1</v>
      </c>
    </row>
    <row r="56" spans="1:6" ht="14.25" thickBot="1">
      <c r="A56" s="1513" t="s">
        <v>1130</v>
      </c>
      <c r="B56" s="1507" t="s">
        <v>1268</v>
      </c>
      <c r="C56" s="2100">
        <v>0.1</v>
      </c>
      <c r="D56" s="2100">
        <v>9.6000000000000002E-2</v>
      </c>
      <c r="E56" s="2100">
        <v>5.1999999999999998E-2</v>
      </c>
      <c r="F56" s="2101">
        <v>0.1</v>
      </c>
    </row>
    <row r="57" spans="1:6" ht="14.25" thickBot="1">
      <c r="A57" s="1513" t="s">
        <v>1130</v>
      </c>
      <c r="B57" s="1507" t="s">
        <v>1280</v>
      </c>
      <c r="C57" s="2100">
        <v>9.7000000000000003E-2</v>
      </c>
      <c r="D57" s="2100">
        <v>9.6000000000000002E-2</v>
      </c>
      <c r="E57" s="2100">
        <v>9.6000000000000002E-2</v>
      </c>
      <c r="F57" s="2101">
        <v>0.1</v>
      </c>
    </row>
    <row r="58" spans="1:6" ht="14.25" thickBot="1">
      <c r="A58" s="1513" t="s">
        <v>1130</v>
      </c>
      <c r="B58" s="1507" t="s">
        <v>1290</v>
      </c>
      <c r="C58" s="2100">
        <v>9.6000000000000002E-2</v>
      </c>
      <c r="D58" s="2100">
        <v>9.9000000000000005E-2</v>
      </c>
      <c r="E58" s="2100">
        <v>9.6000000000000002E-2</v>
      </c>
      <c r="F58" s="2101">
        <v>0.1</v>
      </c>
    </row>
    <row r="59" spans="1:6" ht="14.25" thickBot="1">
      <c r="A59" s="1513" t="s">
        <v>1130</v>
      </c>
      <c r="B59" s="1507" t="s">
        <v>1300</v>
      </c>
      <c r="C59" s="2100">
        <v>7.1999999999999995E-2</v>
      </c>
      <c r="D59" s="2100">
        <v>9.6000000000000002E-2</v>
      </c>
      <c r="E59" s="2100">
        <v>7.0999999999999994E-2</v>
      </c>
      <c r="F59" s="2101">
        <v>0.1</v>
      </c>
    </row>
    <row r="60" spans="1:6" ht="14.25" thickBot="1">
      <c r="A60" s="1513" t="s">
        <v>1130</v>
      </c>
      <c r="B60" s="1507" t="s">
        <v>1310</v>
      </c>
      <c r="C60" s="2100">
        <v>9.6000000000000002E-2</v>
      </c>
      <c r="D60" s="2100">
        <v>8.8999999999999996E-2</v>
      </c>
      <c r="E60" s="2100">
        <v>9.6000000000000002E-2</v>
      </c>
      <c r="F60" s="2101">
        <v>0.1</v>
      </c>
    </row>
    <row r="61" spans="1:6" ht="14.25" thickBot="1">
      <c r="A61" s="1513" t="s">
        <v>1130</v>
      </c>
      <c r="B61" s="1507" t="s">
        <v>1320</v>
      </c>
      <c r="C61" s="2100">
        <v>8.8999999999999996E-2</v>
      </c>
      <c r="D61" s="2100">
        <v>9.8000000000000004E-2</v>
      </c>
      <c r="E61" s="2100">
        <v>8.7999999999999995E-2</v>
      </c>
      <c r="F61" s="2112"/>
    </row>
    <row r="62" spans="1:6" ht="14.25" thickBot="1">
      <c r="A62" s="1513" t="s">
        <v>1130</v>
      </c>
      <c r="B62" s="1507" t="s">
        <v>1331</v>
      </c>
      <c r="C62" s="2100">
        <v>9.8000000000000004E-2</v>
      </c>
      <c r="D62" s="2100">
        <v>9.2999999999999999E-2</v>
      </c>
      <c r="E62" s="2100">
        <v>9.7000000000000003E-2</v>
      </c>
      <c r="F62" s="2112"/>
    </row>
    <row r="63" spans="1:6" ht="14.25" thickBot="1">
      <c r="A63" s="1513" t="s">
        <v>1130</v>
      </c>
      <c r="B63" s="1507" t="s">
        <v>1342</v>
      </c>
      <c r="C63" s="2100">
        <v>9.6000000000000002E-2</v>
      </c>
      <c r="D63" s="2100">
        <v>9.8000000000000004E-2</v>
      </c>
      <c r="E63" s="2100">
        <v>0.09</v>
      </c>
      <c r="F63" s="2112"/>
    </row>
    <row r="64" spans="1:6" ht="14.25" thickBot="1">
      <c r="A64" s="1513" t="s">
        <v>1130</v>
      </c>
      <c r="B64" s="1507" t="s">
        <v>1352</v>
      </c>
      <c r="C64" s="2100">
        <v>9.9000000000000005E-2</v>
      </c>
      <c r="D64" s="2100">
        <v>9.7000000000000003E-2</v>
      </c>
      <c r="E64" s="2100">
        <v>9.9000000000000005E-2</v>
      </c>
      <c r="F64" s="2112"/>
    </row>
    <row r="65" spans="1:6" ht="14.25" thickBot="1">
      <c r="A65" s="1513" t="s">
        <v>1130</v>
      </c>
      <c r="B65" s="1507" t="s">
        <v>1362</v>
      </c>
      <c r="C65" s="2100">
        <v>9.8000000000000004E-2</v>
      </c>
      <c r="D65" s="2100">
        <v>9.6000000000000002E-2</v>
      </c>
      <c r="E65" s="2100">
        <v>9.6000000000000002E-2</v>
      </c>
      <c r="F65" s="2112"/>
    </row>
    <row r="66" spans="1:6" ht="14.25" thickBot="1">
      <c r="A66" s="1513" t="s">
        <v>1130</v>
      </c>
      <c r="B66" s="1507" t="s">
        <v>1372</v>
      </c>
      <c r="C66" s="2100">
        <v>9.6000000000000002E-2</v>
      </c>
      <c r="D66" s="2100">
        <v>9.1999999999999998E-2</v>
      </c>
      <c r="E66" s="2100">
        <v>9.6000000000000002E-2</v>
      </c>
      <c r="F66" s="2112"/>
    </row>
    <row r="67" spans="1:6" ht="14.25" thickBot="1">
      <c r="A67" s="1513" t="s">
        <v>1130</v>
      </c>
      <c r="B67" s="1507" t="s">
        <v>1382</v>
      </c>
      <c r="C67" s="2100">
        <v>9.4E-2</v>
      </c>
      <c r="D67" s="2100">
        <v>0.1</v>
      </c>
      <c r="E67" s="2100">
        <v>8.7999999999999995E-2</v>
      </c>
      <c r="F67" s="2112"/>
    </row>
    <row r="68" spans="1:6" ht="14.25" thickBot="1">
      <c r="A68" s="1513" t="s">
        <v>1130</v>
      </c>
      <c r="B68" s="1507" t="s">
        <v>1391</v>
      </c>
      <c r="C68" s="2100">
        <v>0.1</v>
      </c>
      <c r="D68" s="2100">
        <v>8.7999999999999995E-2</v>
      </c>
      <c r="E68" s="2100">
        <v>9.7000000000000003E-2</v>
      </c>
      <c r="F68" s="2112"/>
    </row>
    <row r="69" spans="1:6" ht="14.25" thickBot="1">
      <c r="A69" s="1513" t="s">
        <v>1130</v>
      </c>
      <c r="B69" s="1507" t="s">
        <v>1400</v>
      </c>
      <c r="C69" s="2100">
        <v>6.4000000000000001E-2</v>
      </c>
      <c r="D69" s="2100">
        <v>0.1</v>
      </c>
      <c r="E69" s="2100">
        <v>0.1</v>
      </c>
      <c r="F69" s="2112"/>
    </row>
    <row r="70" spans="1:6" ht="14.25" thickBot="1">
      <c r="A70" s="1513" t="s">
        <v>1130</v>
      </c>
      <c r="B70" s="1507" t="s">
        <v>1408</v>
      </c>
      <c r="C70" s="2100">
        <v>9.0999999999999998E-2</v>
      </c>
      <c r="D70" s="2113"/>
      <c r="E70" s="2113"/>
      <c r="F70" s="2112"/>
    </row>
    <row r="71" spans="1:6" ht="14.25" thickBot="1">
      <c r="A71" s="1513" t="s">
        <v>1130</v>
      </c>
      <c r="B71" s="1507" t="s">
        <v>1415</v>
      </c>
      <c r="C71" s="2100">
        <v>0.1</v>
      </c>
      <c r="D71" s="2113"/>
      <c r="E71" s="2113"/>
      <c r="F71" s="2112"/>
    </row>
    <row r="72" spans="1:6" ht="14.25" thickBot="1">
      <c r="A72" s="1513" t="s">
        <v>1130</v>
      </c>
      <c r="B72" s="1507" t="s">
        <v>2140</v>
      </c>
      <c r="C72" s="2113"/>
      <c r="D72" s="2113"/>
      <c r="E72" s="2113"/>
      <c r="F72" s="2101">
        <v>0.05</v>
      </c>
    </row>
    <row r="73" spans="1:6" ht="14.25" thickBot="1">
      <c r="A73" s="1513" t="s">
        <v>1130</v>
      </c>
      <c r="B73" s="1507" t="s">
        <v>2141</v>
      </c>
      <c r="C73" s="2113"/>
      <c r="D73" s="2113"/>
      <c r="E73" s="2113"/>
      <c r="F73" s="2101">
        <v>0.05</v>
      </c>
    </row>
    <row r="74" spans="1:6" ht="14.25" thickBot="1">
      <c r="A74" s="1513" t="s">
        <v>1130</v>
      </c>
      <c r="B74" s="1507" t="s">
        <v>2142</v>
      </c>
      <c r="C74" s="2113"/>
      <c r="D74" s="2113"/>
      <c r="E74" s="2113"/>
      <c r="F74" s="2101">
        <v>0.05</v>
      </c>
    </row>
    <row r="75" spans="1:6" ht="14.25" thickBot="1">
      <c r="A75" s="1523" t="s">
        <v>1130</v>
      </c>
      <c r="B75" s="1519" t="s">
        <v>2143</v>
      </c>
      <c r="C75" s="2110"/>
      <c r="D75" s="2110"/>
      <c r="E75" s="2110"/>
      <c r="F75" s="2103">
        <v>0.05</v>
      </c>
    </row>
    <row r="76" spans="1:6" ht="14.25" thickBot="1">
      <c r="A76" s="1513" t="s">
        <v>1530</v>
      </c>
      <c r="B76" s="1514" t="s">
        <v>2144</v>
      </c>
      <c r="C76" s="2098">
        <v>0.1</v>
      </c>
      <c r="D76" s="2098">
        <v>0.1</v>
      </c>
      <c r="E76" s="2098">
        <v>0.1</v>
      </c>
      <c r="F76" s="2099">
        <v>0.1</v>
      </c>
    </row>
    <row r="77" spans="1:6" ht="14.25" thickBot="1">
      <c r="A77" s="1513" t="s">
        <v>1530</v>
      </c>
      <c r="B77" s="1507" t="s">
        <v>1198</v>
      </c>
      <c r="C77" s="2100">
        <v>8.7999999999999995E-2</v>
      </c>
      <c r="D77" s="2100">
        <v>8.6999999999999994E-2</v>
      </c>
      <c r="E77" s="2100">
        <v>7.9000000000000001E-2</v>
      </c>
      <c r="F77" s="2101">
        <v>0.1</v>
      </c>
    </row>
    <row r="78" spans="1:6" ht="14.25" thickBot="1">
      <c r="A78" s="1513" t="s">
        <v>1530</v>
      </c>
      <c r="B78" s="1507" t="s">
        <v>1211</v>
      </c>
      <c r="C78" s="2100">
        <v>8.6999999999999994E-2</v>
      </c>
      <c r="D78" s="2100">
        <v>8.4000000000000005E-2</v>
      </c>
      <c r="E78" s="2100">
        <v>9.6000000000000002E-2</v>
      </c>
      <c r="F78" s="2101">
        <v>0.1</v>
      </c>
    </row>
    <row r="79" spans="1:6" ht="14.25" thickBot="1">
      <c r="A79" s="1513" t="s">
        <v>1530</v>
      </c>
      <c r="B79" s="1507" t="s">
        <v>1224</v>
      </c>
      <c r="C79" s="2100">
        <v>9.8000000000000004E-2</v>
      </c>
      <c r="D79" s="2100">
        <v>9.8000000000000004E-2</v>
      </c>
      <c r="E79" s="2100">
        <v>9.0999999999999998E-2</v>
      </c>
      <c r="F79" s="2101">
        <v>0.1</v>
      </c>
    </row>
    <row r="80" spans="1:6" ht="14.25" thickBot="1">
      <c r="A80" s="1513" t="s">
        <v>1530</v>
      </c>
      <c r="B80" s="1507" t="s">
        <v>1236</v>
      </c>
      <c r="C80" s="2100">
        <v>9.6000000000000002E-2</v>
      </c>
      <c r="D80" s="2100">
        <v>9.6000000000000002E-2</v>
      </c>
      <c r="E80" s="2100">
        <v>0.1</v>
      </c>
      <c r="F80" s="2101">
        <v>0.1</v>
      </c>
    </row>
    <row r="81" spans="1:6" ht="14.25" thickBot="1">
      <c r="A81" s="1513" t="s">
        <v>1530</v>
      </c>
      <c r="B81" s="1507" t="s">
        <v>1247</v>
      </c>
      <c r="C81" s="2100">
        <v>9.9000000000000005E-2</v>
      </c>
      <c r="D81" s="2100">
        <v>9.9000000000000005E-2</v>
      </c>
      <c r="E81" s="2100">
        <v>9.8000000000000004E-2</v>
      </c>
      <c r="F81" s="2101">
        <v>0.1</v>
      </c>
    </row>
    <row r="82" spans="1:6" ht="14.25" thickBot="1">
      <c r="A82" s="1513" t="s">
        <v>1530</v>
      </c>
      <c r="B82" s="1507" t="s">
        <v>1258</v>
      </c>
      <c r="C82" s="2100">
        <v>9.9000000000000005E-2</v>
      </c>
      <c r="D82" s="2100">
        <v>9.9000000000000005E-2</v>
      </c>
      <c r="E82" s="2100">
        <v>9.7000000000000003E-2</v>
      </c>
      <c r="F82" s="2101">
        <v>0.1</v>
      </c>
    </row>
    <row r="83" spans="1:6" ht="14.25" thickBot="1">
      <c r="A83" s="1513" t="s">
        <v>1530</v>
      </c>
      <c r="B83" s="1507" t="s">
        <v>1269</v>
      </c>
      <c r="C83" s="2100">
        <v>9.8000000000000004E-2</v>
      </c>
      <c r="D83" s="2100">
        <v>9.8000000000000004E-2</v>
      </c>
      <c r="E83" s="2100">
        <v>9.8000000000000004E-2</v>
      </c>
      <c r="F83" s="2101">
        <v>0.1</v>
      </c>
    </row>
    <row r="84" spans="1:6" ht="14.25" thickBot="1">
      <c r="A84" s="1513" t="s">
        <v>1530</v>
      </c>
      <c r="B84" s="1507" t="s">
        <v>1281</v>
      </c>
      <c r="C84" s="2100">
        <v>9.9000000000000005E-2</v>
      </c>
      <c r="D84" s="2100">
        <v>9.9000000000000005E-2</v>
      </c>
      <c r="E84" s="2100">
        <v>9.9000000000000005E-2</v>
      </c>
      <c r="F84" s="2101">
        <v>0.1</v>
      </c>
    </row>
    <row r="85" spans="1:6" ht="14.25" thickBot="1">
      <c r="A85" s="1513" t="s">
        <v>1530</v>
      </c>
      <c r="B85" s="1507" t="s">
        <v>1291</v>
      </c>
      <c r="C85" s="2100">
        <v>9.9000000000000005E-2</v>
      </c>
      <c r="D85" s="2100">
        <v>9.9000000000000005E-2</v>
      </c>
      <c r="E85" s="2100">
        <v>9.9000000000000005E-2</v>
      </c>
      <c r="F85" s="2101">
        <v>0.1</v>
      </c>
    </row>
    <row r="86" spans="1:6" ht="14.25" thickBot="1">
      <c r="A86" s="1513" t="s">
        <v>1530</v>
      </c>
      <c r="B86" s="1507" t="s">
        <v>1301</v>
      </c>
      <c r="C86" s="2100">
        <v>0.1</v>
      </c>
      <c r="D86" s="2100">
        <v>0.1</v>
      </c>
      <c r="E86" s="2100">
        <v>7.6999999999999999E-2</v>
      </c>
      <c r="F86" s="2101">
        <v>0.1</v>
      </c>
    </row>
    <row r="87" spans="1:6" ht="14.25" thickBot="1">
      <c r="A87" s="1513" t="s">
        <v>1530</v>
      </c>
      <c r="B87" s="1507" t="s">
        <v>1311</v>
      </c>
      <c r="C87" s="2100">
        <v>0.1</v>
      </c>
      <c r="D87" s="2100">
        <v>0.1</v>
      </c>
      <c r="E87" s="2100">
        <v>9.8000000000000004E-2</v>
      </c>
      <c r="F87" s="2112"/>
    </row>
    <row r="88" spans="1:6" ht="14.25" thickBot="1">
      <c r="A88" s="1513" t="s">
        <v>1530</v>
      </c>
      <c r="B88" s="1507" t="s">
        <v>1321</v>
      </c>
      <c r="C88" s="2100">
        <v>9.1999999999999998E-2</v>
      </c>
      <c r="D88" s="2100">
        <v>8.5000000000000006E-2</v>
      </c>
      <c r="E88" s="2100">
        <v>9.6000000000000002E-2</v>
      </c>
      <c r="F88" s="2112"/>
    </row>
    <row r="89" spans="1:6" ht="14.25" thickBot="1">
      <c r="A89" s="1513" t="s">
        <v>1530</v>
      </c>
      <c r="B89" s="1507" t="s">
        <v>1332</v>
      </c>
      <c r="C89" s="2100">
        <v>0.1</v>
      </c>
      <c r="D89" s="2100">
        <v>0.1</v>
      </c>
      <c r="E89" s="2100">
        <v>9.7000000000000003E-2</v>
      </c>
      <c r="F89" s="2112"/>
    </row>
    <row r="90" spans="1:6" ht="14.25" thickBot="1">
      <c r="A90" s="1513" t="s">
        <v>1530</v>
      </c>
      <c r="B90" s="1507" t="s">
        <v>1343</v>
      </c>
      <c r="C90" s="2100">
        <v>9.8000000000000004E-2</v>
      </c>
      <c r="D90" s="2100">
        <v>9.8000000000000004E-2</v>
      </c>
      <c r="E90" s="2100">
        <v>8.7999999999999995E-2</v>
      </c>
      <c r="F90" s="2112"/>
    </row>
    <row r="91" spans="1:6" ht="14.25" thickBot="1">
      <c r="A91" s="1513" t="s">
        <v>1530</v>
      </c>
      <c r="B91" s="1507" t="s">
        <v>1353</v>
      </c>
      <c r="C91" s="2100">
        <v>9.9000000000000005E-2</v>
      </c>
      <c r="D91" s="2100">
        <v>9.9000000000000005E-2</v>
      </c>
      <c r="E91" s="2100">
        <v>9.0999999999999998E-2</v>
      </c>
      <c r="F91" s="2112"/>
    </row>
    <row r="92" spans="1:6" ht="14.25" thickBot="1">
      <c r="A92" s="1513" t="s">
        <v>1530</v>
      </c>
      <c r="B92" s="1507" t="s">
        <v>1363</v>
      </c>
      <c r="C92" s="2100">
        <v>9.6000000000000002E-2</v>
      </c>
      <c r="D92" s="2100">
        <v>9.6000000000000002E-2</v>
      </c>
      <c r="E92" s="2100">
        <v>7.2999999999999995E-2</v>
      </c>
      <c r="F92" s="2112"/>
    </row>
    <row r="93" spans="1:6" ht="14.25" thickBot="1">
      <c r="A93" s="1513" t="s">
        <v>1530</v>
      </c>
      <c r="B93" s="1507" t="s">
        <v>1373</v>
      </c>
      <c r="C93" s="2100">
        <v>9.6000000000000002E-2</v>
      </c>
      <c r="D93" s="2100">
        <v>9.6000000000000002E-2</v>
      </c>
      <c r="E93" s="2100">
        <v>9.9000000000000005E-2</v>
      </c>
      <c r="F93" s="2112"/>
    </row>
    <row r="94" spans="1:6" ht="14.25" thickBot="1">
      <c r="A94" s="1513" t="s">
        <v>1530</v>
      </c>
      <c r="B94" s="1507" t="s">
        <v>1383</v>
      </c>
      <c r="C94" s="2100">
        <v>7.5999999999999998E-2</v>
      </c>
      <c r="D94" s="2100">
        <v>7.3999999999999996E-2</v>
      </c>
      <c r="E94" s="2100">
        <v>9.7000000000000003E-2</v>
      </c>
      <c r="F94" s="2112"/>
    </row>
    <row r="95" spans="1:6" ht="14.25" thickBot="1">
      <c r="A95" s="1513" t="s">
        <v>1530</v>
      </c>
      <c r="B95" s="1507" t="s">
        <v>1392</v>
      </c>
      <c r="C95" s="2100">
        <v>9.9000000000000005E-2</v>
      </c>
      <c r="D95" s="2100">
        <v>9.4E-2</v>
      </c>
      <c r="E95" s="2100">
        <v>9.6000000000000002E-2</v>
      </c>
      <c r="F95" s="2112"/>
    </row>
    <row r="96" spans="1:6" ht="14.25" thickBot="1">
      <c r="A96" s="1513" t="s">
        <v>1530</v>
      </c>
      <c r="B96" s="1507" t="s">
        <v>1401</v>
      </c>
      <c r="C96" s="2100">
        <v>9.9000000000000005E-2</v>
      </c>
      <c r="D96" s="2100">
        <v>9.9000000000000005E-2</v>
      </c>
      <c r="E96" s="2100">
        <v>9.9000000000000005E-2</v>
      </c>
      <c r="F96" s="2112"/>
    </row>
    <row r="97" spans="1:6" ht="14.25" thickBot="1">
      <c r="A97" s="1513" t="s">
        <v>1530</v>
      </c>
      <c r="B97" s="1507" t="s">
        <v>1409</v>
      </c>
      <c r="C97" s="2100">
        <v>9.8000000000000004E-2</v>
      </c>
      <c r="D97" s="2100">
        <v>9.8000000000000004E-2</v>
      </c>
      <c r="E97" s="2100">
        <v>9.7000000000000003E-2</v>
      </c>
      <c r="F97" s="2112"/>
    </row>
    <row r="98" spans="1:6" ht="14.25" thickBot="1">
      <c r="A98" s="1513" t="s">
        <v>1530</v>
      </c>
      <c r="B98" s="1507" t="s">
        <v>1416</v>
      </c>
      <c r="C98" s="2100">
        <v>0.1</v>
      </c>
      <c r="D98" s="2100">
        <v>0.1</v>
      </c>
      <c r="E98" s="2100">
        <v>9.7000000000000003E-2</v>
      </c>
      <c r="F98" s="2112"/>
    </row>
    <row r="99" spans="1:6" ht="14.25" thickBot="1">
      <c r="A99" s="1513" t="s">
        <v>1530</v>
      </c>
      <c r="B99" s="1507" t="s">
        <v>1423</v>
      </c>
      <c r="C99" s="2100">
        <v>0.1</v>
      </c>
      <c r="D99" s="2100">
        <v>0.1</v>
      </c>
      <c r="E99" s="2113"/>
      <c r="F99" s="2112"/>
    </row>
    <row r="100" spans="1:6" ht="14.25" thickBot="1">
      <c r="A100" s="1513" t="s">
        <v>1530</v>
      </c>
      <c r="B100" s="1507" t="s">
        <v>1430</v>
      </c>
      <c r="C100" s="2100">
        <v>0.09</v>
      </c>
      <c r="D100" s="2100">
        <v>8.8999999999999996E-2</v>
      </c>
      <c r="E100" s="2113"/>
      <c r="F100" s="2112"/>
    </row>
    <row r="101" spans="1:6" ht="14.25" thickBot="1">
      <c r="A101" s="1513" t="s">
        <v>1530</v>
      </c>
      <c r="B101" s="1507" t="s">
        <v>1437</v>
      </c>
      <c r="C101" s="2100">
        <v>9.8000000000000004E-2</v>
      </c>
      <c r="D101" s="2100">
        <v>9.7000000000000003E-2</v>
      </c>
      <c r="E101" s="2113"/>
      <c r="F101" s="2112"/>
    </row>
    <row r="102" spans="1:6" ht="14.25" thickBot="1">
      <c r="A102" s="1513" t="s">
        <v>1530</v>
      </c>
      <c r="B102" s="1507" t="s">
        <v>2145</v>
      </c>
      <c r="C102" s="2113"/>
      <c r="D102" s="2113"/>
      <c r="E102" s="2113"/>
      <c r="F102" s="2101">
        <v>0.05</v>
      </c>
    </row>
    <row r="103" spans="1:6" ht="24.75" thickBot="1">
      <c r="A103" s="1513" t="s">
        <v>1530</v>
      </c>
      <c r="B103" s="1507" t="s">
        <v>2146</v>
      </c>
      <c r="C103" s="2113"/>
      <c r="D103" s="2113"/>
      <c r="E103" s="2113"/>
      <c r="F103" s="2101">
        <v>0.05</v>
      </c>
    </row>
    <row r="104" spans="1:6" ht="14.25" thickBot="1">
      <c r="A104" s="1513" t="s">
        <v>1530</v>
      </c>
      <c r="B104" s="1507" t="s">
        <v>2147</v>
      </c>
      <c r="C104" s="2113"/>
      <c r="D104" s="2113"/>
      <c r="E104" s="2113"/>
      <c r="F104" s="2101">
        <v>0.05</v>
      </c>
    </row>
    <row r="105" spans="1:6" ht="14.25" thickBot="1">
      <c r="A105" s="1513" t="s">
        <v>1530</v>
      </c>
      <c r="B105" s="1507" t="s">
        <v>2148</v>
      </c>
      <c r="C105" s="2113"/>
      <c r="D105" s="2113"/>
      <c r="E105" s="2113"/>
      <c r="F105" s="2101">
        <v>0.05</v>
      </c>
    </row>
    <row r="106" spans="1:6" ht="14.25" thickBot="1">
      <c r="A106" s="1513" t="s">
        <v>1530</v>
      </c>
      <c r="B106" s="1507" t="s">
        <v>2149</v>
      </c>
      <c r="C106" s="2113"/>
      <c r="D106" s="2113"/>
      <c r="E106" s="2113"/>
      <c r="F106" s="2101">
        <v>0.05</v>
      </c>
    </row>
    <row r="107" spans="1:6" ht="24.75" thickBot="1">
      <c r="A107" s="1513" t="s">
        <v>1530</v>
      </c>
      <c r="B107" s="1507" t="s">
        <v>2150</v>
      </c>
      <c r="C107" s="2113"/>
      <c r="D107" s="2113"/>
      <c r="E107" s="2113"/>
      <c r="F107" s="2101">
        <v>0.05</v>
      </c>
    </row>
    <row r="108" spans="1:6" ht="24.75" thickBot="1">
      <c r="A108" s="1513" t="s">
        <v>1530</v>
      </c>
      <c r="B108" s="1507" t="s">
        <v>2151</v>
      </c>
      <c r="C108" s="2113"/>
      <c r="D108" s="2113"/>
      <c r="E108" s="2113"/>
      <c r="F108" s="2101">
        <v>0.05</v>
      </c>
    </row>
    <row r="109" spans="1:6" ht="24.75" thickBot="1">
      <c r="A109" s="1523" t="s">
        <v>1530</v>
      </c>
      <c r="B109" s="1519" t="s">
        <v>2152</v>
      </c>
      <c r="C109" s="2110"/>
      <c r="D109" s="2110"/>
      <c r="E109" s="2110"/>
      <c r="F109" s="2103">
        <v>0.05</v>
      </c>
    </row>
    <row r="110" spans="1:6" ht="14.25" thickBot="1">
      <c r="A110" s="1513" t="s">
        <v>202</v>
      </c>
      <c r="B110" s="1514" t="s">
        <v>2153</v>
      </c>
      <c r="C110" s="2098">
        <v>0.129</v>
      </c>
      <c r="D110" s="2098">
        <v>0.129</v>
      </c>
      <c r="E110" s="2098">
        <v>0.126</v>
      </c>
      <c r="F110" s="2099">
        <v>0.13</v>
      </c>
    </row>
    <row r="111" spans="1:6" ht="14.25" thickBot="1">
      <c r="A111" s="1513" t="s">
        <v>202</v>
      </c>
      <c r="B111" s="1507" t="s">
        <v>1199</v>
      </c>
      <c r="C111" s="2100">
        <v>0.11</v>
      </c>
      <c r="D111" s="2100">
        <v>0.11</v>
      </c>
      <c r="E111" s="2100">
        <v>9.9000000000000005E-2</v>
      </c>
      <c r="F111" s="2101">
        <v>0.128</v>
      </c>
    </row>
    <row r="112" spans="1:6" ht="14.25" thickBot="1">
      <c r="A112" s="1513" t="s">
        <v>202</v>
      </c>
      <c r="B112" s="1507" t="s">
        <v>1212</v>
      </c>
      <c r="C112" s="2100">
        <v>0.125</v>
      </c>
      <c r="D112" s="2100">
        <v>0.125</v>
      </c>
      <c r="E112" s="2100">
        <v>0.12</v>
      </c>
      <c r="F112" s="2101">
        <v>0.125</v>
      </c>
    </row>
    <row r="113" spans="1:6" ht="14.25" thickBot="1">
      <c r="A113" s="1513" t="s">
        <v>202</v>
      </c>
      <c r="B113" s="1507" t="s">
        <v>1225</v>
      </c>
      <c r="C113" s="2100">
        <v>0.13</v>
      </c>
      <c r="D113" s="2100">
        <v>0.13</v>
      </c>
      <c r="E113" s="2100">
        <v>0.13</v>
      </c>
      <c r="F113" s="2101">
        <v>0.13</v>
      </c>
    </row>
    <row r="114" spans="1:6" ht="14.25" thickBot="1">
      <c r="A114" s="1513" t="s">
        <v>202</v>
      </c>
      <c r="B114" s="1507" t="s">
        <v>1237</v>
      </c>
      <c r="C114" s="2100">
        <v>0.123</v>
      </c>
      <c r="D114" s="2100">
        <v>0.123</v>
      </c>
      <c r="E114" s="2100">
        <v>0.12</v>
      </c>
      <c r="F114" s="2101">
        <v>0.13</v>
      </c>
    </row>
    <row r="115" spans="1:6" ht="14.25" thickBot="1">
      <c r="A115" s="1513" t="s">
        <v>202</v>
      </c>
      <c r="B115" s="1507" t="s">
        <v>1248</v>
      </c>
      <c r="C115" s="2100">
        <v>0.125</v>
      </c>
      <c r="D115" s="2100">
        <v>0.125</v>
      </c>
      <c r="E115" s="2100">
        <v>0.11700000000000001</v>
      </c>
      <c r="F115" s="2101">
        <v>0.13</v>
      </c>
    </row>
    <row r="116" spans="1:6" ht="14.25" thickBot="1">
      <c r="A116" s="1513" t="s">
        <v>202</v>
      </c>
      <c r="B116" s="1507" t="s">
        <v>1259</v>
      </c>
      <c r="C116" s="2100">
        <v>0.11700000000000001</v>
      </c>
      <c r="D116" s="2100">
        <v>0.11700000000000001</v>
      </c>
      <c r="E116" s="2100">
        <v>8.7999999999999995E-2</v>
      </c>
      <c r="F116" s="2101">
        <v>0.13</v>
      </c>
    </row>
    <row r="117" spans="1:6" ht="14.25" thickBot="1">
      <c r="A117" s="1513" t="s">
        <v>202</v>
      </c>
      <c r="B117" s="1507" t="s">
        <v>1270</v>
      </c>
      <c r="C117" s="2100">
        <v>0.13</v>
      </c>
      <c r="D117" s="2100">
        <v>0.13</v>
      </c>
      <c r="E117" s="2100">
        <v>0.129</v>
      </c>
      <c r="F117" s="2101">
        <v>0.13</v>
      </c>
    </row>
    <row r="118" spans="1:6" ht="14.25" thickBot="1">
      <c r="A118" s="1513" t="s">
        <v>202</v>
      </c>
      <c r="B118" s="1507" t="s">
        <v>1282</v>
      </c>
      <c r="C118" s="2100">
        <v>0.123</v>
      </c>
      <c r="D118" s="2100">
        <v>0.123</v>
      </c>
      <c r="E118" s="2100">
        <v>0.11600000000000001</v>
      </c>
      <c r="F118" s="2101">
        <v>0.13</v>
      </c>
    </row>
    <row r="119" spans="1:6" ht="14.25" thickBot="1">
      <c r="A119" s="1513" t="s">
        <v>202</v>
      </c>
      <c r="B119" s="1507" t="s">
        <v>1292</v>
      </c>
      <c r="C119" s="2100">
        <v>0.127</v>
      </c>
      <c r="D119" s="2100">
        <v>0.127</v>
      </c>
      <c r="E119" s="2100">
        <v>0.124</v>
      </c>
      <c r="F119" s="2101">
        <v>0.13</v>
      </c>
    </row>
    <row r="120" spans="1:6" ht="14.25" thickBot="1">
      <c r="A120" s="1513" t="s">
        <v>202</v>
      </c>
      <c r="B120" s="1507" t="s">
        <v>1302</v>
      </c>
      <c r="C120" s="2100">
        <v>0.125</v>
      </c>
      <c r="D120" s="2100">
        <v>0.125</v>
      </c>
      <c r="E120" s="2100">
        <v>0.122</v>
      </c>
      <c r="F120" s="2101">
        <v>0.13</v>
      </c>
    </row>
    <row r="121" spans="1:6" ht="14.25" thickBot="1">
      <c r="A121" s="1513" t="s">
        <v>202</v>
      </c>
      <c r="B121" s="1507" t="s">
        <v>1312</v>
      </c>
      <c r="C121" s="2100">
        <v>0.13</v>
      </c>
      <c r="D121" s="2100">
        <v>0.13</v>
      </c>
      <c r="E121" s="2100">
        <v>0.13</v>
      </c>
      <c r="F121" s="2101">
        <v>0.13</v>
      </c>
    </row>
    <row r="122" spans="1:6" ht="14.25" thickBot="1">
      <c r="A122" s="1513" t="s">
        <v>202</v>
      </c>
      <c r="B122" s="1507" t="s">
        <v>1322</v>
      </c>
      <c r="C122" s="2100">
        <v>0.13</v>
      </c>
      <c r="D122" s="2100">
        <v>0.13</v>
      </c>
      <c r="E122" s="2100">
        <v>0.125</v>
      </c>
      <c r="F122" s="2101">
        <v>0.13</v>
      </c>
    </row>
    <row r="123" spans="1:6" ht="14.25" thickBot="1">
      <c r="A123" s="1513" t="s">
        <v>202</v>
      </c>
      <c r="B123" s="1507" t="s">
        <v>1333</v>
      </c>
      <c r="C123" s="2100">
        <v>0.129</v>
      </c>
      <c r="D123" s="2100">
        <v>0.129</v>
      </c>
      <c r="E123" s="2100">
        <v>0.123</v>
      </c>
      <c r="F123" s="2101">
        <v>0.13</v>
      </c>
    </row>
    <row r="124" spans="1:6" ht="14.25" thickBot="1">
      <c r="A124" s="1513" t="s">
        <v>202</v>
      </c>
      <c r="B124" s="1507" t="s">
        <v>1344</v>
      </c>
      <c r="C124" s="2100">
        <v>0.10199999999999999</v>
      </c>
      <c r="D124" s="2100">
        <v>0.10100000000000001</v>
      </c>
      <c r="E124" s="2100">
        <v>0.08</v>
      </c>
      <c r="F124" s="2112"/>
    </row>
    <row r="125" spans="1:6" ht="14.25" thickBot="1">
      <c r="A125" s="1513" t="s">
        <v>202</v>
      </c>
      <c r="B125" s="1507" t="s">
        <v>1354</v>
      </c>
      <c r="C125" s="2100">
        <v>0.13</v>
      </c>
      <c r="D125" s="2100">
        <v>0.13</v>
      </c>
      <c r="E125" s="2100">
        <v>0.129</v>
      </c>
      <c r="F125" s="2112"/>
    </row>
    <row r="126" spans="1:6" ht="14.25" thickBot="1">
      <c r="A126" s="1513" t="s">
        <v>202</v>
      </c>
      <c r="B126" s="1507" t="s">
        <v>1364</v>
      </c>
      <c r="C126" s="2100">
        <v>0.13</v>
      </c>
      <c r="D126" s="2100">
        <v>0.13</v>
      </c>
      <c r="E126" s="2100">
        <v>0.126</v>
      </c>
      <c r="F126" s="2112"/>
    </row>
    <row r="127" spans="1:6" ht="14.25" thickBot="1">
      <c r="A127" s="1513" t="s">
        <v>202</v>
      </c>
      <c r="B127" s="1507" t="s">
        <v>1374</v>
      </c>
      <c r="C127" s="2100">
        <v>0.125</v>
      </c>
      <c r="D127" s="2100">
        <v>0.125</v>
      </c>
      <c r="E127" s="2100">
        <v>0.121</v>
      </c>
      <c r="F127" s="2112"/>
    </row>
    <row r="128" spans="1:6" ht="14.25" thickBot="1">
      <c r="A128" s="1513" t="s">
        <v>202</v>
      </c>
      <c r="B128" s="1507" t="s">
        <v>1384</v>
      </c>
      <c r="C128" s="2100">
        <v>0.12</v>
      </c>
      <c r="D128" s="2100">
        <v>0.12</v>
      </c>
      <c r="E128" s="2100">
        <v>0.105</v>
      </c>
      <c r="F128" s="2112"/>
    </row>
    <row r="129" spans="1:6" ht="14.25" thickBot="1">
      <c r="A129" s="1513" t="s">
        <v>202</v>
      </c>
      <c r="B129" s="1507" t="s">
        <v>1393</v>
      </c>
      <c r="C129" s="2100">
        <v>0.13</v>
      </c>
      <c r="D129" s="2100">
        <v>0.13</v>
      </c>
      <c r="E129" s="2100">
        <v>0.126</v>
      </c>
      <c r="F129" s="2112"/>
    </row>
    <row r="130" spans="1:6" ht="14.25" thickBot="1">
      <c r="A130" s="1513" t="s">
        <v>202</v>
      </c>
      <c r="B130" s="1507" t="s">
        <v>1402</v>
      </c>
      <c r="C130" s="2100">
        <v>0.125</v>
      </c>
      <c r="D130" s="2100">
        <v>0.125</v>
      </c>
      <c r="E130" s="2100">
        <v>0.122</v>
      </c>
      <c r="F130" s="2112"/>
    </row>
    <row r="131" spans="1:6" ht="14.25" thickBot="1">
      <c r="A131" s="1513" t="s">
        <v>202</v>
      </c>
      <c r="B131" s="1507" t="s">
        <v>1410</v>
      </c>
      <c r="C131" s="2100">
        <v>0.127</v>
      </c>
      <c r="D131" s="2100">
        <v>0.126</v>
      </c>
      <c r="E131" s="2100">
        <v>0.123</v>
      </c>
      <c r="F131" s="2112"/>
    </row>
    <row r="132" spans="1:6" ht="14.25" thickBot="1">
      <c r="A132" s="1513" t="s">
        <v>202</v>
      </c>
      <c r="B132" s="1507" t="s">
        <v>1417</v>
      </c>
      <c r="C132" s="2100">
        <v>9.0999999999999998E-2</v>
      </c>
      <c r="D132" s="2100">
        <v>0.121</v>
      </c>
      <c r="E132" s="2100">
        <v>9.9000000000000005E-2</v>
      </c>
      <c r="F132" s="2112"/>
    </row>
    <row r="133" spans="1:6" ht="14.25" thickBot="1">
      <c r="A133" s="1513" t="s">
        <v>202</v>
      </c>
      <c r="B133" s="1507" t="s">
        <v>1424</v>
      </c>
      <c r="C133" s="2100">
        <v>0.13</v>
      </c>
      <c r="D133" s="2100">
        <v>0.13</v>
      </c>
      <c r="E133" s="2100">
        <v>0.129</v>
      </c>
      <c r="F133" s="2112"/>
    </row>
    <row r="134" spans="1:6" ht="14.25" thickBot="1">
      <c r="A134" s="1513" t="s">
        <v>202</v>
      </c>
      <c r="B134" s="1507" t="s">
        <v>2154</v>
      </c>
      <c r="C134" s="2100">
        <v>6.8000000000000005E-2</v>
      </c>
      <c r="D134" s="2100">
        <v>6.5000000000000002E-2</v>
      </c>
      <c r="E134" s="2100">
        <v>6.5000000000000002E-2</v>
      </c>
      <c r="F134" s="2101">
        <v>0.13</v>
      </c>
    </row>
    <row r="135" spans="1:6" ht="14.25" thickBot="1">
      <c r="A135" s="1513" t="s">
        <v>202</v>
      </c>
      <c r="B135" s="1507" t="s">
        <v>1438</v>
      </c>
      <c r="C135" s="2100">
        <v>0.123</v>
      </c>
      <c r="D135" s="2100">
        <v>0.123</v>
      </c>
      <c r="E135" s="2100">
        <v>0.11</v>
      </c>
      <c r="F135" s="2112"/>
    </row>
    <row r="136" spans="1:6" ht="14.25" thickBot="1">
      <c r="A136" s="1513" t="s">
        <v>202</v>
      </c>
      <c r="B136" s="1507" t="s">
        <v>1445</v>
      </c>
      <c r="C136" s="2100">
        <v>0.13</v>
      </c>
      <c r="D136" s="2100">
        <v>0.13</v>
      </c>
      <c r="E136" s="2100">
        <v>0.125</v>
      </c>
      <c r="F136" s="2112"/>
    </row>
    <row r="137" spans="1:6" ht="14.25" thickBot="1">
      <c r="A137" s="1513" t="s">
        <v>202</v>
      </c>
      <c r="B137" s="1507" t="s">
        <v>1452</v>
      </c>
      <c r="C137" s="2100">
        <v>0.121</v>
      </c>
      <c r="D137" s="2100">
        <v>0.122</v>
      </c>
      <c r="E137" s="2100">
        <v>0.115</v>
      </c>
      <c r="F137" s="2112"/>
    </row>
    <row r="138" spans="1:6" ht="14.25" thickBot="1">
      <c r="A138" s="1513" t="s">
        <v>202</v>
      </c>
      <c r="B138" s="1507" t="s">
        <v>2155</v>
      </c>
      <c r="C138" s="2100">
        <v>0.105</v>
      </c>
      <c r="D138" s="2100">
        <v>0.125</v>
      </c>
      <c r="E138" s="2100">
        <v>0.112</v>
      </c>
      <c r="F138" s="2112"/>
    </row>
    <row r="139" spans="1:6" ht="14.25" thickBot="1">
      <c r="A139" s="1513" t="s">
        <v>202</v>
      </c>
      <c r="B139" s="1507" t="s">
        <v>2156</v>
      </c>
      <c r="C139" s="2100">
        <v>0.127</v>
      </c>
      <c r="D139" s="2100">
        <v>0.127</v>
      </c>
      <c r="E139" s="2100">
        <v>0.122</v>
      </c>
      <c r="F139" s="2101">
        <v>0.13</v>
      </c>
    </row>
    <row r="140" spans="1:6" ht="14.25" thickBot="1">
      <c r="A140" s="1513" t="s">
        <v>202</v>
      </c>
      <c r="B140" s="1507" t="s">
        <v>2157</v>
      </c>
      <c r="C140" s="2100">
        <v>0.125</v>
      </c>
      <c r="D140" s="2100">
        <v>0.125</v>
      </c>
      <c r="E140" s="2100">
        <v>0.11899999999999999</v>
      </c>
      <c r="F140" s="2101">
        <v>0.13</v>
      </c>
    </row>
    <row r="141" spans="1:6" ht="14.25" thickBot="1">
      <c r="A141" s="1513" t="s">
        <v>202</v>
      </c>
      <c r="B141" s="1507" t="s">
        <v>1471</v>
      </c>
      <c r="C141" s="2100">
        <v>0.125</v>
      </c>
      <c r="D141" s="2100">
        <v>0.125</v>
      </c>
      <c r="E141" s="2100">
        <v>0.11700000000000001</v>
      </c>
      <c r="F141" s="2112"/>
    </row>
    <row r="142" spans="1:6" ht="14.25" thickBot="1">
      <c r="A142" s="1513" t="s">
        <v>202</v>
      </c>
      <c r="B142" s="1507" t="s">
        <v>1476</v>
      </c>
      <c r="C142" s="2100">
        <v>0.125</v>
      </c>
      <c r="D142" s="2100">
        <v>0.125</v>
      </c>
      <c r="E142" s="2100">
        <v>0.115</v>
      </c>
      <c r="F142" s="2112"/>
    </row>
    <row r="143" spans="1:6" ht="14.25" thickBot="1">
      <c r="A143" s="1513" t="s">
        <v>202</v>
      </c>
      <c r="B143" s="1507" t="s">
        <v>1481</v>
      </c>
      <c r="C143" s="2100">
        <v>0.121</v>
      </c>
      <c r="D143" s="2100">
        <v>0.121</v>
      </c>
      <c r="E143" s="2100">
        <v>0.108</v>
      </c>
      <c r="F143" s="2112"/>
    </row>
    <row r="144" spans="1:6" ht="14.25" thickBot="1">
      <c r="A144" s="1513" t="s">
        <v>202</v>
      </c>
      <c r="B144" s="2104" t="s">
        <v>2158</v>
      </c>
      <c r="C144" s="2105">
        <v>0.126</v>
      </c>
      <c r="D144" s="2105">
        <v>0.126</v>
      </c>
      <c r="E144" s="2105">
        <v>0.121</v>
      </c>
      <c r="F144" s="2112"/>
    </row>
    <row r="145" spans="1:6" ht="14.25" thickBot="1">
      <c r="A145" s="1523" t="s">
        <v>202</v>
      </c>
      <c r="B145" s="2106" t="s">
        <v>2159</v>
      </c>
      <c r="C145" s="2114"/>
      <c r="D145" s="2114"/>
      <c r="E145" s="2114"/>
      <c r="F145" s="2107">
        <v>0.05</v>
      </c>
    </row>
    <row r="146" spans="1:6" ht="24.75" thickBot="1">
      <c r="A146" s="2108" t="s">
        <v>202</v>
      </c>
      <c r="B146" s="1517" t="s">
        <v>2160</v>
      </c>
      <c r="C146" s="2113"/>
      <c r="D146" s="2113"/>
      <c r="E146" s="2113"/>
      <c r="F146" s="2109">
        <v>0.05</v>
      </c>
    </row>
    <row r="147" spans="1:6" ht="24.75" thickBot="1">
      <c r="A147" s="1513" t="s">
        <v>202</v>
      </c>
      <c r="B147" s="1507" t="s">
        <v>2161</v>
      </c>
      <c r="C147" s="2113"/>
      <c r="D147" s="2113"/>
      <c r="E147" s="2113"/>
      <c r="F147" s="2101">
        <v>0.05</v>
      </c>
    </row>
    <row r="148" spans="1:6" ht="24.75" thickBot="1">
      <c r="A148" s="1513" t="s">
        <v>202</v>
      </c>
      <c r="B148" s="1507" t="s">
        <v>2162</v>
      </c>
      <c r="C148" s="2113"/>
      <c r="D148" s="2113"/>
      <c r="E148" s="2113"/>
      <c r="F148" s="2101">
        <v>0.05</v>
      </c>
    </row>
    <row r="149" spans="1:6" ht="24.75" thickBot="1">
      <c r="A149" s="1513" t="s">
        <v>202</v>
      </c>
      <c r="B149" s="1507" t="s">
        <v>2163</v>
      </c>
      <c r="C149" s="2113"/>
      <c r="D149" s="2113"/>
      <c r="E149" s="2113"/>
      <c r="F149" s="2101">
        <v>0.05</v>
      </c>
    </row>
    <row r="150" spans="1:6" ht="24.75" thickBot="1">
      <c r="A150" s="1513" t="s">
        <v>202</v>
      </c>
      <c r="B150" s="1507" t="s">
        <v>2164</v>
      </c>
      <c r="C150" s="2113"/>
      <c r="D150" s="2113"/>
      <c r="E150" s="2113"/>
      <c r="F150" s="2101">
        <v>0.05</v>
      </c>
    </row>
    <row r="151" spans="1:6" ht="24.75" thickBot="1">
      <c r="A151" s="1513" t="s">
        <v>202</v>
      </c>
      <c r="B151" s="1507" t="s">
        <v>2165</v>
      </c>
      <c r="C151" s="2113"/>
      <c r="D151" s="2113"/>
      <c r="E151" s="2113"/>
      <c r="F151" s="2101">
        <v>0.05</v>
      </c>
    </row>
    <row r="152" spans="1:6" ht="24.75" thickBot="1">
      <c r="A152" s="1513" t="s">
        <v>202</v>
      </c>
      <c r="B152" s="1507" t="s">
        <v>1514</v>
      </c>
      <c r="C152" s="2113"/>
      <c r="D152" s="2113"/>
      <c r="E152" s="2113"/>
      <c r="F152" s="2101">
        <v>0.05</v>
      </c>
    </row>
    <row r="153" spans="1:6" ht="14.25" thickBot="1">
      <c r="A153" s="1513" t="s">
        <v>202</v>
      </c>
      <c r="B153" s="1507" t="s">
        <v>2166</v>
      </c>
      <c r="C153" s="2113"/>
      <c r="D153" s="2113"/>
      <c r="E153" s="2113"/>
      <c r="F153" s="2101">
        <v>0.05</v>
      </c>
    </row>
    <row r="154" spans="1:6" ht="14.25" thickBot="1">
      <c r="A154" s="1513" t="s">
        <v>202</v>
      </c>
      <c r="B154" s="1507" t="s">
        <v>2167</v>
      </c>
      <c r="C154" s="2113"/>
      <c r="D154" s="2113"/>
      <c r="E154" s="2113"/>
      <c r="F154" s="2101">
        <v>0.05</v>
      </c>
    </row>
    <row r="155" spans="1:6" ht="24.75" thickBot="1">
      <c r="A155" s="1513" t="s">
        <v>202</v>
      </c>
      <c r="B155" s="1507" t="s">
        <v>2168</v>
      </c>
      <c r="C155" s="2113"/>
      <c r="D155" s="2113"/>
      <c r="E155" s="2113"/>
      <c r="F155" s="2101">
        <v>0.05</v>
      </c>
    </row>
    <row r="156" spans="1:6" ht="24.75" thickBot="1">
      <c r="A156" s="1513" t="s">
        <v>202</v>
      </c>
      <c r="B156" s="1507" t="s">
        <v>2169</v>
      </c>
      <c r="C156" s="2113"/>
      <c r="D156" s="2113"/>
      <c r="E156" s="2113"/>
      <c r="F156" s="2101">
        <v>0.05</v>
      </c>
    </row>
    <row r="157" spans="1:6" ht="14.25" thickBot="1">
      <c r="A157" s="1523" t="s">
        <v>202</v>
      </c>
      <c r="B157" s="1519" t="s">
        <v>2170</v>
      </c>
      <c r="C157" s="2110"/>
      <c r="D157" s="2110"/>
      <c r="E157" s="2110"/>
      <c r="F157" s="2103">
        <v>0.05</v>
      </c>
    </row>
    <row r="158" spans="1:6" ht="14.25" thickBot="1">
      <c r="A158" s="1513" t="s">
        <v>1533</v>
      </c>
      <c r="B158" s="1514" t="s">
        <v>2171</v>
      </c>
      <c r="C158" s="2098">
        <v>0.13</v>
      </c>
      <c r="D158" s="2098">
        <v>0.13</v>
      </c>
      <c r="E158" s="2098">
        <v>0.13</v>
      </c>
      <c r="F158" s="2099">
        <v>0.13</v>
      </c>
    </row>
    <row r="159" spans="1:6" ht="14.25" thickBot="1">
      <c r="A159" s="1513" t="s">
        <v>1533</v>
      </c>
      <c r="B159" s="1507" t="s">
        <v>1200</v>
      </c>
      <c r="C159" s="2100">
        <v>0.13</v>
      </c>
      <c r="D159" s="2100">
        <v>0.13</v>
      </c>
      <c r="E159" s="2100">
        <v>0.13</v>
      </c>
      <c r="F159" s="2101">
        <v>0.13</v>
      </c>
    </row>
    <row r="160" spans="1:6" ht="14.25" thickBot="1">
      <c r="A160" s="1513" t="s">
        <v>1533</v>
      </c>
      <c r="B160" s="1507" t="s">
        <v>1213</v>
      </c>
      <c r="C160" s="2100">
        <v>0.13</v>
      </c>
      <c r="D160" s="2100">
        <v>0.13</v>
      </c>
      <c r="E160" s="2100">
        <v>0.129</v>
      </c>
      <c r="F160" s="2101">
        <v>0.13</v>
      </c>
    </row>
    <row r="161" spans="1:6" ht="14.25" thickBot="1">
      <c r="A161" s="1513" t="s">
        <v>1533</v>
      </c>
      <c r="B161" s="1507" t="s">
        <v>1226</v>
      </c>
      <c r="C161" s="2100">
        <v>0.128</v>
      </c>
      <c r="D161" s="2100">
        <v>0.128</v>
      </c>
      <c r="E161" s="2100">
        <v>0.125</v>
      </c>
      <c r="F161" s="2101">
        <v>0.13</v>
      </c>
    </row>
    <row r="162" spans="1:6" ht="14.25" thickBot="1">
      <c r="A162" s="1513" t="s">
        <v>1533</v>
      </c>
      <c r="B162" s="1507" t="s">
        <v>1238</v>
      </c>
      <c r="C162" s="2100">
        <v>0.122</v>
      </c>
      <c r="D162" s="2100">
        <v>0.122</v>
      </c>
      <c r="E162" s="2100">
        <v>0.126</v>
      </c>
      <c r="F162" s="2101">
        <v>0.122</v>
      </c>
    </row>
    <row r="163" spans="1:6" ht="14.25" thickBot="1">
      <c r="A163" s="1513" t="s">
        <v>1533</v>
      </c>
      <c r="B163" s="1507" t="s">
        <v>1249</v>
      </c>
      <c r="C163" s="2100">
        <v>0.13</v>
      </c>
      <c r="D163" s="2100">
        <v>0.13</v>
      </c>
      <c r="E163" s="2100">
        <v>0.125</v>
      </c>
      <c r="F163" s="2101">
        <v>0.13</v>
      </c>
    </row>
    <row r="164" spans="1:6" ht="14.25" thickBot="1">
      <c r="A164" s="1513" t="s">
        <v>1533</v>
      </c>
      <c r="B164" s="1507" t="s">
        <v>1260</v>
      </c>
      <c r="C164" s="2100">
        <v>0.13</v>
      </c>
      <c r="D164" s="2100">
        <v>0.13</v>
      </c>
      <c r="E164" s="2100">
        <v>0.13</v>
      </c>
      <c r="F164" s="2101">
        <v>0.13</v>
      </c>
    </row>
    <row r="165" spans="1:6" ht="14.25" thickBot="1">
      <c r="A165" s="1513" t="s">
        <v>1533</v>
      </c>
      <c r="B165" s="1507" t="s">
        <v>1271</v>
      </c>
      <c r="C165" s="2100">
        <v>0.13</v>
      </c>
      <c r="D165" s="2100">
        <v>0.13</v>
      </c>
      <c r="E165" s="2100">
        <v>0.124</v>
      </c>
      <c r="F165" s="2101">
        <v>0.13</v>
      </c>
    </row>
    <row r="166" spans="1:6" ht="14.25" thickBot="1">
      <c r="A166" s="1513" t="s">
        <v>1533</v>
      </c>
      <c r="B166" s="1507" t="s">
        <v>1283</v>
      </c>
      <c r="C166" s="2100">
        <v>0.13</v>
      </c>
      <c r="D166" s="2100">
        <v>0.13</v>
      </c>
      <c r="E166" s="2100">
        <v>0.13</v>
      </c>
      <c r="F166" s="2101">
        <v>0.13</v>
      </c>
    </row>
    <row r="167" spans="1:6" ht="14.25" thickBot="1">
      <c r="A167" s="1513" t="s">
        <v>1533</v>
      </c>
      <c r="B167" s="1507" t="s">
        <v>1293</v>
      </c>
      <c r="C167" s="2100">
        <v>0.125</v>
      </c>
      <c r="D167" s="2100">
        <v>0.125</v>
      </c>
      <c r="E167" s="2100">
        <v>0.121</v>
      </c>
      <c r="F167" s="2112"/>
    </row>
    <row r="168" spans="1:6" ht="14.25" thickBot="1">
      <c r="A168" s="1513" t="s">
        <v>1533</v>
      </c>
      <c r="B168" s="1507" t="s">
        <v>1303</v>
      </c>
      <c r="C168" s="2100">
        <v>0.13</v>
      </c>
      <c r="D168" s="2100">
        <v>0.13</v>
      </c>
      <c r="E168" s="2100">
        <v>0.126</v>
      </c>
      <c r="F168" s="2112"/>
    </row>
    <row r="169" spans="1:6" ht="14.25" thickBot="1">
      <c r="A169" s="1513" t="s">
        <v>1533</v>
      </c>
      <c r="B169" s="1507" t="s">
        <v>1313</v>
      </c>
      <c r="C169" s="2100">
        <v>0.128</v>
      </c>
      <c r="D169" s="2100">
        <v>0.129</v>
      </c>
      <c r="E169" s="2100">
        <v>0.13</v>
      </c>
      <c r="F169" s="2112"/>
    </row>
    <row r="170" spans="1:6" ht="14.25" thickBot="1">
      <c r="A170" s="1513" t="s">
        <v>1533</v>
      </c>
      <c r="B170" s="1507" t="s">
        <v>1323</v>
      </c>
      <c r="C170" s="2100">
        <v>0.14099999999999999</v>
      </c>
      <c r="D170" s="2100">
        <v>0.13</v>
      </c>
      <c r="E170" s="2100">
        <v>0.125</v>
      </c>
      <c r="F170" s="2112"/>
    </row>
    <row r="171" spans="1:6" ht="14.25" thickBot="1">
      <c r="A171" s="1513" t="s">
        <v>1533</v>
      </c>
      <c r="B171" s="1507" t="s">
        <v>2172</v>
      </c>
      <c r="C171" s="2100">
        <v>0.127</v>
      </c>
      <c r="D171" s="2100">
        <v>0.126</v>
      </c>
      <c r="E171" s="2100">
        <v>0.126</v>
      </c>
      <c r="F171" s="2101">
        <v>0.11799999999999999</v>
      </c>
    </row>
    <row r="172" spans="1:6" ht="14.25" thickBot="1">
      <c r="A172" s="1513" t="s">
        <v>1533</v>
      </c>
      <c r="B172" s="1507" t="s">
        <v>2173</v>
      </c>
      <c r="C172" s="2100">
        <v>0.13</v>
      </c>
      <c r="D172" s="2100">
        <v>0.13</v>
      </c>
      <c r="E172" s="2100">
        <v>0.13</v>
      </c>
      <c r="F172" s="2112"/>
    </row>
    <row r="173" spans="1:6" ht="14.25" thickBot="1">
      <c r="A173" s="1513" t="s">
        <v>1533</v>
      </c>
      <c r="B173" s="1507" t="s">
        <v>1355</v>
      </c>
      <c r="C173" s="2100">
        <v>0.13</v>
      </c>
      <c r="D173" s="2100">
        <v>0.13</v>
      </c>
      <c r="E173" s="2100">
        <v>0.13</v>
      </c>
      <c r="F173" s="2112"/>
    </row>
    <row r="174" spans="1:6" ht="14.25" thickBot="1">
      <c r="A174" s="1513" t="s">
        <v>1533</v>
      </c>
      <c r="B174" s="1507" t="s">
        <v>2174</v>
      </c>
      <c r="C174" s="2100">
        <v>0.13</v>
      </c>
      <c r="D174" s="2100">
        <v>0.13</v>
      </c>
      <c r="E174" s="2100">
        <v>0.13</v>
      </c>
      <c r="F174" s="2101">
        <v>0.13</v>
      </c>
    </row>
    <row r="175" spans="1:6" ht="14.25" thickBot="1">
      <c r="A175" s="1513" t="s">
        <v>1533</v>
      </c>
      <c r="B175" s="1507" t="s">
        <v>2175</v>
      </c>
      <c r="C175" s="2100">
        <v>0.13</v>
      </c>
      <c r="D175" s="2100">
        <v>0.13</v>
      </c>
      <c r="E175" s="2100">
        <v>0.13</v>
      </c>
      <c r="F175" s="2101">
        <v>0.13</v>
      </c>
    </row>
    <row r="176" spans="1:6" ht="14.25" thickBot="1">
      <c r="A176" s="1513" t="s">
        <v>1533</v>
      </c>
      <c r="B176" s="1507" t="s">
        <v>1385</v>
      </c>
      <c r="C176" s="2100">
        <v>0.13</v>
      </c>
      <c r="D176" s="2100">
        <v>0.13</v>
      </c>
      <c r="E176" s="2100">
        <v>0.13</v>
      </c>
      <c r="F176" s="2101">
        <v>0.13</v>
      </c>
    </row>
    <row r="177" spans="1:6" ht="14.25" thickBot="1">
      <c r="A177" s="1513" t="s">
        <v>1533</v>
      </c>
      <c r="B177" s="1507" t="s">
        <v>2176</v>
      </c>
      <c r="C177" s="2100">
        <v>0.13</v>
      </c>
      <c r="D177" s="2100">
        <v>0.13</v>
      </c>
      <c r="E177" s="2100">
        <v>0.13</v>
      </c>
      <c r="F177" s="2101">
        <v>0.13</v>
      </c>
    </row>
    <row r="178" spans="1:6" ht="14.25" thickBot="1">
      <c r="A178" s="1513" t="s">
        <v>1533</v>
      </c>
      <c r="B178" s="1507" t="s">
        <v>1403</v>
      </c>
      <c r="C178" s="2100">
        <v>0.13</v>
      </c>
      <c r="D178" s="2100">
        <v>0.13</v>
      </c>
      <c r="E178" s="2100">
        <v>0.13</v>
      </c>
      <c r="F178" s="2101">
        <v>0.127</v>
      </c>
    </row>
    <row r="179" spans="1:6" ht="14.25" thickBot="1">
      <c r="A179" s="1513" t="s">
        <v>1533</v>
      </c>
      <c r="B179" s="1507" t="s">
        <v>1411</v>
      </c>
      <c r="C179" s="2100">
        <v>0.13</v>
      </c>
      <c r="D179" s="2100">
        <v>0.13</v>
      </c>
      <c r="E179" s="2100">
        <v>0.13</v>
      </c>
      <c r="F179" s="2112"/>
    </row>
    <row r="180" spans="1:6" ht="14.25" thickBot="1">
      <c r="A180" s="1513" t="s">
        <v>1533</v>
      </c>
      <c r="B180" s="1507" t="s">
        <v>2177</v>
      </c>
      <c r="C180" s="2100">
        <v>0.13</v>
      </c>
      <c r="D180" s="2100">
        <v>0.13</v>
      </c>
      <c r="E180" s="2100">
        <v>0.125</v>
      </c>
      <c r="F180" s="2101">
        <v>0.13</v>
      </c>
    </row>
    <row r="181" spans="1:6" ht="14.25" thickBot="1">
      <c r="A181" s="1513" t="s">
        <v>1533</v>
      </c>
      <c r="B181" s="1507" t="s">
        <v>1425</v>
      </c>
      <c r="C181" s="2100">
        <v>0.122</v>
      </c>
      <c r="D181" s="2100">
        <v>0.123</v>
      </c>
      <c r="E181" s="2100">
        <v>0.126</v>
      </c>
      <c r="F181" s="2101">
        <v>0.121</v>
      </c>
    </row>
    <row r="182" spans="1:6" ht="14.25" thickBot="1">
      <c r="A182" s="1513" t="s">
        <v>1533</v>
      </c>
      <c r="B182" s="1507" t="s">
        <v>1432</v>
      </c>
      <c r="C182" s="2100">
        <v>0.125</v>
      </c>
      <c r="D182" s="2100">
        <v>0.125</v>
      </c>
      <c r="E182" s="2100">
        <v>0.11700000000000001</v>
      </c>
      <c r="F182" s="2101">
        <v>0.13</v>
      </c>
    </row>
    <row r="183" spans="1:6" ht="14.25" thickBot="1">
      <c r="A183" s="1513" t="s">
        <v>1533</v>
      </c>
      <c r="B183" s="1507" t="s">
        <v>1439</v>
      </c>
      <c r="C183" s="2100">
        <v>0.127</v>
      </c>
      <c r="D183" s="2100">
        <v>0.127</v>
      </c>
      <c r="E183" s="2100">
        <v>0.128</v>
      </c>
      <c r="F183" s="2112"/>
    </row>
    <row r="184" spans="1:6" ht="14.25" thickBot="1">
      <c r="A184" s="1513" t="s">
        <v>1533</v>
      </c>
      <c r="B184" s="1507" t="s">
        <v>1446</v>
      </c>
      <c r="C184" s="2100">
        <v>0.125</v>
      </c>
      <c r="D184" s="2100">
        <v>0.125</v>
      </c>
      <c r="E184" s="2100">
        <v>0.127</v>
      </c>
      <c r="F184" s="2112"/>
    </row>
    <row r="185" spans="1:6" ht="14.25" thickBot="1">
      <c r="A185" s="1513" t="s">
        <v>1533</v>
      </c>
      <c r="B185" s="1507" t="s">
        <v>2178</v>
      </c>
      <c r="C185" s="2100">
        <v>0.127</v>
      </c>
      <c r="D185" s="2100">
        <v>0.127</v>
      </c>
      <c r="E185" s="2100">
        <v>0.128</v>
      </c>
      <c r="F185" s="2101">
        <v>0.13</v>
      </c>
    </row>
    <row r="186" spans="1:6" ht="24.75" thickBot="1">
      <c r="A186" s="1513" t="s">
        <v>1533</v>
      </c>
      <c r="B186" s="1507" t="s">
        <v>2179</v>
      </c>
      <c r="C186" s="2113"/>
      <c r="D186" s="2113"/>
      <c r="E186" s="2113"/>
      <c r="F186" s="2101">
        <v>0.05</v>
      </c>
    </row>
    <row r="187" spans="1:6" ht="14.25" thickBot="1">
      <c r="A187" s="1513" t="s">
        <v>1533</v>
      </c>
      <c r="B187" s="1507" t="s">
        <v>2180</v>
      </c>
      <c r="C187" s="2113"/>
      <c r="D187" s="2113"/>
      <c r="E187" s="2113"/>
      <c r="F187" s="2101">
        <v>0.05</v>
      </c>
    </row>
    <row r="188" spans="1:6" ht="14.25" thickBot="1">
      <c r="A188" s="1513" t="s">
        <v>1533</v>
      </c>
      <c r="B188" s="1507" t="s">
        <v>2181</v>
      </c>
      <c r="C188" s="2113"/>
      <c r="D188" s="2113"/>
      <c r="E188" s="2113"/>
      <c r="F188" s="2101">
        <v>0.05</v>
      </c>
    </row>
    <row r="189" spans="1:6" ht="24.75" thickBot="1">
      <c r="A189" s="1513" t="s">
        <v>1533</v>
      </c>
      <c r="B189" s="1507" t="s">
        <v>2182</v>
      </c>
      <c r="C189" s="2113"/>
      <c r="D189" s="2113"/>
      <c r="E189" s="2113"/>
      <c r="F189" s="2101">
        <v>0.05</v>
      </c>
    </row>
    <row r="190" spans="1:6" ht="24.75" thickBot="1">
      <c r="A190" s="1513" t="s">
        <v>1533</v>
      </c>
      <c r="B190" s="1507" t="s">
        <v>2183</v>
      </c>
      <c r="C190" s="2113"/>
      <c r="D190" s="2113"/>
      <c r="E190" s="2113"/>
      <c r="F190" s="2101">
        <v>0.05</v>
      </c>
    </row>
    <row r="191" spans="1:6" ht="24.75" thickBot="1">
      <c r="A191" s="1513" t="s">
        <v>1533</v>
      </c>
      <c r="B191" s="1507" t="s">
        <v>2184</v>
      </c>
      <c r="C191" s="2113"/>
      <c r="D191" s="2113"/>
      <c r="E191" s="2113"/>
      <c r="F191" s="2101">
        <v>0.05</v>
      </c>
    </row>
    <row r="192" spans="1:6" ht="24.75" thickBot="1">
      <c r="A192" s="1513" t="s">
        <v>1533</v>
      </c>
      <c r="B192" s="1507" t="s">
        <v>2185</v>
      </c>
      <c r="C192" s="2113"/>
      <c r="D192" s="2113"/>
      <c r="E192" s="2113"/>
      <c r="F192" s="2101">
        <v>0.05</v>
      </c>
    </row>
    <row r="193" spans="1:6" ht="24.75" thickBot="1">
      <c r="A193" s="1513" t="s">
        <v>1533</v>
      </c>
      <c r="B193" s="1507" t="s">
        <v>2186</v>
      </c>
      <c r="C193" s="2113"/>
      <c r="D193" s="2113"/>
      <c r="E193" s="2113"/>
      <c r="F193" s="2101">
        <v>0.05</v>
      </c>
    </row>
    <row r="194" spans="1:6" ht="24.75" thickBot="1">
      <c r="A194" s="1513" t="s">
        <v>1533</v>
      </c>
      <c r="B194" s="1507" t="s">
        <v>2187</v>
      </c>
      <c r="C194" s="2113"/>
      <c r="D194" s="2113"/>
      <c r="E194" s="2113"/>
      <c r="F194" s="2101">
        <v>0.05</v>
      </c>
    </row>
    <row r="195" spans="1:6" ht="14.25" thickBot="1">
      <c r="A195" s="1513" t="s">
        <v>1533</v>
      </c>
      <c r="B195" s="1507" t="s">
        <v>2188</v>
      </c>
      <c r="C195" s="2113"/>
      <c r="D195" s="2113"/>
      <c r="E195" s="2113"/>
      <c r="F195" s="2101">
        <v>0.05</v>
      </c>
    </row>
    <row r="196" spans="1:6" ht="24.75" thickBot="1">
      <c r="A196" s="1513" t="s">
        <v>1533</v>
      </c>
      <c r="B196" s="1507" t="s">
        <v>2189</v>
      </c>
      <c r="C196" s="2113"/>
      <c r="D196" s="2113"/>
      <c r="E196" s="2113"/>
      <c r="F196" s="2101">
        <v>0.05</v>
      </c>
    </row>
    <row r="197" spans="1:6" ht="24.75" thickBot="1">
      <c r="A197" s="1513" t="s">
        <v>1533</v>
      </c>
      <c r="B197" s="1507" t="s">
        <v>2190</v>
      </c>
      <c r="C197" s="2113"/>
      <c r="D197" s="2113"/>
      <c r="E197" s="2113"/>
      <c r="F197" s="2101">
        <v>0.05</v>
      </c>
    </row>
    <row r="198" spans="1:6" ht="24.75" thickBot="1">
      <c r="A198" s="1513" t="s">
        <v>1533</v>
      </c>
      <c r="B198" s="1507" t="s">
        <v>2191</v>
      </c>
      <c r="C198" s="2113"/>
      <c r="D198" s="2113"/>
      <c r="E198" s="2113"/>
      <c r="F198" s="2101">
        <v>0.05</v>
      </c>
    </row>
    <row r="199" spans="1:6" ht="24.75" thickBot="1">
      <c r="A199" s="1513" t="s">
        <v>1533</v>
      </c>
      <c r="B199" s="1507" t="s">
        <v>2192</v>
      </c>
      <c r="C199" s="2113"/>
      <c r="D199" s="2113"/>
      <c r="E199" s="2113"/>
      <c r="F199" s="2101">
        <v>0.05</v>
      </c>
    </row>
    <row r="200" spans="1:6" ht="24.75" thickBot="1">
      <c r="A200" s="1513" t="s">
        <v>1533</v>
      </c>
      <c r="B200" s="1507" t="s">
        <v>2193</v>
      </c>
      <c r="C200" s="2113"/>
      <c r="D200" s="2113"/>
      <c r="E200" s="2113"/>
      <c r="F200" s="2101">
        <v>0.05</v>
      </c>
    </row>
    <row r="201" spans="1:6" ht="24.75" thickBot="1">
      <c r="A201" s="1513" t="s">
        <v>1533</v>
      </c>
      <c r="B201" s="1507" t="s">
        <v>2194</v>
      </c>
      <c r="C201" s="2113"/>
      <c r="D201" s="2113"/>
      <c r="E201" s="2113"/>
      <c r="F201" s="2101">
        <v>0.05</v>
      </c>
    </row>
    <row r="202" spans="1:6" ht="24.75" thickBot="1">
      <c r="A202" s="1513" t="s">
        <v>1533</v>
      </c>
      <c r="B202" s="1507" t="s">
        <v>2195</v>
      </c>
      <c r="C202" s="2113"/>
      <c r="D202" s="2113"/>
      <c r="E202" s="2113"/>
      <c r="F202" s="2101">
        <v>0.05</v>
      </c>
    </row>
    <row r="203" spans="1:6" ht="24.75" thickBot="1">
      <c r="A203" s="1513" t="s">
        <v>1533</v>
      </c>
      <c r="B203" s="1507" t="s">
        <v>2196</v>
      </c>
      <c r="C203" s="2113"/>
      <c r="D203" s="2113"/>
      <c r="E203" s="2113"/>
      <c r="F203" s="2101">
        <v>0.05</v>
      </c>
    </row>
    <row r="204" spans="1:6" ht="14.25" thickBot="1">
      <c r="A204" s="1513" t="s">
        <v>1533</v>
      </c>
      <c r="B204" s="1507" t="s">
        <v>2197</v>
      </c>
      <c r="C204" s="2113"/>
      <c r="D204" s="2113"/>
      <c r="E204" s="2113"/>
      <c r="F204" s="2101">
        <v>0.05</v>
      </c>
    </row>
    <row r="205" spans="1:6" ht="14.25" thickBot="1">
      <c r="A205" s="1523" t="s">
        <v>1533</v>
      </c>
      <c r="B205" s="1519" t="s">
        <v>2198</v>
      </c>
      <c r="C205" s="2110"/>
      <c r="D205" s="2110"/>
      <c r="E205" s="2110"/>
      <c r="F205" s="2103">
        <v>0.05</v>
      </c>
    </row>
    <row r="206" spans="1:6" ht="14.25" thickBot="1">
      <c r="A206" s="1513" t="s">
        <v>1535</v>
      </c>
      <c r="B206" s="1514" t="s">
        <v>2199</v>
      </c>
      <c r="C206" s="2098">
        <v>0.15</v>
      </c>
      <c r="D206" s="2098">
        <v>0.15</v>
      </c>
      <c r="E206" s="2098">
        <v>0.15</v>
      </c>
      <c r="F206" s="2099">
        <v>0.15</v>
      </c>
    </row>
    <row r="207" spans="1:6" ht="14.25" thickBot="1">
      <c r="A207" s="1513" t="s">
        <v>1535</v>
      </c>
      <c r="B207" s="1507" t="s">
        <v>1201</v>
      </c>
      <c r="C207" s="2100">
        <v>0.15</v>
      </c>
      <c r="D207" s="2100">
        <v>0.15</v>
      </c>
      <c r="E207" s="2100">
        <v>0.15</v>
      </c>
      <c r="F207" s="2101">
        <v>0.14399999999999999</v>
      </c>
    </row>
    <row r="208" spans="1:6" ht="14.25" thickBot="1">
      <c r="A208" s="1513" t="s">
        <v>1535</v>
      </c>
      <c r="B208" s="1507" t="s">
        <v>1214</v>
      </c>
      <c r="C208" s="2100">
        <v>0.15</v>
      </c>
      <c r="D208" s="2100">
        <v>0.15</v>
      </c>
      <c r="E208" s="2100">
        <v>0.15</v>
      </c>
      <c r="F208" s="2101">
        <v>0.15</v>
      </c>
    </row>
    <row r="209" spans="1:6" ht="14.25" thickBot="1">
      <c r="A209" s="1513" t="s">
        <v>1535</v>
      </c>
      <c r="B209" s="1507" t="s">
        <v>1227</v>
      </c>
      <c r="C209" s="2100">
        <v>0.13700000000000001</v>
      </c>
      <c r="D209" s="2100">
        <v>0.13700000000000001</v>
      </c>
      <c r="E209" s="2100">
        <v>0.14000000000000001</v>
      </c>
      <c r="F209" s="2101">
        <v>0.11700000000000001</v>
      </c>
    </row>
    <row r="210" spans="1:6" ht="14.25" thickBot="1">
      <c r="A210" s="1513" t="s">
        <v>1535</v>
      </c>
      <c r="B210" s="1507" t="s">
        <v>2200</v>
      </c>
      <c r="C210" s="2100">
        <v>0.15</v>
      </c>
      <c r="D210" s="2100">
        <v>0.15</v>
      </c>
      <c r="E210" s="2100">
        <v>0.15</v>
      </c>
      <c r="F210" s="2101">
        <v>0.13800000000000001</v>
      </c>
    </row>
    <row r="211" spans="1:6" ht="14.25" thickBot="1">
      <c r="A211" s="1513" t="s">
        <v>1535</v>
      </c>
      <c r="B211" s="1507" t="s">
        <v>2201</v>
      </c>
      <c r="C211" s="2100">
        <v>0.13700000000000001</v>
      </c>
      <c r="D211" s="2100">
        <v>0.13500000000000001</v>
      </c>
      <c r="E211" s="2100">
        <v>0.13600000000000001</v>
      </c>
      <c r="F211" s="2101">
        <v>0.1</v>
      </c>
    </row>
    <row r="212" spans="1:6" ht="14.25" thickBot="1">
      <c r="A212" s="1513" t="s">
        <v>1535</v>
      </c>
      <c r="B212" s="1507" t="s">
        <v>2202</v>
      </c>
      <c r="C212" s="2100">
        <v>0.15</v>
      </c>
      <c r="D212" s="2100">
        <v>0.15</v>
      </c>
      <c r="E212" s="2100">
        <v>0.14799999999999999</v>
      </c>
      <c r="F212" s="2101">
        <v>0.13600000000000001</v>
      </c>
    </row>
    <row r="213" spans="1:6" ht="14.25" thickBot="1">
      <c r="A213" s="1513" t="s">
        <v>1535</v>
      </c>
      <c r="B213" s="1507" t="s">
        <v>1272</v>
      </c>
      <c r="C213" s="2100">
        <v>0.15</v>
      </c>
      <c r="D213" s="2100">
        <v>0.15</v>
      </c>
      <c r="E213" s="2100">
        <v>0.15</v>
      </c>
      <c r="F213" s="2101">
        <v>0.13800000000000001</v>
      </c>
    </row>
    <row r="214" spans="1:6" ht="14.25" thickBot="1">
      <c r="A214" s="1513" t="s">
        <v>1535</v>
      </c>
      <c r="B214" s="1507" t="s">
        <v>1284</v>
      </c>
      <c r="C214" s="2100">
        <v>9.0999999999999998E-2</v>
      </c>
      <c r="D214" s="2100">
        <v>0.09</v>
      </c>
      <c r="E214" s="2100">
        <v>9.1999999999999998E-2</v>
      </c>
      <c r="F214" s="2112"/>
    </row>
    <row r="215" spans="1:6" ht="14.25" thickBot="1">
      <c r="A215" s="1513" t="s">
        <v>1535</v>
      </c>
      <c r="B215" s="1507" t="s">
        <v>2203</v>
      </c>
      <c r="C215" s="2100">
        <v>0.15</v>
      </c>
      <c r="D215" s="2100">
        <v>0.15</v>
      </c>
      <c r="E215" s="2100">
        <v>0.15</v>
      </c>
      <c r="F215" s="2101">
        <v>0.15</v>
      </c>
    </row>
    <row r="216" spans="1:6" ht="14.25" thickBot="1">
      <c r="A216" s="1513" t="s">
        <v>1535</v>
      </c>
      <c r="B216" s="1507" t="s">
        <v>1304</v>
      </c>
      <c r="C216" s="2100">
        <v>0.14699999999999999</v>
      </c>
      <c r="D216" s="2100">
        <v>0.14699999999999999</v>
      </c>
      <c r="E216" s="2100">
        <v>0.15</v>
      </c>
      <c r="F216" s="2101">
        <v>0.14000000000000001</v>
      </c>
    </row>
    <row r="217" spans="1:6" ht="14.25" thickBot="1">
      <c r="A217" s="1513" t="s">
        <v>1535</v>
      </c>
      <c r="B217" s="1507" t="s">
        <v>1314</v>
      </c>
      <c r="C217" s="2100">
        <v>0.15</v>
      </c>
      <c r="D217" s="2100">
        <v>0.15</v>
      </c>
      <c r="E217" s="2100">
        <v>0.15</v>
      </c>
      <c r="F217" s="2101">
        <v>0.15</v>
      </c>
    </row>
    <row r="218" spans="1:6" ht="14.25" thickBot="1">
      <c r="A218" s="1513" t="s">
        <v>1535</v>
      </c>
      <c r="B218" s="1507" t="s">
        <v>2204</v>
      </c>
      <c r="C218" s="2100">
        <v>0.15</v>
      </c>
      <c r="D218" s="2100">
        <v>0.15</v>
      </c>
      <c r="E218" s="2100">
        <v>0.15</v>
      </c>
      <c r="F218" s="2101">
        <v>0.15</v>
      </c>
    </row>
    <row r="219" spans="1:6" ht="14.25" thickBot="1">
      <c r="A219" s="1513" t="s">
        <v>1535</v>
      </c>
      <c r="B219" s="1507" t="s">
        <v>1335</v>
      </c>
      <c r="C219" s="2100">
        <v>0.15</v>
      </c>
      <c r="D219" s="2100">
        <v>0.15</v>
      </c>
      <c r="E219" s="2100">
        <v>0.15</v>
      </c>
      <c r="F219" s="2101">
        <v>0.14799999999999999</v>
      </c>
    </row>
    <row r="220" spans="1:6" ht="14.25" thickBot="1">
      <c r="A220" s="1513" t="s">
        <v>1535</v>
      </c>
      <c r="B220" s="1507" t="s">
        <v>2205</v>
      </c>
      <c r="C220" s="2100">
        <v>0.15</v>
      </c>
      <c r="D220" s="2100">
        <v>0.15</v>
      </c>
      <c r="E220" s="2100">
        <v>0.15</v>
      </c>
      <c r="F220" s="2101">
        <v>0.15</v>
      </c>
    </row>
    <row r="221" spans="1:6" ht="14.25" thickBot="1">
      <c r="A221" s="1513" t="s">
        <v>1535</v>
      </c>
      <c r="B221" s="1507" t="s">
        <v>1356</v>
      </c>
      <c r="C221" s="2100"/>
      <c r="D221" s="2113"/>
      <c r="E221" s="2113"/>
      <c r="F221" s="2101">
        <v>0.14799999999999999</v>
      </c>
    </row>
    <row r="222" spans="1:6" ht="14.25" thickBot="1">
      <c r="A222" s="1513" t="s">
        <v>1535</v>
      </c>
      <c r="B222" s="1507" t="s">
        <v>1366</v>
      </c>
      <c r="C222" s="2100"/>
      <c r="D222" s="2113"/>
      <c r="E222" s="2113"/>
      <c r="F222" s="2101">
        <v>0.1</v>
      </c>
    </row>
    <row r="223" spans="1:6" ht="14.25" thickBot="1">
      <c r="A223" s="1513" t="s">
        <v>1535</v>
      </c>
      <c r="B223" s="1507" t="s">
        <v>1376</v>
      </c>
      <c r="C223" s="2100"/>
      <c r="D223" s="2113"/>
      <c r="E223" s="2113"/>
      <c r="F223" s="2101">
        <v>0.15</v>
      </c>
    </row>
    <row r="224" spans="1:6" ht="14.25" thickBot="1">
      <c r="A224" s="1513" t="s">
        <v>1535</v>
      </c>
      <c r="B224" s="1507" t="s">
        <v>1386</v>
      </c>
      <c r="C224" s="2100"/>
      <c r="D224" s="2113"/>
      <c r="E224" s="2113"/>
      <c r="F224" s="2101">
        <v>0.15</v>
      </c>
    </row>
    <row r="225" spans="1:6" ht="14.25" thickBot="1">
      <c r="A225" s="1513" t="s">
        <v>1535</v>
      </c>
      <c r="B225" s="1507" t="s">
        <v>2206</v>
      </c>
      <c r="C225" s="2100">
        <v>0.15</v>
      </c>
      <c r="D225" s="2100">
        <v>0.15</v>
      </c>
      <c r="E225" s="2100">
        <v>0.15</v>
      </c>
      <c r="F225" s="2101">
        <v>0.15</v>
      </c>
    </row>
    <row r="226" spans="1:6" ht="14.25" thickBot="1">
      <c r="A226" s="1513" t="s">
        <v>1535</v>
      </c>
      <c r="B226" s="1507" t="s">
        <v>1404</v>
      </c>
      <c r="C226" s="2100">
        <v>0.15</v>
      </c>
      <c r="D226" s="2100">
        <v>0.15</v>
      </c>
      <c r="E226" s="2100">
        <v>0.15</v>
      </c>
      <c r="F226" s="2101">
        <v>0.14799999999999999</v>
      </c>
    </row>
    <row r="227" spans="1:6" ht="14.25" thickBot="1">
      <c r="A227" s="1513" t="s">
        <v>1535</v>
      </c>
      <c r="B227" s="1507" t="s">
        <v>2207</v>
      </c>
      <c r="C227" s="2100">
        <v>0.15</v>
      </c>
      <c r="D227" s="2100">
        <v>0.15</v>
      </c>
      <c r="E227" s="2100">
        <v>0.15</v>
      </c>
      <c r="F227" s="2101">
        <v>0.15</v>
      </c>
    </row>
    <row r="228" spans="1:6" ht="14.25" thickBot="1">
      <c r="A228" s="1513" t="s">
        <v>1535</v>
      </c>
      <c r="B228" s="1507" t="s">
        <v>1419</v>
      </c>
      <c r="C228" s="2100">
        <v>0.15</v>
      </c>
      <c r="D228" s="2100">
        <v>0.15</v>
      </c>
      <c r="E228" s="2100">
        <v>0.15</v>
      </c>
      <c r="F228" s="2101">
        <v>0.15</v>
      </c>
    </row>
    <row r="229" spans="1:6" ht="14.25" thickBot="1">
      <c r="A229" s="1513" t="s">
        <v>1535</v>
      </c>
      <c r="B229" s="1507" t="s">
        <v>1426</v>
      </c>
      <c r="C229" s="2100">
        <v>0.15</v>
      </c>
      <c r="D229" s="2100">
        <v>0.15</v>
      </c>
      <c r="E229" s="2100">
        <v>0.15</v>
      </c>
      <c r="F229" s="2112"/>
    </row>
    <row r="230" spans="1:6" ht="14.25" thickBot="1">
      <c r="A230" s="1513" t="s">
        <v>1535</v>
      </c>
      <c r="B230" s="1507" t="s">
        <v>1433</v>
      </c>
      <c r="C230" s="2100">
        <v>0.14499999999999999</v>
      </c>
      <c r="D230" s="2100">
        <v>0.14499999999999999</v>
      </c>
      <c r="E230" s="2100">
        <v>0.14399999999999999</v>
      </c>
      <c r="F230" s="2112"/>
    </row>
    <row r="231" spans="1:6" ht="14.25" thickBot="1">
      <c r="A231" s="1513" t="s">
        <v>1535</v>
      </c>
      <c r="B231" s="1507" t="s">
        <v>2208</v>
      </c>
      <c r="C231" s="2100">
        <v>0.128</v>
      </c>
      <c r="D231" s="2100">
        <v>0.125</v>
      </c>
      <c r="E231" s="2100">
        <v>0.13200000000000001</v>
      </c>
      <c r="F231" s="2112"/>
    </row>
    <row r="232" spans="1:6" ht="14.25" thickBot="1">
      <c r="A232" s="1513" t="s">
        <v>1535</v>
      </c>
      <c r="B232" s="1507" t="s">
        <v>2209</v>
      </c>
      <c r="C232" s="2100">
        <v>0.14499999999999999</v>
      </c>
      <c r="D232" s="2100">
        <v>0.14399999999999999</v>
      </c>
      <c r="E232" s="2100">
        <v>0.14599999999999999</v>
      </c>
      <c r="F232" s="2101">
        <v>0.13800000000000001</v>
      </c>
    </row>
    <row r="233" spans="1:6" ht="14.25" thickBot="1">
      <c r="A233" s="1513" t="s">
        <v>1535</v>
      </c>
      <c r="B233" s="1507" t="s">
        <v>2210</v>
      </c>
      <c r="C233" s="2100">
        <v>0.14499999999999999</v>
      </c>
      <c r="D233" s="2100">
        <v>0.14299999999999999</v>
      </c>
      <c r="E233" s="2100">
        <v>0.14199999999999999</v>
      </c>
      <c r="F233" s="2112"/>
    </row>
    <row r="234" spans="1:6" ht="14.25" thickBot="1">
      <c r="A234" s="1513" t="s">
        <v>1535</v>
      </c>
      <c r="B234" s="1507" t="s">
        <v>2211</v>
      </c>
      <c r="C234" s="2100">
        <v>0.14000000000000001</v>
      </c>
      <c r="D234" s="2100">
        <v>0.14000000000000001</v>
      </c>
      <c r="E234" s="2100">
        <v>0.14399999999999999</v>
      </c>
      <c r="F234" s="2112"/>
    </row>
    <row r="235" spans="1:6" ht="14.25" thickBot="1">
      <c r="A235" s="1513" t="s">
        <v>1535</v>
      </c>
      <c r="B235" s="1507" t="s">
        <v>2212</v>
      </c>
      <c r="C235" s="2100">
        <v>0.14099999999999999</v>
      </c>
      <c r="D235" s="2100">
        <v>0.14199999999999999</v>
      </c>
      <c r="E235" s="2100">
        <v>0.14499999999999999</v>
      </c>
      <c r="F235" s="2101">
        <v>0.15</v>
      </c>
    </row>
    <row r="236" spans="1:6" ht="14.25" thickBot="1">
      <c r="A236" s="1513" t="s">
        <v>1535</v>
      </c>
      <c r="B236" s="1507" t="s">
        <v>1468</v>
      </c>
      <c r="C236" s="2113"/>
      <c r="D236" s="2113"/>
      <c r="E236" s="2113"/>
      <c r="F236" s="2101">
        <v>0.14299999999999999</v>
      </c>
    </row>
    <row r="237" spans="1:6" ht="24.75" thickBot="1">
      <c r="A237" s="1513" t="s">
        <v>1535</v>
      </c>
      <c r="B237" s="1507" t="s">
        <v>2213</v>
      </c>
      <c r="C237" s="2113"/>
      <c r="D237" s="2113"/>
      <c r="E237" s="2113"/>
      <c r="F237" s="2101">
        <v>0.05</v>
      </c>
    </row>
    <row r="238" spans="1:6" ht="24.75" thickBot="1">
      <c r="A238" s="1513" t="s">
        <v>1535</v>
      </c>
      <c r="B238" s="1507" t="s">
        <v>2214</v>
      </c>
      <c r="C238" s="2113"/>
      <c r="D238" s="2113"/>
      <c r="E238" s="2113"/>
      <c r="F238" s="2101">
        <v>0.05</v>
      </c>
    </row>
    <row r="239" spans="1:6" ht="24.75" thickBot="1">
      <c r="A239" s="1513" t="s">
        <v>1535</v>
      </c>
      <c r="B239" s="1507" t="s">
        <v>2215</v>
      </c>
      <c r="C239" s="2113"/>
      <c r="D239" s="2113"/>
      <c r="E239" s="2113"/>
      <c r="F239" s="2101">
        <v>0.05</v>
      </c>
    </row>
    <row r="240" spans="1:6" ht="24.75" thickBot="1">
      <c r="A240" s="1513" t="s">
        <v>1535</v>
      </c>
      <c r="B240" s="1507" t="s">
        <v>2216</v>
      </c>
      <c r="C240" s="2113"/>
      <c r="D240" s="2113"/>
      <c r="E240" s="2113"/>
      <c r="F240" s="2101">
        <v>0.05</v>
      </c>
    </row>
    <row r="241" spans="1:6" ht="24.75" thickBot="1">
      <c r="A241" s="1513" t="s">
        <v>1535</v>
      </c>
      <c r="B241" s="1507" t="s">
        <v>2217</v>
      </c>
      <c r="C241" s="2113"/>
      <c r="D241" s="2113"/>
      <c r="E241" s="2113"/>
      <c r="F241" s="2101">
        <v>0.05</v>
      </c>
    </row>
    <row r="242" spans="1:6" ht="24.75" thickBot="1">
      <c r="A242" s="1513" t="s">
        <v>1535</v>
      </c>
      <c r="B242" s="1507" t="s">
        <v>2218</v>
      </c>
      <c r="C242" s="2113"/>
      <c r="D242" s="2113"/>
      <c r="E242" s="2113"/>
      <c r="F242" s="2101">
        <v>0.05</v>
      </c>
    </row>
    <row r="243" spans="1:6" ht="24.75" thickBot="1">
      <c r="A243" s="1513" t="s">
        <v>1535</v>
      </c>
      <c r="B243" s="1507" t="s">
        <v>2219</v>
      </c>
      <c r="C243" s="2113"/>
      <c r="D243" s="2113"/>
      <c r="E243" s="2113"/>
      <c r="F243" s="2101">
        <v>0.05</v>
      </c>
    </row>
    <row r="244" spans="1:6" ht="24.75" thickBot="1">
      <c r="A244" s="1523" t="s">
        <v>1535</v>
      </c>
      <c r="B244" s="1519" t="s">
        <v>2220</v>
      </c>
      <c r="C244" s="2110"/>
      <c r="D244" s="2110"/>
      <c r="E244" s="2110"/>
      <c r="F244" s="2103">
        <v>0.05</v>
      </c>
    </row>
    <row r="245" spans="1:6" ht="14.25" thickBot="1">
      <c r="A245" s="1513" t="s">
        <v>1537</v>
      </c>
      <c r="B245" s="1514" t="s">
        <v>2221</v>
      </c>
      <c r="C245" s="2098">
        <v>0.15</v>
      </c>
      <c r="D245" s="2098">
        <v>0.15</v>
      </c>
      <c r="E245" s="2098">
        <v>0.15</v>
      </c>
      <c r="F245" s="2099">
        <v>0.14299999999999999</v>
      </c>
    </row>
    <row r="246" spans="1:6" ht="14.25" thickBot="1">
      <c r="A246" s="1513" t="s">
        <v>1537</v>
      </c>
      <c r="B246" s="1507" t="s">
        <v>1202</v>
      </c>
      <c r="C246" s="2100">
        <v>0.15</v>
      </c>
      <c r="D246" s="2100">
        <v>0.15</v>
      </c>
      <c r="E246" s="2100">
        <v>0.15</v>
      </c>
      <c r="F246" s="2101">
        <v>0.114</v>
      </c>
    </row>
    <row r="247" spans="1:6" ht="14.25" thickBot="1">
      <c r="A247" s="1513" t="s">
        <v>1537</v>
      </c>
      <c r="B247" s="1507" t="s">
        <v>2222</v>
      </c>
      <c r="C247" s="2100">
        <v>0.15</v>
      </c>
      <c r="D247" s="2100">
        <v>0.15</v>
      </c>
      <c r="E247" s="2100">
        <v>0.15</v>
      </c>
      <c r="F247" s="2101">
        <v>0.15</v>
      </c>
    </row>
    <row r="248" spans="1:6" ht="14.25" thickBot="1">
      <c r="A248" s="1513" t="s">
        <v>1537</v>
      </c>
      <c r="B248" s="1507" t="s">
        <v>2223</v>
      </c>
      <c r="C248" s="2100">
        <v>0.15</v>
      </c>
      <c r="D248" s="2100">
        <v>0.15</v>
      </c>
      <c r="E248" s="2100">
        <v>0.15</v>
      </c>
      <c r="F248" s="2101">
        <v>0.14000000000000001</v>
      </c>
    </row>
    <row r="249" spans="1:6" ht="14.25" thickBot="1">
      <c r="A249" s="1513" t="s">
        <v>1537</v>
      </c>
      <c r="B249" s="1507" t="s">
        <v>2224</v>
      </c>
      <c r="C249" s="2100">
        <v>0.15</v>
      </c>
      <c r="D249" s="2100">
        <v>0.14899999999999999</v>
      </c>
      <c r="E249" s="2100">
        <v>0.15</v>
      </c>
      <c r="F249" s="2101">
        <v>0.1</v>
      </c>
    </row>
    <row r="250" spans="1:6" ht="14.25" thickBot="1">
      <c r="A250" s="1513" t="s">
        <v>1537</v>
      </c>
      <c r="B250" s="1507" t="s">
        <v>2225</v>
      </c>
      <c r="C250" s="2100">
        <v>0.15</v>
      </c>
      <c r="D250" s="2100">
        <v>0.15</v>
      </c>
      <c r="E250" s="2100">
        <v>0.15</v>
      </c>
      <c r="F250" s="2101">
        <v>0.14399999999999999</v>
      </c>
    </row>
    <row r="251" spans="1:6" ht="14.25" thickBot="1">
      <c r="A251" s="1513" t="s">
        <v>1537</v>
      </c>
      <c r="B251" s="1507" t="s">
        <v>1262</v>
      </c>
      <c r="C251" s="2100">
        <v>0.15</v>
      </c>
      <c r="D251" s="2100">
        <v>0.15</v>
      </c>
      <c r="E251" s="2100">
        <v>0.15</v>
      </c>
      <c r="F251" s="2101">
        <v>0.14299999999999999</v>
      </c>
    </row>
    <row r="252" spans="1:6" ht="14.25" thickBot="1">
      <c r="A252" s="1513" t="s">
        <v>1537</v>
      </c>
      <c r="B252" s="1507" t="s">
        <v>1273</v>
      </c>
      <c r="C252" s="2100">
        <v>0.15</v>
      </c>
      <c r="D252" s="2100">
        <v>0.15</v>
      </c>
      <c r="E252" s="2100">
        <v>0.15</v>
      </c>
      <c r="F252" s="2101">
        <v>0.1</v>
      </c>
    </row>
    <row r="253" spans="1:6" ht="14.25" thickBot="1">
      <c r="A253" s="1513" t="s">
        <v>1537</v>
      </c>
      <c r="B253" s="1507" t="s">
        <v>1285</v>
      </c>
      <c r="C253" s="2100">
        <v>0.15</v>
      </c>
      <c r="D253" s="2100">
        <v>0.15</v>
      </c>
      <c r="E253" s="2100">
        <v>0.15</v>
      </c>
      <c r="F253" s="2101">
        <v>0.1</v>
      </c>
    </row>
    <row r="254" spans="1:6" ht="14.25" thickBot="1">
      <c r="A254" s="1513" t="s">
        <v>1537</v>
      </c>
      <c r="B254" s="1507" t="s">
        <v>1295</v>
      </c>
      <c r="C254" s="2113"/>
      <c r="D254" s="2113"/>
      <c r="E254" s="2113"/>
      <c r="F254" s="2101">
        <v>0.15</v>
      </c>
    </row>
    <row r="255" spans="1:6" ht="14.25" thickBot="1">
      <c r="A255" s="1513" t="s">
        <v>1537</v>
      </c>
      <c r="B255" s="1507" t="s">
        <v>1305</v>
      </c>
      <c r="C255" s="2113"/>
      <c r="D255" s="2113"/>
      <c r="E255" s="2113"/>
      <c r="F255" s="2101">
        <v>0.14299999999999999</v>
      </c>
    </row>
    <row r="256" spans="1:6" ht="14.25" thickBot="1">
      <c r="A256" s="1513" t="s">
        <v>1537</v>
      </c>
      <c r="B256" s="1507" t="s">
        <v>2226</v>
      </c>
      <c r="C256" s="2100">
        <v>0.14599999999999999</v>
      </c>
      <c r="D256" s="2100">
        <v>0.14699999999999999</v>
      </c>
      <c r="E256" s="2100">
        <v>0.15</v>
      </c>
      <c r="F256" s="2101">
        <v>0.13200000000000001</v>
      </c>
    </row>
    <row r="257" spans="1:6" ht="14.25" thickBot="1">
      <c r="A257" s="1513" t="s">
        <v>1537</v>
      </c>
      <c r="B257" s="1507" t="s">
        <v>1325</v>
      </c>
      <c r="C257" s="2100">
        <v>0.15</v>
      </c>
      <c r="D257" s="2100">
        <v>0.15</v>
      </c>
      <c r="E257" s="2100">
        <v>0.15</v>
      </c>
      <c r="F257" s="2101">
        <v>0.13900000000000001</v>
      </c>
    </row>
    <row r="258" spans="1:6" ht="14.25" thickBot="1">
      <c r="A258" s="1513" t="s">
        <v>1537</v>
      </c>
      <c r="B258" s="1507" t="s">
        <v>1336</v>
      </c>
      <c r="C258" s="2100">
        <v>0.15</v>
      </c>
      <c r="D258" s="2100">
        <v>0.15</v>
      </c>
      <c r="E258" s="2100">
        <v>0.15</v>
      </c>
      <c r="F258" s="2101">
        <v>0.13</v>
      </c>
    </row>
    <row r="259" spans="1:6" ht="14.25" thickBot="1">
      <c r="A259" s="1513" t="s">
        <v>1537</v>
      </c>
      <c r="B259" s="1507" t="s">
        <v>2227</v>
      </c>
      <c r="C259" s="2100">
        <v>0.14799999999999999</v>
      </c>
      <c r="D259" s="2100">
        <v>0.14899999999999999</v>
      </c>
      <c r="E259" s="2100">
        <v>0.15</v>
      </c>
      <c r="F259" s="2101">
        <v>0.13700000000000001</v>
      </c>
    </row>
    <row r="260" spans="1:6" ht="14.25" thickBot="1">
      <c r="A260" s="1513" t="s">
        <v>1537</v>
      </c>
      <c r="B260" s="1507" t="s">
        <v>1357</v>
      </c>
      <c r="C260" s="2100">
        <v>0.15</v>
      </c>
      <c r="D260" s="2100">
        <v>0.15</v>
      </c>
      <c r="E260" s="2100">
        <v>0.15</v>
      </c>
      <c r="F260" s="2101">
        <v>0.14199999999999999</v>
      </c>
    </row>
    <row r="261" spans="1:6" ht="14.25" thickBot="1">
      <c r="A261" s="1513" t="s">
        <v>1537</v>
      </c>
      <c r="B261" s="1507" t="s">
        <v>1367</v>
      </c>
      <c r="C261" s="2100">
        <v>0.15</v>
      </c>
      <c r="D261" s="2100">
        <v>0.15</v>
      </c>
      <c r="E261" s="2100">
        <v>0.14899999999999999</v>
      </c>
      <c r="F261" s="2101">
        <v>0.14799999999999999</v>
      </c>
    </row>
    <row r="262" spans="1:6" ht="14.25" thickBot="1">
      <c r="A262" s="1513" t="s">
        <v>1537</v>
      </c>
      <c r="B262" s="1507" t="s">
        <v>1377</v>
      </c>
      <c r="C262" s="2100">
        <v>0.15</v>
      </c>
      <c r="D262" s="2100">
        <v>0.15</v>
      </c>
      <c r="E262" s="2100">
        <v>0.15</v>
      </c>
      <c r="F262" s="2112"/>
    </row>
    <row r="263" spans="1:6" ht="14.25" thickBot="1">
      <c r="A263" s="1513" t="s">
        <v>1537</v>
      </c>
      <c r="B263" s="1507" t="s">
        <v>2228</v>
      </c>
      <c r="C263" s="2100">
        <v>0.14899999999999999</v>
      </c>
      <c r="D263" s="2100">
        <v>0.14899999999999999</v>
      </c>
      <c r="E263" s="2100">
        <v>0.15</v>
      </c>
      <c r="F263" s="2101">
        <v>0.13</v>
      </c>
    </row>
    <row r="264" spans="1:6" ht="14.25" thickBot="1">
      <c r="A264" s="1513" t="s">
        <v>1537</v>
      </c>
      <c r="B264" s="1507" t="s">
        <v>1396</v>
      </c>
      <c r="C264" s="2100">
        <v>0.14799999999999999</v>
      </c>
      <c r="D264" s="2100">
        <v>0.14699999999999999</v>
      </c>
      <c r="E264" s="2100">
        <v>0.15</v>
      </c>
      <c r="F264" s="2101">
        <v>7.8E-2</v>
      </c>
    </row>
    <row r="265" spans="1:6" ht="14.25" thickBot="1">
      <c r="A265" s="1513" t="s">
        <v>1537</v>
      </c>
      <c r="B265" s="1507" t="s">
        <v>1405</v>
      </c>
      <c r="C265" s="2100">
        <v>0.15</v>
      </c>
      <c r="D265" s="2100">
        <v>0.15</v>
      </c>
      <c r="E265" s="2100">
        <v>0.15</v>
      </c>
      <c r="F265" s="2101">
        <v>7.3999999999999996E-2</v>
      </c>
    </row>
    <row r="266" spans="1:6" ht="14.25" thickBot="1">
      <c r="A266" s="1513" t="s">
        <v>1537</v>
      </c>
      <c r="B266" s="1507" t="s">
        <v>1413</v>
      </c>
      <c r="C266" s="2100">
        <v>0.14699999999999999</v>
      </c>
      <c r="D266" s="2100">
        <v>0.14699999999999999</v>
      </c>
      <c r="E266" s="2100">
        <v>0.15</v>
      </c>
      <c r="F266" s="2101">
        <v>0.14299999999999999</v>
      </c>
    </row>
    <row r="267" spans="1:6" ht="14.25" thickBot="1">
      <c r="A267" s="1513" t="s">
        <v>1537</v>
      </c>
      <c r="B267" s="1507" t="s">
        <v>1420</v>
      </c>
      <c r="C267" s="2100">
        <v>0.14199999999999999</v>
      </c>
      <c r="D267" s="2100">
        <v>0.14299999999999999</v>
      </c>
      <c r="E267" s="2100">
        <v>0.15</v>
      </c>
      <c r="F267" s="2112"/>
    </row>
    <row r="268" spans="1:6" ht="14.25" thickBot="1">
      <c r="A268" s="1513" t="s">
        <v>1537</v>
      </c>
      <c r="B268" s="1507" t="s">
        <v>2229</v>
      </c>
      <c r="C268" s="2100">
        <v>0.15</v>
      </c>
      <c r="D268" s="2100">
        <v>0.15</v>
      </c>
      <c r="E268" s="2100">
        <v>0.15</v>
      </c>
      <c r="F268" s="2101">
        <v>0.13</v>
      </c>
    </row>
    <row r="269" spans="1:6" ht="14.25" thickBot="1">
      <c r="A269" s="1513" t="s">
        <v>1537</v>
      </c>
      <c r="B269" s="1507" t="s">
        <v>1434</v>
      </c>
      <c r="C269" s="2100">
        <v>0.15</v>
      </c>
      <c r="D269" s="2100">
        <v>0.15</v>
      </c>
      <c r="E269" s="2100">
        <v>0.15</v>
      </c>
      <c r="F269" s="2101">
        <v>0.14299999999999999</v>
      </c>
    </row>
    <row r="270" spans="1:6" ht="14.25" thickBot="1">
      <c r="A270" s="1513" t="s">
        <v>1537</v>
      </c>
      <c r="B270" s="1507" t="s">
        <v>1441</v>
      </c>
      <c r="C270" s="2100">
        <v>0.14499999999999999</v>
      </c>
      <c r="D270" s="2100">
        <v>0.14499999999999999</v>
      </c>
      <c r="E270" s="2100">
        <v>0.15</v>
      </c>
      <c r="F270" s="2101">
        <v>0.14699999999999999</v>
      </c>
    </row>
    <row r="271" spans="1:6" ht="14.25" thickBot="1">
      <c r="A271" s="1513" t="s">
        <v>1537</v>
      </c>
      <c r="B271" s="1507" t="s">
        <v>1448</v>
      </c>
      <c r="C271" s="2100">
        <v>0.15</v>
      </c>
      <c r="D271" s="2100">
        <v>0.15</v>
      </c>
      <c r="E271" s="2100">
        <v>0.15</v>
      </c>
      <c r="F271" s="2101">
        <v>0.13800000000000001</v>
      </c>
    </row>
    <row r="272" spans="1:6" ht="14.25" thickBot="1">
      <c r="A272" s="1513" t="s">
        <v>1537</v>
      </c>
      <c r="B272" s="1507" t="s">
        <v>1455</v>
      </c>
      <c r="C272" s="2113"/>
      <c r="D272" s="2113"/>
      <c r="E272" s="2113"/>
      <c r="F272" s="2101">
        <v>0.14000000000000001</v>
      </c>
    </row>
    <row r="273" spans="1:6" ht="14.25" thickBot="1">
      <c r="A273" s="1513" t="s">
        <v>1537</v>
      </c>
      <c r="B273" s="1507" t="s">
        <v>2230</v>
      </c>
      <c r="C273" s="2100">
        <v>0.14199999999999999</v>
      </c>
      <c r="D273" s="2100">
        <v>0.14299999999999999</v>
      </c>
      <c r="E273" s="2100">
        <v>0.15</v>
      </c>
      <c r="F273" s="2101">
        <v>0.1</v>
      </c>
    </row>
    <row r="274" spans="1:6" ht="14.25" thickBot="1">
      <c r="A274" s="1513" t="s">
        <v>1537</v>
      </c>
      <c r="B274" s="1507" t="s">
        <v>2231</v>
      </c>
      <c r="C274" s="2100">
        <v>0.14799999999999999</v>
      </c>
      <c r="D274" s="2100">
        <v>0.14799999999999999</v>
      </c>
      <c r="E274" s="2100">
        <v>0.15</v>
      </c>
      <c r="F274" s="2101">
        <v>6.7000000000000004E-2</v>
      </c>
    </row>
    <row r="275" spans="1:6" ht="14.25" thickBot="1">
      <c r="A275" s="1513" t="s">
        <v>1537</v>
      </c>
      <c r="B275" s="1507" t="s">
        <v>2232</v>
      </c>
      <c r="C275" s="2100">
        <v>0.15</v>
      </c>
      <c r="D275" s="2100">
        <v>0.15</v>
      </c>
      <c r="E275" s="2100">
        <v>0.15</v>
      </c>
      <c r="F275" s="2101">
        <v>0.15</v>
      </c>
    </row>
    <row r="276" spans="1:6" ht="14.25" thickBot="1">
      <c r="A276" s="1513" t="s">
        <v>1537</v>
      </c>
      <c r="B276" s="1507" t="s">
        <v>2233</v>
      </c>
      <c r="C276" s="2100">
        <v>0.14499999999999999</v>
      </c>
      <c r="D276" s="2100">
        <v>0.14299999999999999</v>
      </c>
      <c r="E276" s="2100">
        <v>0.15</v>
      </c>
      <c r="F276" s="2101">
        <v>5.8999999999999997E-2</v>
      </c>
    </row>
    <row r="277" spans="1:6" ht="14.25" thickBot="1">
      <c r="A277" s="1513" t="s">
        <v>1537</v>
      </c>
      <c r="B277" s="1507" t="s">
        <v>2234</v>
      </c>
      <c r="C277" s="2100">
        <v>0.15</v>
      </c>
      <c r="D277" s="2100">
        <v>0.15</v>
      </c>
      <c r="E277" s="2100">
        <v>0.15</v>
      </c>
      <c r="F277" s="2101">
        <v>0.121</v>
      </c>
    </row>
    <row r="278" spans="1:6" ht="14.25" thickBot="1">
      <c r="A278" s="1513" t="s">
        <v>1537</v>
      </c>
      <c r="B278" s="1507" t="s">
        <v>2235</v>
      </c>
      <c r="C278" s="2100">
        <v>0.15</v>
      </c>
      <c r="D278" s="2100">
        <v>0.15</v>
      </c>
      <c r="E278" s="2100">
        <v>0.15</v>
      </c>
      <c r="F278" s="2101">
        <v>0.13800000000000001</v>
      </c>
    </row>
    <row r="279" spans="1:6" ht="24.75" thickBot="1">
      <c r="A279" s="1513" t="s">
        <v>1537</v>
      </c>
      <c r="B279" s="1507" t="s">
        <v>2236</v>
      </c>
      <c r="C279" s="2113"/>
      <c r="D279" s="2113"/>
      <c r="E279" s="2113"/>
      <c r="F279" s="2101">
        <v>0.05</v>
      </c>
    </row>
    <row r="280" spans="1:6" ht="24.75" thickBot="1">
      <c r="A280" s="1513" t="s">
        <v>1537</v>
      </c>
      <c r="B280" s="1507" t="s">
        <v>2237</v>
      </c>
      <c r="C280" s="2113"/>
      <c r="D280" s="2113"/>
      <c r="E280" s="2113"/>
      <c r="F280" s="2101">
        <v>0.05</v>
      </c>
    </row>
    <row r="281" spans="1:6" ht="24.75" thickBot="1">
      <c r="A281" s="1513" t="s">
        <v>1537</v>
      </c>
      <c r="B281" s="1507" t="s">
        <v>2238</v>
      </c>
      <c r="C281" s="2113"/>
      <c r="D281" s="2113"/>
      <c r="E281" s="2113"/>
      <c r="F281" s="2101">
        <v>0.05</v>
      </c>
    </row>
    <row r="282" spans="1:6" ht="24.75" thickBot="1">
      <c r="A282" s="1513" t="s">
        <v>1537</v>
      </c>
      <c r="B282" s="1507" t="s">
        <v>2239</v>
      </c>
      <c r="C282" s="2113"/>
      <c r="D282" s="2113"/>
      <c r="E282" s="2113"/>
      <c r="F282" s="2101">
        <v>0.05</v>
      </c>
    </row>
    <row r="283" spans="1:6" ht="24.75" thickBot="1">
      <c r="A283" s="1513" t="s">
        <v>1537</v>
      </c>
      <c r="B283" s="1507" t="s">
        <v>2240</v>
      </c>
      <c r="C283" s="2113"/>
      <c r="D283" s="2113"/>
      <c r="E283" s="2113"/>
      <c r="F283" s="2101">
        <v>0.05</v>
      </c>
    </row>
    <row r="284" spans="1:6" ht="24.75" thickBot="1">
      <c r="A284" s="1513" t="s">
        <v>1537</v>
      </c>
      <c r="B284" s="1507" t="s">
        <v>2241</v>
      </c>
      <c r="C284" s="2113"/>
      <c r="D284" s="2113"/>
      <c r="E284" s="2113"/>
      <c r="F284" s="2101">
        <v>0.05</v>
      </c>
    </row>
    <row r="285" spans="1:6" ht="24.75" thickBot="1">
      <c r="A285" s="1513" t="s">
        <v>1537</v>
      </c>
      <c r="B285" s="1507" t="s">
        <v>2242</v>
      </c>
      <c r="C285" s="2113"/>
      <c r="D285" s="2113"/>
      <c r="E285" s="2113"/>
      <c r="F285" s="2101">
        <v>0.05</v>
      </c>
    </row>
    <row r="286" spans="1:6" ht="24.75" thickBot="1">
      <c r="A286" s="1513" t="s">
        <v>1537</v>
      </c>
      <c r="B286" s="1507" t="s">
        <v>2243</v>
      </c>
      <c r="C286" s="2113"/>
      <c r="D286" s="2113"/>
      <c r="E286" s="2113"/>
      <c r="F286" s="2101">
        <v>0.05</v>
      </c>
    </row>
    <row r="287" spans="1:6" ht="24.75" thickBot="1">
      <c r="A287" s="1513" t="s">
        <v>1537</v>
      </c>
      <c r="B287" s="1507" t="s">
        <v>2244</v>
      </c>
      <c r="C287" s="2113"/>
      <c r="D287" s="2113"/>
      <c r="E287" s="2113"/>
      <c r="F287" s="2101">
        <v>0.05</v>
      </c>
    </row>
    <row r="288" spans="1:6" ht="24.75" thickBot="1">
      <c r="A288" s="1513" t="s">
        <v>1537</v>
      </c>
      <c r="B288" s="1507" t="s">
        <v>2245</v>
      </c>
      <c r="C288" s="2113"/>
      <c r="D288" s="2113"/>
      <c r="E288" s="2113"/>
      <c r="F288" s="2101">
        <v>0.05</v>
      </c>
    </row>
    <row r="289" spans="1:6" ht="24.75" thickBot="1">
      <c r="A289" s="1523" t="s">
        <v>1537</v>
      </c>
      <c r="B289" s="1519" t="s">
        <v>2246</v>
      </c>
      <c r="C289" s="2110"/>
      <c r="D289" s="2110"/>
      <c r="E289" s="2110"/>
      <c r="F289" s="2103">
        <v>0.05</v>
      </c>
    </row>
    <row r="290" spans="1:6" ht="14.25" thickBot="1">
      <c r="A290" s="1513" t="s">
        <v>1541</v>
      </c>
      <c r="B290" s="1514" t="s">
        <v>2247</v>
      </c>
      <c r="C290" s="2098">
        <v>0.15</v>
      </c>
      <c r="D290" s="2098">
        <v>0.15</v>
      </c>
      <c r="E290" s="2098">
        <v>0.15</v>
      </c>
      <c r="F290" s="2115"/>
    </row>
    <row r="291" spans="1:6" ht="14.25" thickBot="1">
      <c r="A291" s="1513" t="s">
        <v>1541</v>
      </c>
      <c r="B291" s="1507" t="s">
        <v>1203</v>
      </c>
      <c r="C291" s="2100">
        <v>0.15</v>
      </c>
      <c r="D291" s="2100">
        <v>0.15</v>
      </c>
      <c r="E291" s="2100">
        <v>0.15</v>
      </c>
      <c r="F291" s="2112"/>
    </row>
    <row r="292" spans="1:6" ht="14.25" thickBot="1">
      <c r="A292" s="1513" t="s">
        <v>1541</v>
      </c>
      <c r="B292" s="1507" t="s">
        <v>2248</v>
      </c>
      <c r="C292" s="2100">
        <v>0.15</v>
      </c>
      <c r="D292" s="2100">
        <v>0.15</v>
      </c>
      <c r="E292" s="2100">
        <v>0.15</v>
      </c>
      <c r="F292" s="2101">
        <v>0.14699999999999999</v>
      </c>
    </row>
    <row r="293" spans="1:6" ht="14.25" thickBot="1">
      <c r="A293" s="1513" t="s">
        <v>1541</v>
      </c>
      <c r="B293" s="1507" t="s">
        <v>2249</v>
      </c>
      <c r="C293" s="2113"/>
      <c r="D293" s="2113"/>
      <c r="E293" s="2113"/>
      <c r="F293" s="2101">
        <v>0.1</v>
      </c>
    </row>
    <row r="294" spans="1:6" ht="14.25" thickBot="1">
      <c r="A294" s="1513" t="s">
        <v>1541</v>
      </c>
      <c r="B294" s="1507" t="s">
        <v>2250</v>
      </c>
      <c r="C294" s="2100">
        <v>0.15</v>
      </c>
      <c r="D294" s="2100">
        <v>0.15</v>
      </c>
      <c r="E294" s="2100">
        <v>0.15</v>
      </c>
      <c r="F294" s="2101">
        <v>0.15</v>
      </c>
    </row>
    <row r="295" spans="1:6" ht="14.25" thickBot="1">
      <c r="A295" s="1513" t="s">
        <v>1541</v>
      </c>
      <c r="B295" s="1507" t="s">
        <v>1241</v>
      </c>
      <c r="C295" s="2100">
        <v>0.15</v>
      </c>
      <c r="D295" s="2100">
        <v>0.15</v>
      </c>
      <c r="E295" s="2100">
        <v>0.15</v>
      </c>
      <c r="F295" s="2101">
        <v>0.15</v>
      </c>
    </row>
    <row r="296" spans="1:6" ht="14.25" thickBot="1">
      <c r="A296" s="1513" t="s">
        <v>1541</v>
      </c>
      <c r="B296" s="1507" t="s">
        <v>2251</v>
      </c>
      <c r="C296" s="2100">
        <v>0.15</v>
      </c>
      <c r="D296" s="2100">
        <v>0.15</v>
      </c>
      <c r="E296" s="2100">
        <v>0.15</v>
      </c>
      <c r="F296" s="2101">
        <v>0.15</v>
      </c>
    </row>
    <row r="297" spans="1:6" ht="14.25" thickBot="1">
      <c r="A297" s="1513" t="s">
        <v>1541</v>
      </c>
      <c r="B297" s="1507" t="s">
        <v>2252</v>
      </c>
      <c r="C297" s="2100">
        <v>0.14799999999999999</v>
      </c>
      <c r="D297" s="2100">
        <v>0.14899999999999999</v>
      </c>
      <c r="E297" s="2100">
        <v>0.15</v>
      </c>
      <c r="F297" s="2101">
        <v>0.13700000000000001</v>
      </c>
    </row>
    <row r="298" spans="1:6" ht="14.25" thickBot="1">
      <c r="A298" s="1513" t="s">
        <v>1541</v>
      </c>
      <c r="B298" s="1507" t="s">
        <v>1274</v>
      </c>
      <c r="C298" s="2100">
        <v>0.13400000000000001</v>
      </c>
      <c r="D298" s="2100">
        <v>0.13400000000000001</v>
      </c>
      <c r="E298" s="2100">
        <v>0.14499999999999999</v>
      </c>
      <c r="F298" s="2101">
        <v>0.14799999999999999</v>
      </c>
    </row>
    <row r="299" spans="1:6" ht="14.25" thickBot="1">
      <c r="A299" s="1513" t="s">
        <v>1541</v>
      </c>
      <c r="B299" s="1507" t="s">
        <v>1286</v>
      </c>
      <c r="C299" s="2100">
        <v>0.15</v>
      </c>
      <c r="D299" s="2100">
        <v>0.15</v>
      </c>
      <c r="E299" s="2100">
        <v>0.15</v>
      </c>
      <c r="F299" s="2112"/>
    </row>
    <row r="300" spans="1:6" ht="14.25" thickBot="1">
      <c r="A300" s="1513" t="s">
        <v>1541</v>
      </c>
      <c r="B300" s="1507" t="s">
        <v>2253</v>
      </c>
      <c r="C300" s="2100">
        <v>0.15</v>
      </c>
      <c r="D300" s="2100">
        <v>0.15</v>
      </c>
      <c r="E300" s="2100">
        <v>0.15</v>
      </c>
      <c r="F300" s="2101">
        <v>0.15</v>
      </c>
    </row>
    <row r="301" spans="1:6" ht="14.25" thickBot="1">
      <c r="A301" s="1513" t="s">
        <v>1541</v>
      </c>
      <c r="B301" s="1507" t="s">
        <v>1306</v>
      </c>
      <c r="C301" s="2100">
        <v>0.15</v>
      </c>
      <c r="D301" s="2100">
        <v>0.15</v>
      </c>
      <c r="E301" s="2100">
        <v>0.15</v>
      </c>
      <c r="F301" s="2112"/>
    </row>
    <row r="302" spans="1:6" ht="14.25" thickBot="1">
      <c r="A302" s="1513" t="s">
        <v>1541</v>
      </c>
      <c r="B302" s="1507" t="s">
        <v>2254</v>
      </c>
      <c r="C302" s="2100">
        <v>0.15</v>
      </c>
      <c r="D302" s="2100">
        <v>0.15</v>
      </c>
      <c r="E302" s="2100">
        <v>0.15</v>
      </c>
      <c r="F302" s="2101">
        <v>0.15</v>
      </c>
    </row>
    <row r="303" spans="1:6" ht="14.25" thickBot="1">
      <c r="A303" s="1513" t="s">
        <v>1541</v>
      </c>
      <c r="B303" s="1507" t="s">
        <v>1326</v>
      </c>
      <c r="C303" s="2100">
        <v>0.15</v>
      </c>
      <c r="D303" s="2100">
        <v>0.15</v>
      </c>
      <c r="E303" s="2100">
        <v>0.15</v>
      </c>
      <c r="F303" s="2101">
        <v>0.15</v>
      </c>
    </row>
    <row r="304" spans="1:6" ht="14.25" thickBot="1">
      <c r="A304" s="1513" t="s">
        <v>1541</v>
      </c>
      <c r="B304" s="1507" t="s">
        <v>1337</v>
      </c>
      <c r="C304" s="2100">
        <v>0.15</v>
      </c>
      <c r="D304" s="2100">
        <v>0.15</v>
      </c>
      <c r="E304" s="2100">
        <v>0.15</v>
      </c>
      <c r="F304" s="2112"/>
    </row>
    <row r="305" spans="1:6" ht="14.25" thickBot="1">
      <c r="A305" s="1513" t="s">
        <v>1541</v>
      </c>
      <c r="B305" s="1507" t="s">
        <v>2255</v>
      </c>
      <c r="C305" s="2100">
        <v>0.15</v>
      </c>
      <c r="D305" s="2100">
        <v>0.15</v>
      </c>
      <c r="E305" s="2100">
        <v>0.15</v>
      </c>
      <c r="F305" s="2101">
        <v>0.14000000000000001</v>
      </c>
    </row>
    <row r="306" spans="1:6" ht="14.25" thickBot="1">
      <c r="A306" s="1513" t="s">
        <v>1541</v>
      </c>
      <c r="B306" s="1507" t="s">
        <v>1358</v>
      </c>
      <c r="C306" s="2100">
        <v>0.15</v>
      </c>
      <c r="D306" s="2100">
        <v>0.15</v>
      </c>
      <c r="E306" s="2100">
        <v>0.15</v>
      </c>
      <c r="F306" s="2112"/>
    </row>
    <row r="307" spans="1:6" ht="14.25" thickBot="1">
      <c r="A307" s="1513" t="s">
        <v>1541</v>
      </c>
      <c r="B307" s="1507" t="s">
        <v>2256</v>
      </c>
      <c r="C307" s="2100">
        <v>0.15</v>
      </c>
      <c r="D307" s="2100">
        <v>0.15</v>
      </c>
      <c r="E307" s="2100">
        <v>0.15</v>
      </c>
      <c r="F307" s="2101">
        <v>0.14299999999999999</v>
      </c>
    </row>
    <row r="308" spans="1:6" ht="14.25" thickBot="1">
      <c r="A308" s="1513" t="s">
        <v>1541</v>
      </c>
      <c r="B308" s="1507" t="s">
        <v>1378</v>
      </c>
      <c r="C308" s="2100">
        <v>0.15</v>
      </c>
      <c r="D308" s="2100">
        <v>0.15</v>
      </c>
      <c r="E308" s="2100">
        <v>0.15</v>
      </c>
      <c r="F308" s="2101">
        <v>0.15</v>
      </c>
    </row>
    <row r="309" spans="1:6" ht="14.25" thickBot="1">
      <c r="A309" s="1513" t="s">
        <v>1541</v>
      </c>
      <c r="B309" s="1507" t="s">
        <v>1388</v>
      </c>
      <c r="C309" s="2100">
        <v>0.15</v>
      </c>
      <c r="D309" s="2100">
        <v>0.15</v>
      </c>
      <c r="E309" s="2100">
        <v>0.15</v>
      </c>
      <c r="F309" s="2112"/>
    </row>
    <row r="310" spans="1:6" ht="14.25" thickBot="1">
      <c r="A310" s="1513" t="s">
        <v>1541</v>
      </c>
      <c r="B310" s="1507" t="s">
        <v>2257</v>
      </c>
      <c r="C310" s="2100">
        <v>0.15</v>
      </c>
      <c r="D310" s="2100">
        <v>0.15</v>
      </c>
      <c r="E310" s="2100">
        <v>0.15</v>
      </c>
      <c r="F310" s="2101">
        <v>0.13700000000000001</v>
      </c>
    </row>
    <row r="311" spans="1:6" ht="14.25" thickBot="1">
      <c r="A311" s="1513" t="s">
        <v>1541</v>
      </c>
      <c r="B311" s="1507" t="s">
        <v>2258</v>
      </c>
      <c r="C311" s="2100">
        <v>0.15</v>
      </c>
      <c r="D311" s="2100">
        <v>0.15</v>
      </c>
      <c r="E311" s="2100">
        <v>0.15</v>
      </c>
      <c r="F311" s="2101">
        <v>0.15</v>
      </c>
    </row>
    <row r="312" spans="1:6" ht="14.25" thickBot="1">
      <c r="A312" s="1513" t="s">
        <v>1541</v>
      </c>
      <c r="B312" s="1507" t="s">
        <v>1414</v>
      </c>
      <c r="C312" s="2100">
        <v>0.15</v>
      </c>
      <c r="D312" s="2100">
        <v>0.15</v>
      </c>
      <c r="E312" s="2100">
        <v>0.15</v>
      </c>
      <c r="F312" s="2101">
        <v>0.1</v>
      </c>
    </row>
    <row r="313" spans="1:6" ht="14.25" thickBot="1">
      <c r="A313" s="1513" t="s">
        <v>1541</v>
      </c>
      <c r="B313" s="1507" t="s">
        <v>2259</v>
      </c>
      <c r="C313" s="2100">
        <v>0.15</v>
      </c>
      <c r="D313" s="2100">
        <v>0.15</v>
      </c>
      <c r="E313" s="2100">
        <v>0.15</v>
      </c>
      <c r="F313" s="2101">
        <v>0.15</v>
      </c>
    </row>
    <row r="314" spans="1:6" ht="24.75" thickBot="1">
      <c r="A314" s="1513" t="s">
        <v>1541</v>
      </c>
      <c r="B314" s="1507" t="s">
        <v>2260</v>
      </c>
      <c r="C314" s="2113"/>
      <c r="D314" s="2113"/>
      <c r="E314" s="2113"/>
      <c r="F314" s="2101">
        <v>0.05</v>
      </c>
    </row>
    <row r="315" spans="1:6" ht="24.75" thickBot="1">
      <c r="A315" s="1513" t="s">
        <v>1541</v>
      </c>
      <c r="B315" s="1507" t="s">
        <v>2261</v>
      </c>
      <c r="C315" s="2113"/>
      <c r="D315" s="2113"/>
      <c r="E315" s="2113"/>
      <c r="F315" s="2101">
        <v>0.05</v>
      </c>
    </row>
    <row r="316" spans="1:6" ht="24.75" thickBot="1">
      <c r="A316" s="1523" t="s">
        <v>1541</v>
      </c>
      <c r="B316" s="1519" t="s">
        <v>2262</v>
      </c>
      <c r="C316" s="2110"/>
      <c r="D316" s="2110"/>
      <c r="E316" s="2110"/>
      <c r="F316" s="2103">
        <v>0.05</v>
      </c>
    </row>
    <row r="317" spans="1:6" ht="14.25" thickBot="1">
      <c r="A317" s="1513" t="s">
        <v>2263</v>
      </c>
      <c r="B317" s="1514" t="s">
        <v>2264</v>
      </c>
      <c r="C317" s="2098">
        <v>0.15</v>
      </c>
      <c r="D317" s="2098">
        <v>0.15</v>
      </c>
      <c r="E317" s="2098">
        <v>0.15</v>
      </c>
      <c r="F317" s="2099">
        <v>0.15</v>
      </c>
    </row>
    <row r="318" spans="1:6" ht="14.25" thickBot="1">
      <c r="A318" s="1513" t="s">
        <v>2263</v>
      </c>
      <c r="B318" s="1507" t="s">
        <v>2265</v>
      </c>
      <c r="C318" s="2100">
        <v>0.107</v>
      </c>
      <c r="D318" s="2100">
        <v>0.11</v>
      </c>
      <c r="E318" s="2100">
        <v>0.112</v>
      </c>
      <c r="F318" s="2112"/>
    </row>
    <row r="319" spans="1:6" ht="14.25" thickBot="1">
      <c r="A319" s="1513" t="s">
        <v>2263</v>
      </c>
      <c r="B319" s="1507" t="s">
        <v>2266</v>
      </c>
      <c r="C319" s="2100">
        <v>0.15</v>
      </c>
      <c r="D319" s="2100">
        <v>0.15</v>
      </c>
      <c r="E319" s="2100">
        <v>0.15</v>
      </c>
      <c r="F319" s="2101">
        <v>0.15</v>
      </c>
    </row>
    <row r="320" spans="1:6" ht="14.25" thickBot="1">
      <c r="A320" s="1513" t="s">
        <v>2263</v>
      </c>
      <c r="B320" s="1507" t="s">
        <v>1230</v>
      </c>
      <c r="C320" s="2100">
        <v>0.15</v>
      </c>
      <c r="D320" s="2100">
        <v>0.15</v>
      </c>
      <c r="E320" s="2100">
        <v>0.15</v>
      </c>
      <c r="F320" s="2112"/>
    </row>
    <row r="321" spans="1:6" ht="14.25" thickBot="1">
      <c r="A321" s="1513" t="s">
        <v>2263</v>
      </c>
      <c r="B321" s="1507" t="s">
        <v>2267</v>
      </c>
      <c r="C321" s="2100">
        <v>0.15</v>
      </c>
      <c r="D321" s="2100">
        <v>0.15</v>
      </c>
      <c r="E321" s="2100">
        <v>0.15</v>
      </c>
      <c r="F321" s="2112"/>
    </row>
    <row r="322" spans="1:6" ht="14.25" thickBot="1">
      <c r="A322" s="1513" t="s">
        <v>2263</v>
      </c>
      <c r="B322" s="1507" t="s">
        <v>2268</v>
      </c>
      <c r="C322" s="2100">
        <v>0.15</v>
      </c>
      <c r="D322" s="2100">
        <v>0.15</v>
      </c>
      <c r="E322" s="2100">
        <v>0.15</v>
      </c>
      <c r="F322" s="2101">
        <v>0.15</v>
      </c>
    </row>
    <row r="323" spans="1:6" ht="14.25" thickBot="1">
      <c r="A323" s="1513" t="s">
        <v>2263</v>
      </c>
      <c r="B323" s="1507" t="s">
        <v>2269</v>
      </c>
      <c r="C323" s="2100">
        <v>0.15</v>
      </c>
      <c r="D323" s="2100">
        <v>0.15</v>
      </c>
      <c r="E323" s="2100">
        <v>0.15</v>
      </c>
      <c r="F323" s="2112"/>
    </row>
    <row r="324" spans="1:6" ht="14.25" thickBot="1">
      <c r="A324" s="1513" t="s">
        <v>2263</v>
      </c>
      <c r="B324" s="1507" t="s">
        <v>2270</v>
      </c>
      <c r="C324" s="2100">
        <v>0.15</v>
      </c>
      <c r="D324" s="2100">
        <v>0.15</v>
      </c>
      <c r="E324" s="2100">
        <v>0.15</v>
      </c>
      <c r="F324" s="2112"/>
    </row>
    <row r="325" spans="1:6" ht="14.25" thickBot="1">
      <c r="A325" s="1513" t="s">
        <v>2263</v>
      </c>
      <c r="B325" s="1507" t="s">
        <v>2271</v>
      </c>
      <c r="C325" s="2100">
        <v>0.15</v>
      </c>
      <c r="D325" s="2100">
        <v>0.15</v>
      </c>
      <c r="E325" s="2100">
        <v>0.15</v>
      </c>
      <c r="F325" s="2101">
        <v>0.14699999999999999</v>
      </c>
    </row>
    <row r="326" spans="1:6" ht="14.25" thickBot="1">
      <c r="A326" s="1513" t="s">
        <v>2263</v>
      </c>
      <c r="B326" s="1507" t="s">
        <v>1297</v>
      </c>
      <c r="C326" s="2100">
        <v>0.15</v>
      </c>
      <c r="D326" s="2100">
        <v>0.15</v>
      </c>
      <c r="E326" s="2100">
        <v>0.15</v>
      </c>
      <c r="F326" s="2112"/>
    </row>
    <row r="327" spans="1:6" ht="14.25" thickBot="1">
      <c r="A327" s="1513" t="s">
        <v>2263</v>
      </c>
      <c r="B327" s="1507" t="s">
        <v>2272</v>
      </c>
      <c r="C327" s="2100">
        <v>0.15</v>
      </c>
      <c r="D327" s="2100">
        <v>0.15</v>
      </c>
      <c r="E327" s="2100">
        <v>0.15</v>
      </c>
      <c r="F327" s="2101">
        <v>0.15</v>
      </c>
    </row>
    <row r="328" spans="1:6" ht="14.25" thickBot="1">
      <c r="A328" s="1513" t="s">
        <v>2263</v>
      </c>
      <c r="B328" s="1507" t="s">
        <v>1317</v>
      </c>
      <c r="C328" s="2100">
        <v>0.15</v>
      </c>
      <c r="D328" s="2100">
        <v>0.15</v>
      </c>
      <c r="E328" s="2100">
        <v>0.15</v>
      </c>
      <c r="F328" s="2101">
        <v>0.14099999999999999</v>
      </c>
    </row>
    <row r="329" spans="1:6" ht="14.25" thickBot="1">
      <c r="A329" s="1513" t="s">
        <v>2263</v>
      </c>
      <c r="B329" s="1507" t="s">
        <v>1327</v>
      </c>
      <c r="C329" s="2100">
        <v>0.15</v>
      </c>
      <c r="D329" s="2100">
        <v>0.15</v>
      </c>
      <c r="E329" s="2100">
        <v>0.15</v>
      </c>
      <c r="F329" s="2101">
        <v>0.15</v>
      </c>
    </row>
    <row r="330" spans="1:6" ht="14.25" thickBot="1">
      <c r="A330" s="1513" t="s">
        <v>2263</v>
      </c>
      <c r="B330" s="1507" t="s">
        <v>1338</v>
      </c>
      <c r="C330" s="2100">
        <v>0.15</v>
      </c>
      <c r="D330" s="2100">
        <v>0.15</v>
      </c>
      <c r="E330" s="2100">
        <v>0.15</v>
      </c>
      <c r="F330" s="2112"/>
    </row>
    <row r="331" spans="1:6" ht="14.25" thickBot="1">
      <c r="A331" s="1513" t="s">
        <v>2263</v>
      </c>
      <c r="B331" s="1507" t="s">
        <v>2273</v>
      </c>
      <c r="C331" s="2100">
        <v>0.15</v>
      </c>
      <c r="D331" s="2100">
        <v>0.15</v>
      </c>
      <c r="E331" s="2100">
        <v>0.15</v>
      </c>
      <c r="F331" s="2101">
        <v>0.15</v>
      </c>
    </row>
    <row r="332" spans="1:6" ht="14.25" thickBot="1">
      <c r="A332" s="1513" t="s">
        <v>2263</v>
      </c>
      <c r="B332" s="1507" t="s">
        <v>1359</v>
      </c>
      <c r="C332" s="2100">
        <v>0.15</v>
      </c>
      <c r="D332" s="2100">
        <v>0.15</v>
      </c>
      <c r="E332" s="2100">
        <v>0.15</v>
      </c>
      <c r="F332" s="2101">
        <v>0.15</v>
      </c>
    </row>
    <row r="333" spans="1:6" ht="14.25" thickBot="1">
      <c r="A333" s="1513" t="s">
        <v>2263</v>
      </c>
      <c r="B333" s="1507" t="s">
        <v>2274</v>
      </c>
      <c r="C333" s="2100">
        <v>0.15</v>
      </c>
      <c r="D333" s="2100">
        <v>0.15</v>
      </c>
      <c r="E333" s="2100">
        <v>0.15</v>
      </c>
      <c r="F333" s="2101">
        <v>0.14099999999999999</v>
      </c>
    </row>
    <row r="334" spans="1:6" ht="14.25" thickBot="1">
      <c r="A334" s="1513" t="s">
        <v>2263</v>
      </c>
      <c r="B334" s="1507" t="s">
        <v>1379</v>
      </c>
      <c r="C334" s="2100">
        <v>0.15</v>
      </c>
      <c r="D334" s="2100">
        <v>0.15</v>
      </c>
      <c r="E334" s="2100">
        <v>0.15</v>
      </c>
      <c r="F334" s="2101">
        <v>0.15</v>
      </c>
    </row>
    <row r="335" spans="1:6" ht="14.25" thickBot="1">
      <c r="A335" s="1513" t="s">
        <v>2263</v>
      </c>
      <c r="B335" s="1507" t="s">
        <v>1389</v>
      </c>
      <c r="C335" s="2100">
        <v>0.15</v>
      </c>
      <c r="D335" s="2100">
        <v>0.15</v>
      </c>
      <c r="E335" s="2100">
        <v>0.15</v>
      </c>
      <c r="F335" s="2112"/>
    </row>
    <row r="336" spans="1:6" ht="14.25" thickBot="1">
      <c r="A336" s="1513" t="s">
        <v>2263</v>
      </c>
      <c r="B336" s="1507" t="s">
        <v>2275</v>
      </c>
      <c r="C336" s="2100">
        <v>0.15</v>
      </c>
      <c r="D336" s="2100">
        <v>0.15</v>
      </c>
      <c r="E336" s="2100">
        <v>0.15</v>
      </c>
      <c r="F336" s="2101">
        <v>0.11799999999999999</v>
      </c>
    </row>
    <row r="337" spans="1:6" ht="14.25" thickBot="1">
      <c r="A337" s="1523" t="s">
        <v>2263</v>
      </c>
      <c r="B337" s="1519" t="s">
        <v>1407</v>
      </c>
      <c r="C337" s="2110"/>
      <c r="D337" s="2110"/>
      <c r="E337" s="2110"/>
      <c r="F337" s="2103">
        <v>0.14299999999999999</v>
      </c>
    </row>
    <row r="338" spans="1:6" ht="14.25" thickBot="1">
      <c r="A338" s="1513" t="s">
        <v>2276</v>
      </c>
      <c r="B338" s="1514" t="s">
        <v>2277</v>
      </c>
      <c r="C338" s="2098">
        <v>0.15</v>
      </c>
      <c r="D338" s="2098">
        <v>0.15</v>
      </c>
      <c r="E338" s="2098">
        <v>0.15</v>
      </c>
      <c r="F338" s="2115"/>
    </row>
    <row r="339" spans="1:6" ht="14.25" thickBot="1">
      <c r="A339" s="1513" t="s">
        <v>2276</v>
      </c>
      <c r="B339" s="1507" t="s">
        <v>2278</v>
      </c>
      <c r="C339" s="2100">
        <v>0.15</v>
      </c>
      <c r="D339" s="2100">
        <v>0.15</v>
      </c>
      <c r="E339" s="2100">
        <v>0.15</v>
      </c>
      <c r="F339" s="2112"/>
    </row>
    <row r="340" spans="1:6" ht="14.25" thickBot="1">
      <c r="A340" s="1513" t="s">
        <v>2276</v>
      </c>
      <c r="B340" s="1507" t="s">
        <v>2279</v>
      </c>
      <c r="C340" s="2100">
        <v>0.15</v>
      </c>
      <c r="D340" s="2100">
        <v>0.15</v>
      </c>
      <c r="E340" s="2100">
        <v>0.15</v>
      </c>
      <c r="F340" s="2112"/>
    </row>
    <row r="341" spans="1:6" ht="14.25" thickBot="1">
      <c r="A341" s="1513" t="s">
        <v>2276</v>
      </c>
      <c r="B341" s="1507" t="s">
        <v>2280</v>
      </c>
      <c r="C341" s="2100">
        <v>0.15</v>
      </c>
      <c r="D341" s="2100">
        <v>0.15</v>
      </c>
      <c r="E341" s="2100">
        <v>0.15</v>
      </c>
      <c r="F341" s="2101">
        <v>0.15</v>
      </c>
    </row>
    <row r="342" spans="1:6" ht="14.25" thickBot="1">
      <c r="A342" s="1513" t="s">
        <v>2276</v>
      </c>
      <c r="B342" s="1507" t="s">
        <v>2281</v>
      </c>
      <c r="C342" s="2100">
        <v>0.15</v>
      </c>
      <c r="D342" s="2100">
        <v>0.15</v>
      </c>
      <c r="E342" s="2100">
        <v>0.15</v>
      </c>
      <c r="F342" s="2101">
        <v>0.15</v>
      </c>
    </row>
    <row r="343" spans="1:6" ht="14.25" thickBot="1">
      <c r="A343" s="1513" t="s">
        <v>2276</v>
      </c>
      <c r="B343" s="1507" t="s">
        <v>2282</v>
      </c>
      <c r="C343" s="2100">
        <v>0.15</v>
      </c>
      <c r="D343" s="2100">
        <v>0.15</v>
      </c>
      <c r="E343" s="2100">
        <v>0.15</v>
      </c>
      <c r="F343" s="2101">
        <v>0.15</v>
      </c>
    </row>
    <row r="344" spans="1:6" ht="14.25" thickBot="1">
      <c r="A344" s="1523" t="s">
        <v>2276</v>
      </c>
      <c r="B344" s="1519" t="s">
        <v>2283</v>
      </c>
      <c r="C344" s="2102">
        <v>0.15</v>
      </c>
      <c r="D344" s="2102">
        <v>0.15</v>
      </c>
      <c r="E344" s="2102">
        <v>0.15</v>
      </c>
      <c r="F344" s="2103">
        <v>0.15</v>
      </c>
    </row>
  </sheetData>
  <sheetProtection password="C66D" sheet="1" objects="1" scenarios="1"/>
  <mergeCells count="1">
    <mergeCell ref="A1:B1"/>
  </mergeCells>
  <phoneticPr fontId="1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22" customWidth="1"/>
    <col min="2" max="2" width="13.25" style="3128" customWidth="1"/>
    <col min="3" max="3" width="15.625" style="3128" customWidth="1"/>
    <col min="4" max="4" width="9.375" style="3128" bestFit="1" customWidth="1"/>
    <col min="5" max="5" width="13.5" style="3128" customWidth="1"/>
    <col min="6" max="6" width="9" style="3128"/>
    <col min="7" max="7" width="9.375" style="3128" bestFit="1" customWidth="1"/>
    <col min="8" max="8" width="12.25" style="3128" customWidth="1"/>
    <col min="9" max="9" width="9" style="3128"/>
    <col min="10" max="10" width="9.375" style="3128" bestFit="1" customWidth="1"/>
    <col min="11" max="11" width="4" style="3122" customWidth="1"/>
    <col min="12" max="12" width="5.125" style="3128" customWidth="1"/>
    <col min="13" max="13" width="13.75" style="3128" customWidth="1"/>
    <col min="14" max="256" width="9" style="3128"/>
    <col min="257" max="257" width="4.875" style="3119" customWidth="1"/>
    <col min="258" max="258" width="13.25" style="3119" customWidth="1"/>
    <col min="259" max="259" width="15.625" style="3119" customWidth="1"/>
    <col min="260" max="260" width="9.375" style="3119" bestFit="1" customWidth="1"/>
    <col min="261" max="261" width="13.5" style="3119" customWidth="1"/>
    <col min="262" max="262" width="9" style="3119"/>
    <col min="263" max="263" width="9.375" style="3119" bestFit="1" customWidth="1"/>
    <col min="264" max="265" width="9" style="3119"/>
    <col min="266" max="266" width="9.375" style="3119" bestFit="1" customWidth="1"/>
    <col min="267" max="267" width="4" style="3119" customWidth="1"/>
    <col min="268" max="268" width="5.125" style="3119" customWidth="1"/>
    <col min="269" max="269" width="13.75" style="3119" customWidth="1"/>
    <col min="270" max="512" width="9" style="3119"/>
    <col min="513" max="513" width="4.875" style="3119" customWidth="1"/>
    <col min="514" max="514" width="13.25" style="3119" customWidth="1"/>
    <col min="515" max="515" width="15.625" style="3119" customWidth="1"/>
    <col min="516" max="516" width="9.375" style="3119" bestFit="1" customWidth="1"/>
    <col min="517" max="517" width="13.5" style="3119" customWidth="1"/>
    <col min="518" max="518" width="9" style="3119"/>
    <col min="519" max="519" width="9.375" style="3119" bestFit="1" customWidth="1"/>
    <col min="520" max="521" width="9" style="3119"/>
    <col min="522" max="522" width="9.375" style="3119" bestFit="1" customWidth="1"/>
    <col min="523" max="523" width="4" style="3119" customWidth="1"/>
    <col min="524" max="524" width="5.125" style="3119" customWidth="1"/>
    <col min="525" max="525" width="13.75" style="3119" customWidth="1"/>
    <col min="526" max="768" width="9" style="3119"/>
    <col min="769" max="769" width="4.875" style="3119" customWidth="1"/>
    <col min="770" max="770" width="13.25" style="3119" customWidth="1"/>
    <col min="771" max="771" width="15.625" style="3119" customWidth="1"/>
    <col min="772" max="772" width="9.375" style="3119" bestFit="1" customWidth="1"/>
    <col min="773" max="773" width="13.5" style="3119" customWidth="1"/>
    <col min="774" max="774" width="9" style="3119"/>
    <col min="775" max="775" width="9.375" style="3119" bestFit="1" customWidth="1"/>
    <col min="776" max="777" width="9" style="3119"/>
    <col min="778" max="778" width="9.375" style="3119" bestFit="1" customWidth="1"/>
    <col min="779" max="779" width="4" style="3119" customWidth="1"/>
    <col min="780" max="780" width="5.125" style="3119" customWidth="1"/>
    <col min="781" max="781" width="13.75" style="3119" customWidth="1"/>
    <col min="782" max="1024" width="9" style="3119"/>
    <col min="1025" max="1025" width="4.875" style="3119" customWidth="1"/>
    <col min="1026" max="1026" width="13.25" style="3119" customWidth="1"/>
    <col min="1027" max="1027" width="15.625" style="3119" customWidth="1"/>
    <col min="1028" max="1028" width="9.375" style="3119" bestFit="1" customWidth="1"/>
    <col min="1029" max="1029" width="13.5" style="3119" customWidth="1"/>
    <col min="1030" max="1030" width="9" style="3119"/>
    <col min="1031" max="1031" width="9.375" style="3119" bestFit="1" customWidth="1"/>
    <col min="1032" max="1033" width="9" style="3119"/>
    <col min="1034" max="1034" width="9.375" style="3119" bestFit="1" customWidth="1"/>
    <col min="1035" max="1035" width="4" style="3119" customWidth="1"/>
    <col min="1036" max="1036" width="5.125" style="3119" customWidth="1"/>
    <col min="1037" max="1037" width="13.75" style="3119" customWidth="1"/>
    <col min="1038" max="1280" width="9" style="3119"/>
    <col min="1281" max="1281" width="4.875" style="3119" customWidth="1"/>
    <col min="1282" max="1282" width="13.25" style="3119" customWidth="1"/>
    <col min="1283" max="1283" width="15.625" style="3119" customWidth="1"/>
    <col min="1284" max="1284" width="9.375" style="3119" bestFit="1" customWidth="1"/>
    <col min="1285" max="1285" width="13.5" style="3119" customWidth="1"/>
    <col min="1286" max="1286" width="9" style="3119"/>
    <col min="1287" max="1287" width="9.375" style="3119" bestFit="1" customWidth="1"/>
    <col min="1288" max="1289" width="9" style="3119"/>
    <col min="1290" max="1290" width="9.375" style="3119" bestFit="1" customWidth="1"/>
    <col min="1291" max="1291" width="4" style="3119" customWidth="1"/>
    <col min="1292" max="1292" width="5.125" style="3119" customWidth="1"/>
    <col min="1293" max="1293" width="13.75" style="3119" customWidth="1"/>
    <col min="1294" max="1536" width="9" style="3119"/>
    <col min="1537" max="1537" width="4.875" style="3119" customWidth="1"/>
    <col min="1538" max="1538" width="13.25" style="3119" customWidth="1"/>
    <col min="1539" max="1539" width="15.625" style="3119" customWidth="1"/>
    <col min="1540" max="1540" width="9.375" style="3119" bestFit="1" customWidth="1"/>
    <col min="1541" max="1541" width="13.5" style="3119" customWidth="1"/>
    <col min="1542" max="1542" width="9" style="3119"/>
    <col min="1543" max="1543" width="9.375" style="3119" bestFit="1" customWidth="1"/>
    <col min="1544" max="1545" width="9" style="3119"/>
    <col min="1546" max="1546" width="9.375" style="3119" bestFit="1" customWidth="1"/>
    <col min="1547" max="1547" width="4" style="3119" customWidth="1"/>
    <col min="1548" max="1548" width="5.125" style="3119" customWidth="1"/>
    <col min="1549" max="1549" width="13.75" style="3119" customWidth="1"/>
    <col min="1550" max="1792" width="9" style="3119"/>
    <col min="1793" max="1793" width="4.875" style="3119" customWidth="1"/>
    <col min="1794" max="1794" width="13.25" style="3119" customWidth="1"/>
    <col min="1795" max="1795" width="15.625" style="3119" customWidth="1"/>
    <col min="1796" max="1796" width="9.375" style="3119" bestFit="1" customWidth="1"/>
    <col min="1797" max="1797" width="13.5" style="3119" customWidth="1"/>
    <col min="1798" max="1798" width="9" style="3119"/>
    <col min="1799" max="1799" width="9.375" style="3119" bestFit="1" customWidth="1"/>
    <col min="1800" max="1801" width="9" style="3119"/>
    <col min="1802" max="1802" width="9.375" style="3119" bestFit="1" customWidth="1"/>
    <col min="1803" max="1803" width="4" style="3119" customWidth="1"/>
    <col min="1804" max="1804" width="5.125" style="3119" customWidth="1"/>
    <col min="1805" max="1805" width="13.75" style="3119" customWidth="1"/>
    <col min="1806" max="2048" width="9" style="3119"/>
    <col min="2049" max="2049" width="4.875" style="3119" customWidth="1"/>
    <col min="2050" max="2050" width="13.25" style="3119" customWidth="1"/>
    <col min="2051" max="2051" width="15.625" style="3119" customWidth="1"/>
    <col min="2052" max="2052" width="9.375" style="3119" bestFit="1" customWidth="1"/>
    <col min="2053" max="2053" width="13.5" style="3119" customWidth="1"/>
    <col min="2054" max="2054" width="9" style="3119"/>
    <col min="2055" max="2055" width="9.375" style="3119" bestFit="1" customWidth="1"/>
    <col min="2056" max="2057" width="9" style="3119"/>
    <col min="2058" max="2058" width="9.375" style="3119" bestFit="1" customWidth="1"/>
    <col min="2059" max="2059" width="4" style="3119" customWidth="1"/>
    <col min="2060" max="2060" width="5.125" style="3119" customWidth="1"/>
    <col min="2061" max="2061" width="13.75" style="3119" customWidth="1"/>
    <col min="2062" max="2304" width="9" style="3119"/>
    <col min="2305" max="2305" width="4.875" style="3119" customWidth="1"/>
    <col min="2306" max="2306" width="13.25" style="3119" customWidth="1"/>
    <col min="2307" max="2307" width="15.625" style="3119" customWidth="1"/>
    <col min="2308" max="2308" width="9.375" style="3119" bestFit="1" customWidth="1"/>
    <col min="2309" max="2309" width="13.5" style="3119" customWidth="1"/>
    <col min="2310" max="2310" width="9" style="3119"/>
    <col min="2311" max="2311" width="9.375" style="3119" bestFit="1" customWidth="1"/>
    <col min="2312" max="2313" width="9" style="3119"/>
    <col min="2314" max="2314" width="9.375" style="3119" bestFit="1" customWidth="1"/>
    <col min="2315" max="2315" width="4" style="3119" customWidth="1"/>
    <col min="2316" max="2316" width="5.125" style="3119" customWidth="1"/>
    <col min="2317" max="2317" width="13.75" style="3119" customWidth="1"/>
    <col min="2318" max="2560" width="9" style="3119"/>
    <col min="2561" max="2561" width="4.875" style="3119" customWidth="1"/>
    <col min="2562" max="2562" width="13.25" style="3119" customWidth="1"/>
    <col min="2563" max="2563" width="15.625" style="3119" customWidth="1"/>
    <col min="2564" max="2564" width="9.375" style="3119" bestFit="1" customWidth="1"/>
    <col min="2565" max="2565" width="13.5" style="3119" customWidth="1"/>
    <col min="2566" max="2566" width="9" style="3119"/>
    <col min="2567" max="2567" width="9.375" style="3119" bestFit="1" customWidth="1"/>
    <col min="2568" max="2569" width="9" style="3119"/>
    <col min="2570" max="2570" width="9.375" style="3119" bestFit="1" customWidth="1"/>
    <col min="2571" max="2571" width="4" style="3119" customWidth="1"/>
    <col min="2572" max="2572" width="5.125" style="3119" customWidth="1"/>
    <col min="2573" max="2573" width="13.75" style="3119" customWidth="1"/>
    <col min="2574" max="2816" width="9" style="3119"/>
    <col min="2817" max="2817" width="4.875" style="3119" customWidth="1"/>
    <col min="2818" max="2818" width="13.25" style="3119" customWidth="1"/>
    <col min="2819" max="2819" width="15.625" style="3119" customWidth="1"/>
    <col min="2820" max="2820" width="9.375" style="3119" bestFit="1" customWidth="1"/>
    <col min="2821" max="2821" width="13.5" style="3119" customWidth="1"/>
    <col min="2822" max="2822" width="9" style="3119"/>
    <col min="2823" max="2823" width="9.375" style="3119" bestFit="1" customWidth="1"/>
    <col min="2824" max="2825" width="9" style="3119"/>
    <col min="2826" max="2826" width="9.375" style="3119" bestFit="1" customWidth="1"/>
    <col min="2827" max="2827" width="4" style="3119" customWidth="1"/>
    <col min="2828" max="2828" width="5.125" style="3119" customWidth="1"/>
    <col min="2829" max="2829" width="13.75" style="3119" customWidth="1"/>
    <col min="2830" max="3072" width="9" style="3119"/>
    <col min="3073" max="3073" width="4.875" style="3119" customWidth="1"/>
    <col min="3074" max="3074" width="13.25" style="3119" customWidth="1"/>
    <col min="3075" max="3075" width="15.625" style="3119" customWidth="1"/>
    <col min="3076" max="3076" width="9.375" style="3119" bestFit="1" customWidth="1"/>
    <col min="3077" max="3077" width="13.5" style="3119" customWidth="1"/>
    <col min="3078" max="3078" width="9" style="3119"/>
    <col min="3079" max="3079" width="9.375" style="3119" bestFit="1" customWidth="1"/>
    <col min="3080" max="3081" width="9" style="3119"/>
    <col min="3082" max="3082" width="9.375" style="3119" bestFit="1" customWidth="1"/>
    <col min="3083" max="3083" width="4" style="3119" customWidth="1"/>
    <col min="3084" max="3084" width="5.125" style="3119" customWidth="1"/>
    <col min="3085" max="3085" width="13.75" style="3119" customWidth="1"/>
    <col min="3086" max="3328" width="9" style="3119"/>
    <col min="3329" max="3329" width="4.875" style="3119" customWidth="1"/>
    <col min="3330" max="3330" width="13.25" style="3119" customWidth="1"/>
    <col min="3331" max="3331" width="15.625" style="3119" customWidth="1"/>
    <col min="3332" max="3332" width="9.375" style="3119" bestFit="1" customWidth="1"/>
    <col min="3333" max="3333" width="13.5" style="3119" customWidth="1"/>
    <col min="3334" max="3334" width="9" style="3119"/>
    <col min="3335" max="3335" width="9.375" style="3119" bestFit="1" customWidth="1"/>
    <col min="3336" max="3337" width="9" style="3119"/>
    <col min="3338" max="3338" width="9.375" style="3119" bestFit="1" customWidth="1"/>
    <col min="3339" max="3339" width="4" style="3119" customWidth="1"/>
    <col min="3340" max="3340" width="5.125" style="3119" customWidth="1"/>
    <col min="3341" max="3341" width="13.75" style="3119" customWidth="1"/>
    <col min="3342" max="3584" width="9" style="3119"/>
    <col min="3585" max="3585" width="4.875" style="3119" customWidth="1"/>
    <col min="3586" max="3586" width="13.25" style="3119" customWidth="1"/>
    <col min="3587" max="3587" width="15.625" style="3119" customWidth="1"/>
    <col min="3588" max="3588" width="9.375" style="3119" bestFit="1" customWidth="1"/>
    <col min="3589" max="3589" width="13.5" style="3119" customWidth="1"/>
    <col min="3590" max="3590" width="9" style="3119"/>
    <col min="3591" max="3591" width="9.375" style="3119" bestFit="1" customWidth="1"/>
    <col min="3592" max="3593" width="9" style="3119"/>
    <col min="3594" max="3594" width="9.375" style="3119" bestFit="1" customWidth="1"/>
    <col min="3595" max="3595" width="4" style="3119" customWidth="1"/>
    <col min="3596" max="3596" width="5.125" style="3119" customWidth="1"/>
    <col min="3597" max="3597" width="13.75" style="3119" customWidth="1"/>
    <col min="3598" max="3840" width="9" style="3119"/>
    <col min="3841" max="3841" width="4.875" style="3119" customWidth="1"/>
    <col min="3842" max="3842" width="13.25" style="3119" customWidth="1"/>
    <col min="3843" max="3843" width="15.625" style="3119" customWidth="1"/>
    <col min="3844" max="3844" width="9.375" style="3119" bestFit="1" customWidth="1"/>
    <col min="3845" max="3845" width="13.5" style="3119" customWidth="1"/>
    <col min="3846" max="3846" width="9" style="3119"/>
    <col min="3847" max="3847" width="9.375" style="3119" bestFit="1" customWidth="1"/>
    <col min="3848" max="3849" width="9" style="3119"/>
    <col min="3850" max="3850" width="9.375" style="3119" bestFit="1" customWidth="1"/>
    <col min="3851" max="3851" width="4" style="3119" customWidth="1"/>
    <col min="3852" max="3852" width="5.125" style="3119" customWidth="1"/>
    <col min="3853" max="3853" width="13.75" style="3119" customWidth="1"/>
    <col min="3854" max="4096" width="9" style="3119"/>
    <col min="4097" max="4097" width="4.875" style="3119" customWidth="1"/>
    <col min="4098" max="4098" width="13.25" style="3119" customWidth="1"/>
    <col min="4099" max="4099" width="15.625" style="3119" customWidth="1"/>
    <col min="4100" max="4100" width="9.375" style="3119" bestFit="1" customWidth="1"/>
    <col min="4101" max="4101" width="13.5" style="3119" customWidth="1"/>
    <col min="4102" max="4102" width="9" style="3119"/>
    <col min="4103" max="4103" width="9.375" style="3119" bestFit="1" customWidth="1"/>
    <col min="4104" max="4105" width="9" style="3119"/>
    <col min="4106" max="4106" width="9.375" style="3119" bestFit="1" customWidth="1"/>
    <col min="4107" max="4107" width="4" style="3119" customWidth="1"/>
    <col min="4108" max="4108" width="5.125" style="3119" customWidth="1"/>
    <col min="4109" max="4109" width="13.75" style="3119" customWidth="1"/>
    <col min="4110" max="4352" width="9" style="3119"/>
    <col min="4353" max="4353" width="4.875" style="3119" customWidth="1"/>
    <col min="4354" max="4354" width="13.25" style="3119" customWidth="1"/>
    <col min="4355" max="4355" width="15.625" style="3119" customWidth="1"/>
    <col min="4356" max="4356" width="9.375" style="3119" bestFit="1" customWidth="1"/>
    <col min="4357" max="4357" width="13.5" style="3119" customWidth="1"/>
    <col min="4358" max="4358" width="9" style="3119"/>
    <col min="4359" max="4359" width="9.375" style="3119" bestFit="1" customWidth="1"/>
    <col min="4360" max="4361" width="9" style="3119"/>
    <col min="4362" max="4362" width="9.375" style="3119" bestFit="1" customWidth="1"/>
    <col min="4363" max="4363" width="4" style="3119" customWidth="1"/>
    <col min="4364" max="4364" width="5.125" style="3119" customWidth="1"/>
    <col min="4365" max="4365" width="13.75" style="3119" customWidth="1"/>
    <col min="4366" max="4608" width="9" style="3119"/>
    <col min="4609" max="4609" width="4.875" style="3119" customWidth="1"/>
    <col min="4610" max="4610" width="13.25" style="3119" customWidth="1"/>
    <col min="4611" max="4611" width="15.625" style="3119" customWidth="1"/>
    <col min="4612" max="4612" width="9.375" style="3119" bestFit="1" customWidth="1"/>
    <col min="4613" max="4613" width="13.5" style="3119" customWidth="1"/>
    <col min="4614" max="4614" width="9" style="3119"/>
    <col min="4615" max="4615" width="9.375" style="3119" bestFit="1" customWidth="1"/>
    <col min="4616" max="4617" width="9" style="3119"/>
    <col min="4618" max="4618" width="9.375" style="3119" bestFit="1" customWidth="1"/>
    <col min="4619" max="4619" width="4" style="3119" customWidth="1"/>
    <col min="4620" max="4620" width="5.125" style="3119" customWidth="1"/>
    <col min="4621" max="4621" width="13.75" style="3119" customWidth="1"/>
    <col min="4622" max="4864" width="9" style="3119"/>
    <col min="4865" max="4865" width="4.875" style="3119" customWidth="1"/>
    <col min="4866" max="4866" width="13.25" style="3119" customWidth="1"/>
    <col min="4867" max="4867" width="15.625" style="3119" customWidth="1"/>
    <col min="4868" max="4868" width="9.375" style="3119" bestFit="1" customWidth="1"/>
    <col min="4869" max="4869" width="13.5" style="3119" customWidth="1"/>
    <col min="4870" max="4870" width="9" style="3119"/>
    <col min="4871" max="4871" width="9.375" style="3119" bestFit="1" customWidth="1"/>
    <col min="4872" max="4873" width="9" style="3119"/>
    <col min="4874" max="4874" width="9.375" style="3119" bestFit="1" customWidth="1"/>
    <col min="4875" max="4875" width="4" style="3119" customWidth="1"/>
    <col min="4876" max="4876" width="5.125" style="3119" customWidth="1"/>
    <col min="4877" max="4877" width="13.75" style="3119" customWidth="1"/>
    <col min="4878" max="5120" width="9" style="3119"/>
    <col min="5121" max="5121" width="4.875" style="3119" customWidth="1"/>
    <col min="5122" max="5122" width="13.25" style="3119" customWidth="1"/>
    <col min="5123" max="5123" width="15.625" style="3119" customWidth="1"/>
    <col min="5124" max="5124" width="9.375" style="3119" bestFit="1" customWidth="1"/>
    <col min="5125" max="5125" width="13.5" style="3119" customWidth="1"/>
    <col min="5126" max="5126" width="9" style="3119"/>
    <col min="5127" max="5127" width="9.375" style="3119" bestFit="1" customWidth="1"/>
    <col min="5128" max="5129" width="9" style="3119"/>
    <col min="5130" max="5130" width="9.375" style="3119" bestFit="1" customWidth="1"/>
    <col min="5131" max="5131" width="4" style="3119" customWidth="1"/>
    <col min="5132" max="5132" width="5.125" style="3119" customWidth="1"/>
    <col min="5133" max="5133" width="13.75" style="3119" customWidth="1"/>
    <col min="5134" max="5376" width="9" style="3119"/>
    <col min="5377" max="5377" width="4.875" style="3119" customWidth="1"/>
    <col min="5378" max="5378" width="13.25" style="3119" customWidth="1"/>
    <col min="5379" max="5379" width="15.625" style="3119" customWidth="1"/>
    <col min="5380" max="5380" width="9.375" style="3119" bestFit="1" customWidth="1"/>
    <col min="5381" max="5381" width="13.5" style="3119" customWidth="1"/>
    <col min="5382" max="5382" width="9" style="3119"/>
    <col min="5383" max="5383" width="9.375" style="3119" bestFit="1" customWidth="1"/>
    <col min="5384" max="5385" width="9" style="3119"/>
    <col min="5386" max="5386" width="9.375" style="3119" bestFit="1" customWidth="1"/>
    <col min="5387" max="5387" width="4" style="3119" customWidth="1"/>
    <col min="5388" max="5388" width="5.125" style="3119" customWidth="1"/>
    <col min="5389" max="5389" width="13.75" style="3119" customWidth="1"/>
    <col min="5390" max="5632" width="9" style="3119"/>
    <col min="5633" max="5633" width="4.875" style="3119" customWidth="1"/>
    <col min="5634" max="5634" width="13.25" style="3119" customWidth="1"/>
    <col min="5635" max="5635" width="15.625" style="3119" customWidth="1"/>
    <col min="5636" max="5636" width="9.375" style="3119" bestFit="1" customWidth="1"/>
    <col min="5637" max="5637" width="13.5" style="3119" customWidth="1"/>
    <col min="5638" max="5638" width="9" style="3119"/>
    <col min="5639" max="5639" width="9.375" style="3119" bestFit="1" customWidth="1"/>
    <col min="5640" max="5641" width="9" style="3119"/>
    <col min="5642" max="5642" width="9.375" style="3119" bestFit="1" customWidth="1"/>
    <col min="5643" max="5643" width="4" style="3119" customWidth="1"/>
    <col min="5644" max="5644" width="5.125" style="3119" customWidth="1"/>
    <col min="5645" max="5645" width="13.75" style="3119" customWidth="1"/>
    <col min="5646" max="5888" width="9" style="3119"/>
    <col min="5889" max="5889" width="4.875" style="3119" customWidth="1"/>
    <col min="5890" max="5890" width="13.25" style="3119" customWidth="1"/>
    <col min="5891" max="5891" width="15.625" style="3119" customWidth="1"/>
    <col min="5892" max="5892" width="9.375" style="3119" bestFit="1" customWidth="1"/>
    <col min="5893" max="5893" width="13.5" style="3119" customWidth="1"/>
    <col min="5894" max="5894" width="9" style="3119"/>
    <col min="5895" max="5895" width="9.375" style="3119" bestFit="1" customWidth="1"/>
    <col min="5896" max="5897" width="9" style="3119"/>
    <col min="5898" max="5898" width="9.375" style="3119" bestFit="1" customWidth="1"/>
    <col min="5899" max="5899" width="4" style="3119" customWidth="1"/>
    <col min="5900" max="5900" width="5.125" style="3119" customWidth="1"/>
    <col min="5901" max="5901" width="13.75" style="3119" customWidth="1"/>
    <col min="5902" max="6144" width="9" style="3119"/>
    <col min="6145" max="6145" width="4.875" style="3119" customWidth="1"/>
    <col min="6146" max="6146" width="13.25" style="3119" customWidth="1"/>
    <col min="6147" max="6147" width="15.625" style="3119" customWidth="1"/>
    <col min="6148" max="6148" width="9.375" style="3119" bestFit="1" customWidth="1"/>
    <col min="6149" max="6149" width="13.5" style="3119" customWidth="1"/>
    <col min="6150" max="6150" width="9" style="3119"/>
    <col min="6151" max="6151" width="9.375" style="3119" bestFit="1" customWidth="1"/>
    <col min="6152" max="6153" width="9" style="3119"/>
    <col min="6154" max="6154" width="9.375" style="3119" bestFit="1" customWidth="1"/>
    <col min="6155" max="6155" width="4" style="3119" customWidth="1"/>
    <col min="6156" max="6156" width="5.125" style="3119" customWidth="1"/>
    <col min="6157" max="6157" width="13.75" style="3119" customWidth="1"/>
    <col min="6158" max="6400" width="9" style="3119"/>
    <col min="6401" max="6401" width="4.875" style="3119" customWidth="1"/>
    <col min="6402" max="6402" width="13.25" style="3119" customWidth="1"/>
    <col min="6403" max="6403" width="15.625" style="3119" customWidth="1"/>
    <col min="6404" max="6404" width="9.375" style="3119" bestFit="1" customWidth="1"/>
    <col min="6405" max="6405" width="13.5" style="3119" customWidth="1"/>
    <col min="6406" max="6406" width="9" style="3119"/>
    <col min="6407" max="6407" width="9.375" style="3119" bestFit="1" customWidth="1"/>
    <col min="6408" max="6409" width="9" style="3119"/>
    <col min="6410" max="6410" width="9.375" style="3119" bestFit="1" customWidth="1"/>
    <col min="6411" max="6411" width="4" style="3119" customWidth="1"/>
    <col min="6412" max="6412" width="5.125" style="3119" customWidth="1"/>
    <col min="6413" max="6413" width="13.75" style="3119" customWidth="1"/>
    <col min="6414" max="6656" width="9" style="3119"/>
    <col min="6657" max="6657" width="4.875" style="3119" customWidth="1"/>
    <col min="6658" max="6658" width="13.25" style="3119" customWidth="1"/>
    <col min="6659" max="6659" width="15.625" style="3119" customWidth="1"/>
    <col min="6660" max="6660" width="9.375" style="3119" bestFit="1" customWidth="1"/>
    <col min="6661" max="6661" width="13.5" style="3119" customWidth="1"/>
    <col min="6662" max="6662" width="9" style="3119"/>
    <col min="6663" max="6663" width="9.375" style="3119" bestFit="1" customWidth="1"/>
    <col min="6664" max="6665" width="9" style="3119"/>
    <col min="6666" max="6666" width="9.375" style="3119" bestFit="1" customWidth="1"/>
    <col min="6667" max="6667" width="4" style="3119" customWidth="1"/>
    <col min="6668" max="6668" width="5.125" style="3119" customWidth="1"/>
    <col min="6669" max="6669" width="13.75" style="3119" customWidth="1"/>
    <col min="6670" max="6912" width="9" style="3119"/>
    <col min="6913" max="6913" width="4.875" style="3119" customWidth="1"/>
    <col min="6914" max="6914" width="13.25" style="3119" customWidth="1"/>
    <col min="6915" max="6915" width="15.625" style="3119" customWidth="1"/>
    <col min="6916" max="6916" width="9.375" style="3119" bestFit="1" customWidth="1"/>
    <col min="6917" max="6917" width="13.5" style="3119" customWidth="1"/>
    <col min="6918" max="6918" width="9" style="3119"/>
    <col min="6919" max="6919" width="9.375" style="3119" bestFit="1" customWidth="1"/>
    <col min="6920" max="6921" width="9" style="3119"/>
    <col min="6922" max="6922" width="9.375" style="3119" bestFit="1" customWidth="1"/>
    <col min="6923" max="6923" width="4" style="3119" customWidth="1"/>
    <col min="6924" max="6924" width="5.125" style="3119" customWidth="1"/>
    <col min="6925" max="6925" width="13.75" style="3119" customWidth="1"/>
    <col min="6926" max="7168" width="9" style="3119"/>
    <col min="7169" max="7169" width="4.875" style="3119" customWidth="1"/>
    <col min="7170" max="7170" width="13.25" style="3119" customWidth="1"/>
    <col min="7171" max="7171" width="15.625" style="3119" customWidth="1"/>
    <col min="7172" max="7172" width="9.375" style="3119" bestFit="1" customWidth="1"/>
    <col min="7173" max="7173" width="13.5" style="3119" customWidth="1"/>
    <col min="7174" max="7174" width="9" style="3119"/>
    <col min="7175" max="7175" width="9.375" style="3119" bestFit="1" customWidth="1"/>
    <col min="7176" max="7177" width="9" style="3119"/>
    <col min="7178" max="7178" width="9.375" style="3119" bestFit="1" customWidth="1"/>
    <col min="7179" max="7179" width="4" style="3119" customWidth="1"/>
    <col min="7180" max="7180" width="5.125" style="3119" customWidth="1"/>
    <col min="7181" max="7181" width="13.75" style="3119" customWidth="1"/>
    <col min="7182" max="7424" width="9" style="3119"/>
    <col min="7425" max="7425" width="4.875" style="3119" customWidth="1"/>
    <col min="7426" max="7426" width="13.25" style="3119" customWidth="1"/>
    <col min="7427" max="7427" width="15.625" style="3119" customWidth="1"/>
    <col min="7428" max="7428" width="9.375" style="3119" bestFit="1" customWidth="1"/>
    <col min="7429" max="7429" width="13.5" style="3119" customWidth="1"/>
    <col min="7430" max="7430" width="9" style="3119"/>
    <col min="7431" max="7431" width="9.375" style="3119" bestFit="1" customWidth="1"/>
    <col min="7432" max="7433" width="9" style="3119"/>
    <col min="7434" max="7434" width="9.375" style="3119" bestFit="1" customWidth="1"/>
    <col min="7435" max="7435" width="4" style="3119" customWidth="1"/>
    <col min="7436" max="7436" width="5.125" style="3119" customWidth="1"/>
    <col min="7437" max="7437" width="13.75" style="3119" customWidth="1"/>
    <col min="7438" max="7680" width="9" style="3119"/>
    <col min="7681" max="7681" width="4.875" style="3119" customWidth="1"/>
    <col min="7682" max="7682" width="13.25" style="3119" customWidth="1"/>
    <col min="7683" max="7683" width="15.625" style="3119" customWidth="1"/>
    <col min="7684" max="7684" width="9.375" style="3119" bestFit="1" customWidth="1"/>
    <col min="7685" max="7685" width="13.5" style="3119" customWidth="1"/>
    <col min="7686" max="7686" width="9" style="3119"/>
    <col min="7687" max="7687" width="9.375" style="3119" bestFit="1" customWidth="1"/>
    <col min="7688" max="7689" width="9" style="3119"/>
    <col min="7690" max="7690" width="9.375" style="3119" bestFit="1" customWidth="1"/>
    <col min="7691" max="7691" width="4" style="3119" customWidth="1"/>
    <col min="7692" max="7692" width="5.125" style="3119" customWidth="1"/>
    <col min="7693" max="7693" width="13.75" style="3119" customWidth="1"/>
    <col min="7694" max="7936" width="9" style="3119"/>
    <col min="7937" max="7937" width="4.875" style="3119" customWidth="1"/>
    <col min="7938" max="7938" width="13.25" style="3119" customWidth="1"/>
    <col min="7939" max="7939" width="15.625" style="3119" customWidth="1"/>
    <col min="7940" max="7940" width="9.375" style="3119" bestFit="1" customWidth="1"/>
    <col min="7941" max="7941" width="13.5" style="3119" customWidth="1"/>
    <col min="7942" max="7942" width="9" style="3119"/>
    <col min="7943" max="7943" width="9.375" style="3119" bestFit="1" customWidth="1"/>
    <col min="7944" max="7945" width="9" style="3119"/>
    <col min="7946" max="7946" width="9.375" style="3119" bestFit="1" customWidth="1"/>
    <col min="7947" max="7947" width="4" style="3119" customWidth="1"/>
    <col min="7948" max="7948" width="5.125" style="3119" customWidth="1"/>
    <col min="7949" max="7949" width="13.75" style="3119" customWidth="1"/>
    <col min="7950" max="8192" width="9" style="3119"/>
    <col min="8193" max="8193" width="4.875" style="3119" customWidth="1"/>
    <col min="8194" max="8194" width="13.25" style="3119" customWidth="1"/>
    <col min="8195" max="8195" width="15.625" style="3119" customWidth="1"/>
    <col min="8196" max="8196" width="9.375" style="3119" bestFit="1" customWidth="1"/>
    <col min="8197" max="8197" width="13.5" style="3119" customWidth="1"/>
    <col min="8198" max="8198" width="9" style="3119"/>
    <col min="8199" max="8199" width="9.375" style="3119" bestFit="1" customWidth="1"/>
    <col min="8200" max="8201" width="9" style="3119"/>
    <col min="8202" max="8202" width="9.375" style="3119" bestFit="1" customWidth="1"/>
    <col min="8203" max="8203" width="4" style="3119" customWidth="1"/>
    <col min="8204" max="8204" width="5.125" style="3119" customWidth="1"/>
    <col min="8205" max="8205" width="13.75" style="3119" customWidth="1"/>
    <col min="8206" max="8448" width="9" style="3119"/>
    <col min="8449" max="8449" width="4.875" style="3119" customWidth="1"/>
    <col min="8450" max="8450" width="13.25" style="3119" customWidth="1"/>
    <col min="8451" max="8451" width="15.625" style="3119" customWidth="1"/>
    <col min="8452" max="8452" width="9.375" style="3119" bestFit="1" customWidth="1"/>
    <col min="8453" max="8453" width="13.5" style="3119" customWidth="1"/>
    <col min="8454" max="8454" width="9" style="3119"/>
    <col min="8455" max="8455" width="9.375" style="3119" bestFit="1" customWidth="1"/>
    <col min="8456" max="8457" width="9" style="3119"/>
    <col min="8458" max="8458" width="9.375" style="3119" bestFit="1" customWidth="1"/>
    <col min="8459" max="8459" width="4" style="3119" customWidth="1"/>
    <col min="8460" max="8460" width="5.125" style="3119" customWidth="1"/>
    <col min="8461" max="8461" width="13.75" style="3119" customWidth="1"/>
    <col min="8462" max="8704" width="9" style="3119"/>
    <col min="8705" max="8705" width="4.875" style="3119" customWidth="1"/>
    <col min="8706" max="8706" width="13.25" style="3119" customWidth="1"/>
    <col min="8707" max="8707" width="15.625" style="3119" customWidth="1"/>
    <col min="8708" max="8708" width="9.375" style="3119" bestFit="1" customWidth="1"/>
    <col min="8709" max="8709" width="13.5" style="3119" customWidth="1"/>
    <col min="8710" max="8710" width="9" style="3119"/>
    <col min="8711" max="8711" width="9.375" style="3119" bestFit="1" customWidth="1"/>
    <col min="8712" max="8713" width="9" style="3119"/>
    <col min="8714" max="8714" width="9.375" style="3119" bestFit="1" customWidth="1"/>
    <col min="8715" max="8715" width="4" style="3119" customWidth="1"/>
    <col min="8716" max="8716" width="5.125" style="3119" customWidth="1"/>
    <col min="8717" max="8717" width="13.75" style="3119" customWidth="1"/>
    <col min="8718" max="8960" width="9" style="3119"/>
    <col min="8961" max="8961" width="4.875" style="3119" customWidth="1"/>
    <col min="8962" max="8962" width="13.25" style="3119" customWidth="1"/>
    <col min="8963" max="8963" width="15.625" style="3119" customWidth="1"/>
    <col min="8964" max="8964" width="9.375" style="3119" bestFit="1" customWidth="1"/>
    <col min="8965" max="8965" width="13.5" style="3119" customWidth="1"/>
    <col min="8966" max="8966" width="9" style="3119"/>
    <col min="8967" max="8967" width="9.375" style="3119" bestFit="1" customWidth="1"/>
    <col min="8968" max="8969" width="9" style="3119"/>
    <col min="8970" max="8970" width="9.375" style="3119" bestFit="1" customWidth="1"/>
    <col min="8971" max="8971" width="4" style="3119" customWidth="1"/>
    <col min="8972" max="8972" width="5.125" style="3119" customWidth="1"/>
    <col min="8973" max="8973" width="13.75" style="3119" customWidth="1"/>
    <col min="8974" max="9216" width="9" style="3119"/>
    <col min="9217" max="9217" width="4.875" style="3119" customWidth="1"/>
    <col min="9218" max="9218" width="13.25" style="3119" customWidth="1"/>
    <col min="9219" max="9219" width="15.625" style="3119" customWidth="1"/>
    <col min="9220" max="9220" width="9.375" style="3119" bestFit="1" customWidth="1"/>
    <col min="9221" max="9221" width="13.5" style="3119" customWidth="1"/>
    <col min="9222" max="9222" width="9" style="3119"/>
    <col min="9223" max="9223" width="9.375" style="3119" bestFit="1" customWidth="1"/>
    <col min="9224" max="9225" width="9" style="3119"/>
    <col min="9226" max="9226" width="9.375" style="3119" bestFit="1" customWidth="1"/>
    <col min="9227" max="9227" width="4" style="3119" customWidth="1"/>
    <col min="9228" max="9228" width="5.125" style="3119" customWidth="1"/>
    <col min="9229" max="9229" width="13.75" style="3119" customWidth="1"/>
    <col min="9230" max="9472" width="9" style="3119"/>
    <col min="9473" max="9473" width="4.875" style="3119" customWidth="1"/>
    <col min="9474" max="9474" width="13.25" style="3119" customWidth="1"/>
    <col min="9475" max="9475" width="15.625" style="3119" customWidth="1"/>
    <col min="9476" max="9476" width="9.375" style="3119" bestFit="1" customWidth="1"/>
    <col min="9477" max="9477" width="13.5" style="3119" customWidth="1"/>
    <col min="9478" max="9478" width="9" style="3119"/>
    <col min="9479" max="9479" width="9.375" style="3119" bestFit="1" customWidth="1"/>
    <col min="9480" max="9481" width="9" style="3119"/>
    <col min="9482" max="9482" width="9.375" style="3119" bestFit="1" customWidth="1"/>
    <col min="9483" max="9483" width="4" style="3119" customWidth="1"/>
    <col min="9484" max="9484" width="5.125" style="3119" customWidth="1"/>
    <col min="9485" max="9485" width="13.75" style="3119" customWidth="1"/>
    <col min="9486" max="9728" width="9" style="3119"/>
    <col min="9729" max="9729" width="4.875" style="3119" customWidth="1"/>
    <col min="9730" max="9730" width="13.25" style="3119" customWidth="1"/>
    <col min="9731" max="9731" width="15.625" style="3119" customWidth="1"/>
    <col min="9732" max="9732" width="9.375" style="3119" bestFit="1" customWidth="1"/>
    <col min="9733" max="9733" width="13.5" style="3119" customWidth="1"/>
    <col min="9734" max="9734" width="9" style="3119"/>
    <col min="9735" max="9735" width="9.375" style="3119" bestFit="1" customWidth="1"/>
    <col min="9736" max="9737" width="9" style="3119"/>
    <col min="9738" max="9738" width="9.375" style="3119" bestFit="1" customWidth="1"/>
    <col min="9739" max="9739" width="4" style="3119" customWidth="1"/>
    <col min="9740" max="9740" width="5.125" style="3119" customWidth="1"/>
    <col min="9741" max="9741" width="13.75" style="3119" customWidth="1"/>
    <col min="9742" max="9984" width="9" style="3119"/>
    <col min="9985" max="9985" width="4.875" style="3119" customWidth="1"/>
    <col min="9986" max="9986" width="13.25" style="3119" customWidth="1"/>
    <col min="9987" max="9987" width="15.625" style="3119" customWidth="1"/>
    <col min="9988" max="9988" width="9.375" style="3119" bestFit="1" customWidth="1"/>
    <col min="9989" max="9989" width="13.5" style="3119" customWidth="1"/>
    <col min="9990" max="9990" width="9" style="3119"/>
    <col min="9991" max="9991" width="9.375" style="3119" bestFit="1" customWidth="1"/>
    <col min="9992" max="9993" width="9" style="3119"/>
    <col min="9994" max="9994" width="9.375" style="3119" bestFit="1" customWidth="1"/>
    <col min="9995" max="9995" width="4" style="3119" customWidth="1"/>
    <col min="9996" max="9996" width="5.125" style="3119" customWidth="1"/>
    <col min="9997" max="9997" width="13.75" style="3119" customWidth="1"/>
    <col min="9998" max="10240" width="9" style="3119"/>
    <col min="10241" max="10241" width="4.875" style="3119" customWidth="1"/>
    <col min="10242" max="10242" width="13.25" style="3119" customWidth="1"/>
    <col min="10243" max="10243" width="15.625" style="3119" customWidth="1"/>
    <col min="10244" max="10244" width="9.375" style="3119" bestFit="1" customWidth="1"/>
    <col min="10245" max="10245" width="13.5" style="3119" customWidth="1"/>
    <col min="10246" max="10246" width="9" style="3119"/>
    <col min="10247" max="10247" width="9.375" style="3119" bestFit="1" customWidth="1"/>
    <col min="10248" max="10249" width="9" style="3119"/>
    <col min="10250" max="10250" width="9.375" style="3119" bestFit="1" customWidth="1"/>
    <col min="10251" max="10251" width="4" style="3119" customWidth="1"/>
    <col min="10252" max="10252" width="5.125" style="3119" customWidth="1"/>
    <col min="10253" max="10253" width="13.75" style="3119" customWidth="1"/>
    <col min="10254" max="10496" width="9" style="3119"/>
    <col min="10497" max="10497" width="4.875" style="3119" customWidth="1"/>
    <col min="10498" max="10498" width="13.25" style="3119" customWidth="1"/>
    <col min="10499" max="10499" width="15.625" style="3119" customWidth="1"/>
    <col min="10500" max="10500" width="9.375" style="3119" bestFit="1" customWidth="1"/>
    <col min="10501" max="10501" width="13.5" style="3119" customWidth="1"/>
    <col min="10502" max="10502" width="9" style="3119"/>
    <col min="10503" max="10503" width="9.375" style="3119" bestFit="1" customWidth="1"/>
    <col min="10504" max="10505" width="9" style="3119"/>
    <col min="10506" max="10506" width="9.375" style="3119" bestFit="1" customWidth="1"/>
    <col min="10507" max="10507" width="4" style="3119" customWidth="1"/>
    <col min="10508" max="10508" width="5.125" style="3119" customWidth="1"/>
    <col min="10509" max="10509" width="13.75" style="3119" customWidth="1"/>
    <col min="10510" max="10752" width="9" style="3119"/>
    <col min="10753" max="10753" width="4.875" style="3119" customWidth="1"/>
    <col min="10754" max="10754" width="13.25" style="3119" customWidth="1"/>
    <col min="10755" max="10755" width="15.625" style="3119" customWidth="1"/>
    <col min="10756" max="10756" width="9.375" style="3119" bestFit="1" customWidth="1"/>
    <col min="10757" max="10757" width="13.5" style="3119" customWidth="1"/>
    <col min="10758" max="10758" width="9" style="3119"/>
    <col min="10759" max="10759" width="9.375" style="3119" bestFit="1" customWidth="1"/>
    <col min="10760" max="10761" width="9" style="3119"/>
    <col min="10762" max="10762" width="9.375" style="3119" bestFit="1" customWidth="1"/>
    <col min="10763" max="10763" width="4" style="3119" customWidth="1"/>
    <col min="10764" max="10764" width="5.125" style="3119" customWidth="1"/>
    <col min="10765" max="10765" width="13.75" style="3119" customWidth="1"/>
    <col min="10766" max="11008" width="9" style="3119"/>
    <col min="11009" max="11009" width="4.875" style="3119" customWidth="1"/>
    <col min="11010" max="11010" width="13.25" style="3119" customWidth="1"/>
    <col min="11011" max="11011" width="15.625" style="3119" customWidth="1"/>
    <col min="11012" max="11012" width="9.375" style="3119" bestFit="1" customWidth="1"/>
    <col min="11013" max="11013" width="13.5" style="3119" customWidth="1"/>
    <col min="11014" max="11014" width="9" style="3119"/>
    <col min="11015" max="11015" width="9.375" style="3119" bestFit="1" customWidth="1"/>
    <col min="11016" max="11017" width="9" style="3119"/>
    <col min="11018" max="11018" width="9.375" style="3119" bestFit="1" customWidth="1"/>
    <col min="11019" max="11019" width="4" style="3119" customWidth="1"/>
    <col min="11020" max="11020" width="5.125" style="3119" customWidth="1"/>
    <col min="11021" max="11021" width="13.75" style="3119" customWidth="1"/>
    <col min="11022" max="11264" width="9" style="3119"/>
    <col min="11265" max="11265" width="4.875" style="3119" customWidth="1"/>
    <col min="11266" max="11266" width="13.25" style="3119" customWidth="1"/>
    <col min="11267" max="11267" width="15.625" style="3119" customWidth="1"/>
    <col min="11268" max="11268" width="9.375" style="3119" bestFit="1" customWidth="1"/>
    <col min="11269" max="11269" width="13.5" style="3119" customWidth="1"/>
    <col min="11270" max="11270" width="9" style="3119"/>
    <col min="11271" max="11271" width="9.375" style="3119" bestFit="1" customWidth="1"/>
    <col min="11272" max="11273" width="9" style="3119"/>
    <col min="11274" max="11274" width="9.375" style="3119" bestFit="1" customWidth="1"/>
    <col min="11275" max="11275" width="4" style="3119" customWidth="1"/>
    <col min="11276" max="11276" width="5.125" style="3119" customWidth="1"/>
    <col min="11277" max="11277" width="13.75" style="3119" customWidth="1"/>
    <col min="11278" max="11520" width="9" style="3119"/>
    <col min="11521" max="11521" width="4.875" style="3119" customWidth="1"/>
    <col min="11522" max="11522" width="13.25" style="3119" customWidth="1"/>
    <col min="11523" max="11523" width="15.625" style="3119" customWidth="1"/>
    <col min="11524" max="11524" width="9.375" style="3119" bestFit="1" customWidth="1"/>
    <col min="11525" max="11525" width="13.5" style="3119" customWidth="1"/>
    <col min="11526" max="11526" width="9" style="3119"/>
    <col min="11527" max="11527" width="9.375" style="3119" bestFit="1" customWidth="1"/>
    <col min="11528" max="11529" width="9" style="3119"/>
    <col min="11530" max="11530" width="9.375" style="3119" bestFit="1" customWidth="1"/>
    <col min="11531" max="11531" width="4" style="3119" customWidth="1"/>
    <col min="11532" max="11532" width="5.125" style="3119" customWidth="1"/>
    <col min="11533" max="11533" width="13.75" style="3119" customWidth="1"/>
    <col min="11534" max="11776" width="9" style="3119"/>
    <col min="11777" max="11777" width="4.875" style="3119" customWidth="1"/>
    <col min="11778" max="11778" width="13.25" style="3119" customWidth="1"/>
    <col min="11779" max="11779" width="15.625" style="3119" customWidth="1"/>
    <col min="11780" max="11780" width="9.375" style="3119" bestFit="1" customWidth="1"/>
    <col min="11781" max="11781" width="13.5" style="3119" customWidth="1"/>
    <col min="11782" max="11782" width="9" style="3119"/>
    <col min="11783" max="11783" width="9.375" style="3119" bestFit="1" customWidth="1"/>
    <col min="11784" max="11785" width="9" style="3119"/>
    <col min="11786" max="11786" width="9.375" style="3119" bestFit="1" customWidth="1"/>
    <col min="11787" max="11787" width="4" style="3119" customWidth="1"/>
    <col min="11788" max="11788" width="5.125" style="3119" customWidth="1"/>
    <col min="11789" max="11789" width="13.75" style="3119" customWidth="1"/>
    <col min="11790" max="12032" width="9" style="3119"/>
    <col min="12033" max="12033" width="4.875" style="3119" customWidth="1"/>
    <col min="12034" max="12034" width="13.25" style="3119" customWidth="1"/>
    <col min="12035" max="12035" width="15.625" style="3119" customWidth="1"/>
    <col min="12036" max="12036" width="9.375" style="3119" bestFit="1" customWidth="1"/>
    <col min="12037" max="12037" width="13.5" style="3119" customWidth="1"/>
    <col min="12038" max="12038" width="9" style="3119"/>
    <col min="12039" max="12039" width="9.375" style="3119" bestFit="1" customWidth="1"/>
    <col min="12040" max="12041" width="9" style="3119"/>
    <col min="12042" max="12042" width="9.375" style="3119" bestFit="1" customWidth="1"/>
    <col min="12043" max="12043" width="4" style="3119" customWidth="1"/>
    <col min="12044" max="12044" width="5.125" style="3119" customWidth="1"/>
    <col min="12045" max="12045" width="13.75" style="3119" customWidth="1"/>
    <col min="12046" max="12288" width="9" style="3119"/>
    <col min="12289" max="12289" width="4.875" style="3119" customWidth="1"/>
    <col min="12290" max="12290" width="13.25" style="3119" customWidth="1"/>
    <col min="12291" max="12291" width="15.625" style="3119" customWidth="1"/>
    <col min="12292" max="12292" width="9.375" style="3119" bestFit="1" customWidth="1"/>
    <col min="12293" max="12293" width="13.5" style="3119" customWidth="1"/>
    <col min="12294" max="12294" width="9" style="3119"/>
    <col min="12295" max="12295" width="9.375" style="3119" bestFit="1" customWidth="1"/>
    <col min="12296" max="12297" width="9" style="3119"/>
    <col min="12298" max="12298" width="9.375" style="3119" bestFit="1" customWidth="1"/>
    <col min="12299" max="12299" width="4" style="3119" customWidth="1"/>
    <col min="12300" max="12300" width="5.125" style="3119" customWidth="1"/>
    <col min="12301" max="12301" width="13.75" style="3119" customWidth="1"/>
    <col min="12302" max="12544" width="9" style="3119"/>
    <col min="12545" max="12545" width="4.875" style="3119" customWidth="1"/>
    <col min="12546" max="12546" width="13.25" style="3119" customWidth="1"/>
    <col min="12547" max="12547" width="15.625" style="3119" customWidth="1"/>
    <col min="12548" max="12548" width="9.375" style="3119" bestFit="1" customWidth="1"/>
    <col min="12549" max="12549" width="13.5" style="3119" customWidth="1"/>
    <col min="12550" max="12550" width="9" style="3119"/>
    <col min="12551" max="12551" width="9.375" style="3119" bestFit="1" customWidth="1"/>
    <col min="12552" max="12553" width="9" style="3119"/>
    <col min="12554" max="12554" width="9.375" style="3119" bestFit="1" customWidth="1"/>
    <col min="12555" max="12555" width="4" style="3119" customWidth="1"/>
    <col min="12556" max="12556" width="5.125" style="3119" customWidth="1"/>
    <col min="12557" max="12557" width="13.75" style="3119" customWidth="1"/>
    <col min="12558" max="12800" width="9" style="3119"/>
    <col min="12801" max="12801" width="4.875" style="3119" customWidth="1"/>
    <col min="12802" max="12802" width="13.25" style="3119" customWidth="1"/>
    <col min="12803" max="12803" width="15.625" style="3119" customWidth="1"/>
    <col min="12804" max="12804" width="9.375" style="3119" bestFit="1" customWidth="1"/>
    <col min="12805" max="12805" width="13.5" style="3119" customWidth="1"/>
    <col min="12806" max="12806" width="9" style="3119"/>
    <col min="12807" max="12807" width="9.375" style="3119" bestFit="1" customWidth="1"/>
    <col min="12808" max="12809" width="9" style="3119"/>
    <col min="12810" max="12810" width="9.375" style="3119" bestFit="1" customWidth="1"/>
    <col min="12811" max="12811" width="4" style="3119" customWidth="1"/>
    <col min="12812" max="12812" width="5.125" style="3119" customWidth="1"/>
    <col min="12813" max="12813" width="13.75" style="3119" customWidth="1"/>
    <col min="12814" max="13056" width="9" style="3119"/>
    <col min="13057" max="13057" width="4.875" style="3119" customWidth="1"/>
    <col min="13058" max="13058" width="13.25" style="3119" customWidth="1"/>
    <col min="13059" max="13059" width="15.625" style="3119" customWidth="1"/>
    <col min="13060" max="13060" width="9.375" style="3119" bestFit="1" customWidth="1"/>
    <col min="13061" max="13061" width="13.5" style="3119" customWidth="1"/>
    <col min="13062" max="13062" width="9" style="3119"/>
    <col min="13063" max="13063" width="9.375" style="3119" bestFit="1" customWidth="1"/>
    <col min="13064" max="13065" width="9" style="3119"/>
    <col min="13066" max="13066" width="9.375" style="3119" bestFit="1" customWidth="1"/>
    <col min="13067" max="13067" width="4" style="3119" customWidth="1"/>
    <col min="13068" max="13068" width="5.125" style="3119" customWidth="1"/>
    <col min="13069" max="13069" width="13.75" style="3119" customWidth="1"/>
    <col min="13070" max="13312" width="9" style="3119"/>
    <col min="13313" max="13313" width="4.875" style="3119" customWidth="1"/>
    <col min="13314" max="13314" width="13.25" style="3119" customWidth="1"/>
    <col min="13315" max="13315" width="15.625" style="3119" customWidth="1"/>
    <col min="13316" max="13316" width="9.375" style="3119" bestFit="1" customWidth="1"/>
    <col min="13317" max="13317" width="13.5" style="3119" customWidth="1"/>
    <col min="13318" max="13318" width="9" style="3119"/>
    <col min="13319" max="13319" width="9.375" style="3119" bestFit="1" customWidth="1"/>
    <col min="13320" max="13321" width="9" style="3119"/>
    <col min="13322" max="13322" width="9.375" style="3119" bestFit="1" customWidth="1"/>
    <col min="13323" max="13323" width="4" style="3119" customWidth="1"/>
    <col min="13324" max="13324" width="5.125" style="3119" customWidth="1"/>
    <col min="13325" max="13325" width="13.75" style="3119" customWidth="1"/>
    <col min="13326" max="13568" width="9" style="3119"/>
    <col min="13569" max="13569" width="4.875" style="3119" customWidth="1"/>
    <col min="13570" max="13570" width="13.25" style="3119" customWidth="1"/>
    <col min="13571" max="13571" width="15.625" style="3119" customWidth="1"/>
    <col min="13572" max="13572" width="9.375" style="3119" bestFit="1" customWidth="1"/>
    <col min="13573" max="13573" width="13.5" style="3119" customWidth="1"/>
    <col min="13574" max="13574" width="9" style="3119"/>
    <col min="13575" max="13575" width="9.375" style="3119" bestFit="1" customWidth="1"/>
    <col min="13576" max="13577" width="9" style="3119"/>
    <col min="13578" max="13578" width="9.375" style="3119" bestFit="1" customWidth="1"/>
    <col min="13579" max="13579" width="4" style="3119" customWidth="1"/>
    <col min="13580" max="13580" width="5.125" style="3119" customWidth="1"/>
    <col min="13581" max="13581" width="13.75" style="3119" customWidth="1"/>
    <col min="13582" max="13824" width="9" style="3119"/>
    <col min="13825" max="13825" width="4.875" style="3119" customWidth="1"/>
    <col min="13826" max="13826" width="13.25" style="3119" customWidth="1"/>
    <col min="13827" max="13827" width="15.625" style="3119" customWidth="1"/>
    <col min="13828" max="13828" width="9.375" style="3119" bestFit="1" customWidth="1"/>
    <col min="13829" max="13829" width="13.5" style="3119" customWidth="1"/>
    <col min="13830" max="13830" width="9" style="3119"/>
    <col min="13831" max="13831" width="9.375" style="3119" bestFit="1" customWidth="1"/>
    <col min="13832" max="13833" width="9" style="3119"/>
    <col min="13834" max="13834" width="9.375" style="3119" bestFit="1" customWidth="1"/>
    <col min="13835" max="13835" width="4" style="3119" customWidth="1"/>
    <col min="13836" max="13836" width="5.125" style="3119" customWidth="1"/>
    <col min="13837" max="13837" width="13.75" style="3119" customWidth="1"/>
    <col min="13838" max="14080" width="9" style="3119"/>
    <col min="14081" max="14081" width="4.875" style="3119" customWidth="1"/>
    <col min="14082" max="14082" width="13.25" style="3119" customWidth="1"/>
    <col min="14083" max="14083" width="15.625" style="3119" customWidth="1"/>
    <col min="14084" max="14084" width="9.375" style="3119" bestFit="1" customWidth="1"/>
    <col min="14085" max="14085" width="13.5" style="3119" customWidth="1"/>
    <col min="14086" max="14086" width="9" style="3119"/>
    <col min="14087" max="14087" width="9.375" style="3119" bestFit="1" customWidth="1"/>
    <col min="14088" max="14089" width="9" style="3119"/>
    <col min="14090" max="14090" width="9.375" style="3119" bestFit="1" customWidth="1"/>
    <col min="14091" max="14091" width="4" style="3119" customWidth="1"/>
    <col min="14092" max="14092" width="5.125" style="3119" customWidth="1"/>
    <col min="14093" max="14093" width="13.75" style="3119" customWidth="1"/>
    <col min="14094" max="14336" width="9" style="3119"/>
    <col min="14337" max="14337" width="4.875" style="3119" customWidth="1"/>
    <col min="14338" max="14338" width="13.25" style="3119" customWidth="1"/>
    <col min="14339" max="14339" width="15.625" style="3119" customWidth="1"/>
    <col min="14340" max="14340" width="9.375" style="3119" bestFit="1" customWidth="1"/>
    <col min="14341" max="14341" width="13.5" style="3119" customWidth="1"/>
    <col min="14342" max="14342" width="9" style="3119"/>
    <col min="14343" max="14343" width="9.375" style="3119" bestFit="1" customWidth="1"/>
    <col min="14344" max="14345" width="9" style="3119"/>
    <col min="14346" max="14346" width="9.375" style="3119" bestFit="1" customWidth="1"/>
    <col min="14347" max="14347" width="4" style="3119" customWidth="1"/>
    <col min="14348" max="14348" width="5.125" style="3119" customWidth="1"/>
    <col min="14349" max="14349" width="13.75" style="3119" customWidth="1"/>
    <col min="14350" max="14592" width="9" style="3119"/>
    <col min="14593" max="14593" width="4.875" style="3119" customWidth="1"/>
    <col min="14594" max="14594" width="13.25" style="3119" customWidth="1"/>
    <col min="14595" max="14595" width="15.625" style="3119" customWidth="1"/>
    <col min="14596" max="14596" width="9.375" style="3119" bestFit="1" customWidth="1"/>
    <col min="14597" max="14597" width="13.5" style="3119" customWidth="1"/>
    <col min="14598" max="14598" width="9" style="3119"/>
    <col min="14599" max="14599" width="9.375" style="3119" bestFit="1" customWidth="1"/>
    <col min="14600" max="14601" width="9" style="3119"/>
    <col min="14602" max="14602" width="9.375" style="3119" bestFit="1" customWidth="1"/>
    <col min="14603" max="14603" width="4" style="3119" customWidth="1"/>
    <col min="14604" max="14604" width="5.125" style="3119" customWidth="1"/>
    <col min="14605" max="14605" width="13.75" style="3119" customWidth="1"/>
    <col min="14606" max="14848" width="9" style="3119"/>
    <col min="14849" max="14849" width="4.875" style="3119" customWidth="1"/>
    <col min="14850" max="14850" width="13.25" style="3119" customWidth="1"/>
    <col min="14851" max="14851" width="15.625" style="3119" customWidth="1"/>
    <col min="14852" max="14852" width="9.375" style="3119" bestFit="1" customWidth="1"/>
    <col min="14853" max="14853" width="13.5" style="3119" customWidth="1"/>
    <col min="14854" max="14854" width="9" style="3119"/>
    <col min="14855" max="14855" width="9.375" style="3119" bestFit="1" customWidth="1"/>
    <col min="14856" max="14857" width="9" style="3119"/>
    <col min="14858" max="14858" width="9.375" style="3119" bestFit="1" customWidth="1"/>
    <col min="14859" max="14859" width="4" style="3119" customWidth="1"/>
    <col min="14860" max="14860" width="5.125" style="3119" customWidth="1"/>
    <col min="14861" max="14861" width="13.75" style="3119" customWidth="1"/>
    <col min="14862" max="15104" width="9" style="3119"/>
    <col min="15105" max="15105" width="4.875" style="3119" customWidth="1"/>
    <col min="15106" max="15106" width="13.25" style="3119" customWidth="1"/>
    <col min="15107" max="15107" width="15.625" style="3119" customWidth="1"/>
    <col min="15108" max="15108" width="9.375" style="3119" bestFit="1" customWidth="1"/>
    <col min="15109" max="15109" width="13.5" style="3119" customWidth="1"/>
    <col min="15110" max="15110" width="9" style="3119"/>
    <col min="15111" max="15111" width="9.375" style="3119" bestFit="1" customWidth="1"/>
    <col min="15112" max="15113" width="9" style="3119"/>
    <col min="15114" max="15114" width="9.375" style="3119" bestFit="1" customWidth="1"/>
    <col min="15115" max="15115" width="4" style="3119" customWidth="1"/>
    <col min="15116" max="15116" width="5.125" style="3119" customWidth="1"/>
    <col min="15117" max="15117" width="13.75" style="3119" customWidth="1"/>
    <col min="15118" max="15360" width="9" style="3119"/>
    <col min="15361" max="15361" width="4.875" style="3119" customWidth="1"/>
    <col min="15362" max="15362" width="13.25" style="3119" customWidth="1"/>
    <col min="15363" max="15363" width="15.625" style="3119" customWidth="1"/>
    <col min="15364" max="15364" width="9.375" style="3119" bestFit="1" customWidth="1"/>
    <col min="15365" max="15365" width="13.5" style="3119" customWidth="1"/>
    <col min="15366" max="15366" width="9" style="3119"/>
    <col min="15367" max="15367" width="9.375" style="3119" bestFit="1" customWidth="1"/>
    <col min="15368" max="15369" width="9" style="3119"/>
    <col min="15370" max="15370" width="9.375" style="3119" bestFit="1" customWidth="1"/>
    <col min="15371" max="15371" width="4" style="3119" customWidth="1"/>
    <col min="15372" max="15372" width="5.125" style="3119" customWidth="1"/>
    <col min="15373" max="15373" width="13.75" style="3119" customWidth="1"/>
    <col min="15374" max="15616" width="9" style="3119"/>
    <col min="15617" max="15617" width="4.875" style="3119" customWidth="1"/>
    <col min="15618" max="15618" width="13.25" style="3119" customWidth="1"/>
    <col min="15619" max="15619" width="15.625" style="3119" customWidth="1"/>
    <col min="15620" max="15620" width="9.375" style="3119" bestFit="1" customWidth="1"/>
    <col min="15621" max="15621" width="13.5" style="3119" customWidth="1"/>
    <col min="15622" max="15622" width="9" style="3119"/>
    <col min="15623" max="15623" width="9.375" style="3119" bestFit="1" customWidth="1"/>
    <col min="15624" max="15625" width="9" style="3119"/>
    <col min="15626" max="15626" width="9.375" style="3119" bestFit="1" customWidth="1"/>
    <col min="15627" max="15627" width="4" style="3119" customWidth="1"/>
    <col min="15628" max="15628" width="5.125" style="3119" customWidth="1"/>
    <col min="15629" max="15629" width="13.75" style="3119" customWidth="1"/>
    <col min="15630" max="15872" width="9" style="3119"/>
    <col min="15873" max="15873" width="4.875" style="3119" customWidth="1"/>
    <col min="15874" max="15874" width="13.25" style="3119" customWidth="1"/>
    <col min="15875" max="15875" width="15.625" style="3119" customWidth="1"/>
    <col min="15876" max="15876" width="9.375" style="3119" bestFit="1" customWidth="1"/>
    <col min="15877" max="15877" width="13.5" style="3119" customWidth="1"/>
    <col min="15878" max="15878" width="9" style="3119"/>
    <col min="15879" max="15879" width="9.375" style="3119" bestFit="1" customWidth="1"/>
    <col min="15880" max="15881" width="9" style="3119"/>
    <col min="15882" max="15882" width="9.375" style="3119" bestFit="1" customWidth="1"/>
    <col min="15883" max="15883" width="4" style="3119" customWidth="1"/>
    <col min="15884" max="15884" width="5.125" style="3119" customWidth="1"/>
    <col min="15885" max="15885" width="13.75" style="3119" customWidth="1"/>
    <col min="15886" max="16128" width="9" style="3119"/>
    <col min="16129" max="16129" width="4.875" style="3119" customWidth="1"/>
    <col min="16130" max="16130" width="13.25" style="3119" customWidth="1"/>
    <col min="16131" max="16131" width="15.625" style="3119" customWidth="1"/>
    <col min="16132" max="16132" width="9.375" style="3119" bestFit="1" customWidth="1"/>
    <col min="16133" max="16133" width="13.5" style="3119" customWidth="1"/>
    <col min="16134" max="16134" width="9" style="3119"/>
    <col min="16135" max="16135" width="9.375" style="3119" bestFit="1" customWidth="1"/>
    <col min="16136" max="16137" width="9" style="3119"/>
    <col min="16138" max="16138" width="9.375" style="3119" bestFit="1" customWidth="1"/>
    <col min="16139" max="16139" width="4" style="3119" customWidth="1"/>
    <col min="16140" max="16140" width="5.125" style="3119" customWidth="1"/>
    <col min="16141" max="16141" width="13.75" style="3119" customWidth="1"/>
    <col min="16142" max="16384" width="9" style="3119"/>
  </cols>
  <sheetData>
    <row r="1" spans="1:257" s="3183" customFormat="1" ht="14.25" thickBot="1">
      <c r="A1" s="3177"/>
      <c r="B1" s="3184" t="s">
        <v>2898</v>
      </c>
      <c r="C1" s="3178">
        <f>项目基本情况!D3</f>
        <v>43006</v>
      </c>
      <c r="D1" s="3184" t="s">
        <v>2899</v>
      </c>
      <c r="E1" s="3179">
        <f>'数据-取费表'!B22</f>
        <v>3</v>
      </c>
      <c r="F1" s="3184" t="s">
        <v>2900</v>
      </c>
      <c r="G1" s="3180">
        <f ca="1">INDIRECT("d"&amp;$K$1)/100</f>
        <v>4.7500000000000001E-2</v>
      </c>
      <c r="H1" s="3184" t="s">
        <v>2930</v>
      </c>
      <c r="I1" s="3180">
        <f ca="1">F4/100</f>
        <v>1.4999999999999999E-2</v>
      </c>
      <c r="J1" s="3185">
        <f>IF(C1&gt;C13,0,MATCH(C1,C$13:C$100,-1))+IF(SUMIF(C13:C100,C1,D13:D100)=0,13,12)</f>
        <v>13</v>
      </c>
      <c r="K1" s="3185">
        <f ca="1">MATCH(E1,C3:C7,1)+IF(SUMIF(C3:C7,E1,D3:D7)=0,2,1)</f>
        <v>5</v>
      </c>
      <c r="L1" s="3185">
        <f>IF(C1&gt;M13,0,MATCH(C1,M$13:M$100,-1))+IF(SUMIF(M13:M100,C1,N13:N100)=0,13,12)</f>
        <v>13</v>
      </c>
      <c r="M1" s="3177"/>
      <c r="N1" s="3177"/>
      <c r="O1" s="3177"/>
      <c r="P1" s="3177"/>
      <c r="Q1" s="3177"/>
      <c r="R1" s="3177"/>
      <c r="S1" s="3177"/>
      <c r="T1" s="3177"/>
      <c r="U1" s="3177"/>
      <c r="V1" s="3177"/>
      <c r="W1" s="3177"/>
      <c r="X1" s="3177"/>
      <c r="Y1" s="3177"/>
      <c r="Z1" s="3177"/>
      <c r="AA1" s="3181"/>
      <c r="AB1" s="3181"/>
      <c r="AC1" s="3181"/>
      <c r="AD1" s="3181"/>
      <c r="AE1" s="3181"/>
      <c r="AF1" s="3181"/>
      <c r="AG1" s="3181"/>
      <c r="AH1" s="3181"/>
      <c r="AI1" s="3181"/>
      <c r="AJ1" s="3181"/>
      <c r="AK1" s="3181"/>
      <c r="AL1" s="3181"/>
      <c r="AM1" s="3181"/>
      <c r="AN1" s="3181"/>
      <c r="AO1" s="3181"/>
      <c r="AP1" s="3181"/>
      <c r="AQ1" s="3181"/>
      <c r="AR1" s="3181"/>
      <c r="AS1" s="3181"/>
      <c r="AT1" s="3181"/>
      <c r="AU1" s="3181"/>
      <c r="AV1" s="3181"/>
      <c r="AW1" s="3181"/>
      <c r="AX1" s="3181"/>
      <c r="AY1" s="3181"/>
      <c r="AZ1" s="3181"/>
      <c r="BA1" s="3181"/>
      <c r="BB1" s="3181"/>
      <c r="BC1" s="3181"/>
      <c r="BD1" s="3181"/>
      <c r="BE1" s="3181"/>
      <c r="BF1" s="3181"/>
      <c r="BG1" s="3181"/>
      <c r="BH1" s="3181"/>
      <c r="BI1" s="3181"/>
      <c r="BJ1" s="3181"/>
      <c r="BK1" s="3181"/>
      <c r="BL1" s="3181"/>
      <c r="BM1" s="3181"/>
      <c r="BN1" s="3181"/>
      <c r="BO1" s="3181"/>
      <c r="BP1" s="3181"/>
      <c r="BQ1" s="3181"/>
      <c r="BR1" s="3181"/>
      <c r="BS1" s="3181"/>
      <c r="BT1" s="3181"/>
      <c r="BU1" s="3181"/>
      <c r="BV1" s="3181"/>
      <c r="BW1" s="3181"/>
      <c r="BX1" s="3181"/>
      <c r="BY1" s="3181"/>
      <c r="BZ1" s="3181"/>
      <c r="CA1" s="3181"/>
      <c r="CB1" s="3181"/>
      <c r="CC1" s="3181"/>
      <c r="CD1" s="3181"/>
      <c r="CE1" s="3181"/>
      <c r="CF1" s="3181"/>
      <c r="CG1" s="3181"/>
      <c r="CH1" s="3181"/>
      <c r="CI1" s="3181"/>
      <c r="CJ1" s="3181"/>
      <c r="CK1" s="3181"/>
      <c r="CL1" s="3181"/>
      <c r="CM1" s="3181"/>
      <c r="CN1" s="3181"/>
      <c r="CO1" s="3181"/>
      <c r="CP1" s="3181"/>
      <c r="CQ1" s="3181"/>
      <c r="CR1" s="3181"/>
      <c r="CS1" s="3181"/>
      <c r="CT1" s="3181"/>
      <c r="CU1" s="3181"/>
      <c r="CV1" s="3181"/>
      <c r="CW1" s="3181"/>
      <c r="CX1" s="3181"/>
      <c r="CY1" s="3181"/>
      <c r="CZ1" s="3181"/>
      <c r="DA1" s="3181"/>
      <c r="DB1" s="3181"/>
      <c r="DC1" s="3181"/>
      <c r="DD1" s="3181"/>
      <c r="DE1" s="3181"/>
      <c r="DF1" s="3181"/>
      <c r="DG1" s="3181"/>
      <c r="DH1" s="3181"/>
      <c r="DI1" s="3181"/>
      <c r="DJ1" s="3181"/>
      <c r="DK1" s="3181"/>
      <c r="DL1" s="3181"/>
      <c r="DM1" s="3181"/>
      <c r="DN1" s="3181"/>
      <c r="DO1" s="3181"/>
      <c r="DP1" s="3181"/>
      <c r="DQ1" s="3181"/>
      <c r="DR1" s="3181"/>
      <c r="DS1" s="3181"/>
      <c r="DT1" s="3181"/>
      <c r="DU1" s="3181"/>
      <c r="DV1" s="3181"/>
      <c r="DW1" s="3181"/>
      <c r="DX1" s="3181"/>
      <c r="DY1" s="3181"/>
      <c r="DZ1" s="3181"/>
      <c r="EA1" s="3181"/>
      <c r="EB1" s="3181"/>
      <c r="EC1" s="3181"/>
      <c r="ED1" s="3181"/>
      <c r="EE1" s="3181"/>
      <c r="EF1" s="3181"/>
      <c r="EG1" s="3181"/>
      <c r="EH1" s="3181"/>
      <c r="EI1" s="3181"/>
      <c r="EJ1" s="3181"/>
      <c r="EK1" s="3181"/>
      <c r="EL1" s="3181"/>
      <c r="EM1" s="3181"/>
      <c r="EN1" s="3181"/>
      <c r="EO1" s="3181"/>
      <c r="EP1" s="3181"/>
      <c r="EQ1" s="3181"/>
      <c r="ER1" s="3181"/>
      <c r="ES1" s="3181"/>
      <c r="ET1" s="3181"/>
      <c r="EU1" s="3181"/>
      <c r="EV1" s="3181"/>
      <c r="EW1" s="3181"/>
      <c r="EX1" s="3181"/>
      <c r="EY1" s="3181"/>
      <c r="EZ1" s="3181"/>
      <c r="FA1" s="3181"/>
      <c r="FB1" s="3181"/>
      <c r="FC1" s="3181"/>
      <c r="FD1" s="3181"/>
      <c r="FE1" s="3181"/>
      <c r="FF1" s="3181"/>
      <c r="FG1" s="3181"/>
      <c r="FH1" s="3181"/>
      <c r="FI1" s="3181"/>
      <c r="FJ1" s="3181"/>
      <c r="FK1" s="3181"/>
      <c r="FL1" s="3181"/>
      <c r="FM1" s="3181"/>
      <c r="FN1" s="3181"/>
      <c r="FO1" s="3181"/>
      <c r="FP1" s="3181"/>
      <c r="FQ1" s="3181"/>
      <c r="FR1" s="3181"/>
      <c r="FS1" s="3181"/>
      <c r="FT1" s="3181"/>
      <c r="FU1" s="3181"/>
      <c r="FV1" s="3181"/>
      <c r="FW1" s="3181"/>
      <c r="FX1" s="3181"/>
      <c r="FY1" s="3181"/>
      <c r="FZ1" s="3181"/>
      <c r="GA1" s="3181"/>
      <c r="GB1" s="3181"/>
      <c r="GC1" s="3181"/>
      <c r="GD1" s="3181"/>
      <c r="GE1" s="3181"/>
      <c r="GF1" s="3181"/>
      <c r="GG1" s="3181"/>
      <c r="GH1" s="3181"/>
      <c r="GI1" s="3181"/>
      <c r="GJ1" s="3181"/>
      <c r="GK1" s="3181"/>
      <c r="GL1" s="3181"/>
      <c r="GM1" s="3181"/>
      <c r="GN1" s="3181"/>
      <c r="GO1" s="3181"/>
      <c r="GP1" s="3181"/>
      <c r="GQ1" s="3181"/>
      <c r="GR1" s="3181"/>
      <c r="GS1" s="3181"/>
      <c r="GT1" s="3181"/>
      <c r="GU1" s="3181"/>
      <c r="GV1" s="3181"/>
      <c r="GW1" s="3181"/>
      <c r="GX1" s="3181"/>
      <c r="GY1" s="3181"/>
      <c r="GZ1" s="3181"/>
      <c r="HA1" s="3181"/>
      <c r="HB1" s="3181"/>
      <c r="HC1" s="3181"/>
      <c r="HD1" s="3181"/>
      <c r="HE1" s="3181"/>
      <c r="HF1" s="3181"/>
      <c r="HG1" s="3181"/>
      <c r="HH1" s="3181"/>
      <c r="HI1" s="3181"/>
      <c r="HJ1" s="3181"/>
      <c r="HK1" s="3181"/>
      <c r="HL1" s="3181"/>
      <c r="HM1" s="3181"/>
      <c r="HN1" s="3181"/>
      <c r="HO1" s="3181"/>
      <c r="HP1" s="3181"/>
      <c r="HQ1" s="3181"/>
      <c r="HR1" s="3181"/>
      <c r="HS1" s="3181"/>
      <c r="HT1" s="3181"/>
      <c r="HU1" s="3181"/>
      <c r="HV1" s="3181"/>
      <c r="HW1" s="3181"/>
      <c r="HX1" s="3181"/>
      <c r="HY1" s="3181"/>
      <c r="HZ1" s="3181"/>
      <c r="IA1" s="3181"/>
      <c r="IB1" s="3181"/>
      <c r="IC1" s="3181"/>
      <c r="ID1" s="3181"/>
      <c r="IE1" s="3181"/>
      <c r="IF1" s="3181"/>
      <c r="IG1" s="3181"/>
      <c r="IH1" s="3181"/>
      <c r="II1" s="3181"/>
      <c r="IJ1" s="3181"/>
      <c r="IK1" s="3181"/>
      <c r="IL1" s="3181"/>
      <c r="IM1" s="3181"/>
      <c r="IN1" s="3181"/>
      <c r="IO1" s="3181"/>
      <c r="IP1" s="3181"/>
      <c r="IQ1" s="3181"/>
      <c r="IR1" s="3181"/>
      <c r="IS1" s="3181"/>
      <c r="IT1" s="3181"/>
      <c r="IU1" s="3181"/>
      <c r="IV1" s="3181"/>
      <c r="IW1" s="3182"/>
    </row>
    <row r="2" spans="1:257" ht="15" thickTop="1" thickBot="1">
      <c r="A2" s="3120"/>
      <c r="B2" s="3120"/>
      <c r="C2" s="3120"/>
      <c r="D2" s="3120" t="s">
        <v>2901</v>
      </c>
      <c r="E2" s="3120"/>
      <c r="F2" s="3120" t="s">
        <v>2902</v>
      </c>
      <c r="G2" s="3121"/>
      <c r="H2" s="3120"/>
      <c r="I2" s="3120"/>
      <c r="J2" s="3120"/>
      <c r="K2" s="3120"/>
      <c r="L2" s="3120"/>
      <c r="M2" s="3120"/>
      <c r="N2" s="3120"/>
      <c r="O2" s="3120"/>
      <c r="P2" s="3120"/>
      <c r="Q2" s="3120"/>
      <c r="R2" s="3120"/>
      <c r="S2" s="3120"/>
      <c r="T2" s="3120"/>
      <c r="U2" s="3120"/>
      <c r="V2" s="3120"/>
      <c r="W2" s="3120"/>
      <c r="X2" s="3120"/>
      <c r="Y2" s="3120"/>
      <c r="Z2" s="3120"/>
      <c r="AA2" s="3120"/>
      <c r="AB2" s="3120"/>
      <c r="AC2" s="3120"/>
      <c r="AD2" s="3120"/>
      <c r="AE2" s="3120"/>
      <c r="AF2" s="3120"/>
      <c r="AG2" s="3120"/>
      <c r="AH2" s="3120"/>
      <c r="AI2" s="3120"/>
      <c r="AJ2" s="3120"/>
      <c r="AK2" s="3120"/>
      <c r="AL2" s="3120"/>
      <c r="AM2" s="3120"/>
      <c r="AN2" s="3120"/>
      <c r="AO2" s="3120"/>
      <c r="AP2" s="3120"/>
      <c r="AQ2" s="3120"/>
      <c r="AR2" s="3120"/>
      <c r="AS2" s="3120"/>
      <c r="AT2" s="3120"/>
      <c r="AU2" s="3120"/>
      <c r="AV2" s="3120"/>
      <c r="AW2" s="3120"/>
      <c r="AX2" s="3120"/>
      <c r="AY2" s="3120"/>
      <c r="AZ2" s="3120"/>
      <c r="BA2" s="3120"/>
      <c r="BB2" s="3120"/>
      <c r="BC2" s="3120"/>
      <c r="BD2" s="3120"/>
      <c r="BE2" s="3120"/>
      <c r="BF2" s="3120"/>
      <c r="BG2" s="3120"/>
      <c r="BH2" s="3120"/>
      <c r="BI2" s="3120"/>
      <c r="BJ2" s="3120"/>
      <c r="BK2" s="3120"/>
      <c r="BL2" s="3120"/>
      <c r="BM2" s="3120"/>
      <c r="BN2" s="3120"/>
      <c r="BO2" s="3120"/>
      <c r="BP2" s="3120"/>
      <c r="BQ2" s="3120"/>
      <c r="BR2" s="3120"/>
      <c r="BS2" s="3120"/>
      <c r="BT2" s="3120"/>
      <c r="BU2" s="3120"/>
      <c r="BV2" s="3120"/>
      <c r="BW2" s="3120"/>
      <c r="BX2" s="3120"/>
      <c r="BY2" s="3120"/>
      <c r="BZ2" s="3120"/>
      <c r="CA2" s="3120"/>
      <c r="CB2" s="3120"/>
      <c r="CC2" s="3120"/>
      <c r="CD2" s="3120"/>
      <c r="CE2" s="3120"/>
      <c r="CF2" s="3120"/>
      <c r="CG2" s="3120"/>
      <c r="CH2" s="3120"/>
      <c r="CI2" s="3120"/>
      <c r="CJ2" s="3120"/>
      <c r="CK2" s="3120"/>
      <c r="CL2" s="3120"/>
      <c r="CM2" s="3120"/>
      <c r="CN2" s="3120"/>
      <c r="CO2" s="3120"/>
      <c r="CP2" s="3120"/>
      <c r="CQ2" s="3120"/>
      <c r="CR2" s="3120"/>
      <c r="CS2" s="3120"/>
      <c r="CT2" s="3120"/>
      <c r="CU2" s="3120"/>
      <c r="CV2" s="3120"/>
      <c r="CW2" s="3120"/>
      <c r="CX2" s="3120"/>
      <c r="CY2" s="3120"/>
      <c r="CZ2" s="3120"/>
      <c r="DA2" s="3120"/>
      <c r="DB2" s="3120"/>
      <c r="DC2" s="3120"/>
      <c r="DD2" s="3120"/>
      <c r="DE2" s="3120"/>
      <c r="DF2" s="3120"/>
      <c r="DG2" s="3120"/>
      <c r="DH2" s="3120"/>
      <c r="DI2" s="3120"/>
      <c r="DJ2" s="3120"/>
      <c r="DK2" s="3120"/>
      <c r="DL2" s="3120"/>
      <c r="DM2" s="3120"/>
      <c r="DN2" s="3120"/>
      <c r="DO2" s="3120"/>
      <c r="DP2" s="3120"/>
      <c r="DQ2" s="3120"/>
      <c r="DR2" s="3120"/>
      <c r="DS2" s="3120"/>
      <c r="DT2" s="3120"/>
      <c r="DU2" s="3120"/>
      <c r="DV2" s="3120"/>
      <c r="DW2" s="3120"/>
      <c r="DX2" s="3120"/>
      <c r="DY2" s="3120"/>
      <c r="DZ2" s="3120"/>
      <c r="EA2" s="3120"/>
      <c r="EB2" s="3120"/>
      <c r="EC2" s="3120"/>
      <c r="ED2" s="3120"/>
      <c r="EE2" s="3120"/>
      <c r="EF2" s="3120"/>
      <c r="EG2" s="3120"/>
      <c r="EH2" s="3120"/>
      <c r="EI2" s="3120"/>
      <c r="EJ2" s="3120"/>
      <c r="EK2" s="3120"/>
      <c r="EL2" s="3120"/>
      <c r="EM2" s="3120"/>
      <c r="EN2" s="3120"/>
      <c r="EO2" s="3120"/>
      <c r="EP2" s="3120"/>
      <c r="EQ2" s="3120"/>
      <c r="ER2" s="3120"/>
      <c r="ES2" s="3120"/>
      <c r="ET2" s="3120"/>
      <c r="EU2" s="3120"/>
      <c r="EV2" s="3120"/>
      <c r="EW2" s="3120"/>
      <c r="EX2" s="3120"/>
      <c r="EY2" s="3120"/>
      <c r="EZ2" s="3120"/>
      <c r="FA2" s="3120"/>
      <c r="FB2" s="3120"/>
      <c r="FC2" s="3120"/>
      <c r="FD2" s="3120"/>
      <c r="FE2" s="3120"/>
      <c r="FF2" s="3120"/>
      <c r="FG2" s="3120"/>
      <c r="FH2" s="3120"/>
      <c r="FI2" s="3120"/>
      <c r="FJ2" s="3120"/>
      <c r="FK2" s="3120"/>
      <c r="FL2" s="3120"/>
      <c r="FM2" s="3120"/>
      <c r="FN2" s="3120"/>
      <c r="FO2" s="3120"/>
      <c r="FP2" s="3120"/>
      <c r="FQ2" s="3120"/>
      <c r="FR2" s="3120"/>
      <c r="FS2" s="3120"/>
      <c r="FT2" s="3120"/>
      <c r="FU2" s="3120"/>
      <c r="FV2" s="3120"/>
      <c r="FW2" s="3120"/>
      <c r="FX2" s="3120"/>
      <c r="FY2" s="3120"/>
      <c r="FZ2" s="3120"/>
      <c r="GA2" s="3120"/>
      <c r="GB2" s="3120"/>
      <c r="GC2" s="3120"/>
      <c r="GD2" s="3120"/>
      <c r="GE2" s="3120"/>
      <c r="GF2" s="3120"/>
      <c r="GG2" s="3120"/>
      <c r="GH2" s="3120"/>
      <c r="GI2" s="3120"/>
      <c r="GJ2" s="3120"/>
      <c r="GK2" s="3120"/>
      <c r="GL2" s="3120"/>
      <c r="GM2" s="3120"/>
      <c r="GN2" s="3120"/>
      <c r="GO2" s="3120"/>
      <c r="GP2" s="3120"/>
      <c r="GQ2" s="3120"/>
      <c r="GR2" s="3120"/>
      <c r="GS2" s="3120"/>
      <c r="GT2" s="3120"/>
      <c r="GU2" s="3120"/>
      <c r="GV2" s="3120"/>
      <c r="GW2" s="3120"/>
      <c r="GX2" s="3120"/>
      <c r="GY2" s="3120"/>
      <c r="GZ2" s="3120"/>
      <c r="HA2" s="3120"/>
      <c r="HB2" s="3120"/>
      <c r="HC2" s="3120"/>
      <c r="HD2" s="3120"/>
      <c r="HE2" s="3120"/>
      <c r="HF2" s="3120"/>
      <c r="HG2" s="3120"/>
      <c r="HH2" s="3120"/>
      <c r="HI2" s="3120"/>
      <c r="HJ2" s="3120"/>
      <c r="HK2" s="3120"/>
      <c r="HL2" s="3120"/>
      <c r="HM2" s="3120"/>
      <c r="HN2" s="3120"/>
      <c r="HO2" s="3120"/>
      <c r="HP2" s="3120"/>
      <c r="HQ2" s="3120"/>
      <c r="HR2" s="3120"/>
      <c r="HS2" s="3120"/>
      <c r="HT2" s="3120"/>
      <c r="HU2" s="3120"/>
      <c r="HV2" s="3120"/>
      <c r="HW2" s="3120"/>
      <c r="HX2" s="3120"/>
      <c r="HY2" s="3120"/>
      <c r="HZ2" s="3120"/>
      <c r="IA2" s="3120"/>
      <c r="IB2" s="3120"/>
      <c r="IC2" s="3120"/>
      <c r="ID2" s="3120"/>
      <c r="IE2" s="3120"/>
      <c r="IF2" s="3120"/>
      <c r="IG2" s="3120"/>
      <c r="IH2" s="3120"/>
      <c r="II2" s="3120"/>
      <c r="IJ2" s="3120"/>
      <c r="IK2" s="3120"/>
      <c r="IL2" s="3120"/>
      <c r="IM2" s="3120"/>
      <c r="IN2" s="3120"/>
      <c r="IO2" s="3120"/>
      <c r="IP2" s="3120"/>
      <c r="IQ2" s="3120"/>
      <c r="IR2" s="3120"/>
      <c r="IS2" s="3120"/>
      <c r="IT2" s="3120"/>
      <c r="IU2" s="3120"/>
      <c r="IV2" s="3120"/>
      <c r="IW2" s="3120"/>
    </row>
    <row r="3" spans="1:257">
      <c r="B3" s="3123" t="s">
        <v>2903</v>
      </c>
      <c r="C3" s="3124">
        <v>0</v>
      </c>
      <c r="D3" s="3125">
        <f ca="1">INDIRECT("d"&amp;$J$1)</f>
        <v>4.3499999999999996</v>
      </c>
      <c r="E3" s="3126">
        <v>0.5</v>
      </c>
      <c r="F3" s="3127">
        <f ca="1">INDIRECT("p"&amp;$L$1)</f>
        <v>1.3</v>
      </c>
      <c r="G3" s="3122"/>
      <c r="H3" s="3122"/>
      <c r="I3" s="3122"/>
      <c r="J3" s="3122"/>
      <c r="L3" s="3122"/>
      <c r="M3" s="3122"/>
      <c r="N3" s="3122"/>
      <c r="O3" s="3122"/>
      <c r="P3" s="3122"/>
      <c r="Q3" s="3122"/>
      <c r="R3" s="3122"/>
      <c r="S3" s="3122"/>
      <c r="T3" s="3122"/>
      <c r="U3" s="3122"/>
      <c r="V3" s="3122"/>
      <c r="W3" s="3122"/>
      <c r="X3" s="3122"/>
      <c r="Y3" s="3122"/>
      <c r="Z3" s="3122"/>
    </row>
    <row r="4" spans="1:257">
      <c r="B4" s="3129" t="s">
        <v>2904</v>
      </c>
      <c r="C4" s="3130">
        <v>0.5</v>
      </c>
      <c r="D4" s="3131">
        <f ca="1">INDIRECT("e"&amp;$J$1)</f>
        <v>4.3499999999999996</v>
      </c>
      <c r="E4" s="3132">
        <v>1</v>
      </c>
      <c r="F4" s="3133">
        <f ca="1">INDIRECT("q"&amp;$L$1)</f>
        <v>1.5</v>
      </c>
      <c r="G4" s="3122"/>
      <c r="H4" s="3122"/>
      <c r="I4" s="3122"/>
      <c r="J4" s="3122"/>
      <c r="L4" s="3122"/>
      <c r="M4" s="3122"/>
      <c r="N4" s="3122"/>
      <c r="O4" s="3122"/>
      <c r="P4" s="3122"/>
      <c r="Q4" s="3122"/>
      <c r="R4" s="3122"/>
      <c r="S4" s="3122"/>
      <c r="T4" s="3122"/>
      <c r="U4" s="3122"/>
      <c r="V4" s="3122"/>
      <c r="W4" s="3122"/>
      <c r="X4" s="3122"/>
      <c r="Y4" s="3122"/>
      <c r="Z4" s="3122"/>
    </row>
    <row r="5" spans="1:257">
      <c r="B5" s="3129" t="s">
        <v>2905</v>
      </c>
      <c r="C5" s="3130">
        <v>1</v>
      </c>
      <c r="D5" s="3131">
        <f ca="1">INDIRECT("f"&amp;$J$1)</f>
        <v>4.75</v>
      </c>
      <c r="E5" s="3132">
        <v>2</v>
      </c>
      <c r="F5" s="3133">
        <f ca="1">INDIRECT("r"&amp;$L$1)</f>
        <v>2.1</v>
      </c>
      <c r="G5" s="3122"/>
      <c r="H5" s="3122"/>
      <c r="I5" s="3122"/>
      <c r="J5" s="3122"/>
      <c r="L5" s="3122"/>
      <c r="M5" s="3122"/>
      <c r="N5" s="3122"/>
      <c r="O5" s="3122"/>
      <c r="P5" s="3122"/>
      <c r="Q5" s="3122"/>
      <c r="R5" s="3122"/>
      <c r="S5" s="3122"/>
      <c r="T5" s="3122"/>
      <c r="U5" s="3122"/>
      <c r="V5" s="3122"/>
      <c r="W5" s="3122"/>
      <c r="X5" s="3122"/>
      <c r="Y5" s="3122"/>
      <c r="Z5" s="3122"/>
    </row>
    <row r="6" spans="1:257">
      <c r="B6" s="3129" t="s">
        <v>2906</v>
      </c>
      <c r="C6" s="3130">
        <v>3</v>
      </c>
      <c r="D6" s="3131">
        <f ca="1">INDIRECT("g"&amp;$J$1)</f>
        <v>4.75</v>
      </c>
      <c r="E6" s="3132">
        <v>3</v>
      </c>
      <c r="F6" s="3133">
        <f ca="1">INDIRECT("s"&amp;$L$1)</f>
        <v>2.75</v>
      </c>
      <c r="G6" s="3122"/>
      <c r="H6" s="3122"/>
      <c r="I6" s="3122"/>
      <c r="J6" s="3122"/>
      <c r="L6" s="3122"/>
      <c r="M6" s="3122"/>
      <c r="N6" s="3122"/>
      <c r="O6" s="3122"/>
      <c r="P6" s="3122"/>
      <c r="Q6" s="3122"/>
      <c r="R6" s="3122"/>
      <c r="S6" s="3122"/>
      <c r="T6" s="3122"/>
      <c r="U6" s="3122"/>
      <c r="V6" s="3122"/>
      <c r="W6" s="3122"/>
      <c r="X6" s="3122"/>
      <c r="Y6" s="3122"/>
      <c r="Z6" s="3122"/>
    </row>
    <row r="7" spans="1:257" ht="14.25" thickBot="1">
      <c r="B7" s="3134" t="s">
        <v>2907</v>
      </c>
      <c r="C7" s="3135">
        <v>5</v>
      </c>
      <c r="D7" s="3136">
        <f ca="1">INDIRECT("h"&amp;$J$1)</f>
        <v>4.9000000000000004</v>
      </c>
      <c r="E7" s="3137">
        <v>5</v>
      </c>
      <c r="F7" s="3138">
        <f ca="1">INDIRECT("t"&amp;$L$1)</f>
        <v>0</v>
      </c>
      <c r="G7" s="3122"/>
      <c r="H7" s="3122"/>
      <c r="I7" s="3122"/>
      <c r="J7" s="3122"/>
      <c r="L7" s="3122"/>
      <c r="M7" s="3122"/>
      <c r="N7" s="3122"/>
      <c r="O7" s="3122"/>
      <c r="P7" s="3122"/>
      <c r="Q7" s="3122"/>
      <c r="R7" s="3122"/>
      <c r="S7" s="3122"/>
      <c r="T7" s="3122"/>
      <c r="U7" s="3122"/>
      <c r="V7" s="3122"/>
      <c r="W7" s="3122"/>
      <c r="X7" s="3122"/>
      <c r="Y7" s="3122"/>
      <c r="Z7" s="3122"/>
    </row>
    <row r="8" spans="1:257">
      <c r="A8" s="3139"/>
      <c r="B8" s="3140"/>
      <c r="C8" s="3141"/>
      <c r="D8" s="3122"/>
      <c r="E8" s="3122"/>
      <c r="F8" s="3122"/>
      <c r="G8" s="3122"/>
      <c r="H8" s="3122"/>
      <c r="I8" s="3122"/>
      <c r="J8" s="3122"/>
      <c r="L8" s="3122"/>
      <c r="M8" s="3122"/>
      <c r="N8" s="3122"/>
      <c r="O8" s="3122"/>
      <c r="P8" s="3122"/>
      <c r="Q8" s="3122"/>
      <c r="R8" s="3122"/>
      <c r="S8" s="3122"/>
      <c r="T8" s="3122"/>
      <c r="U8" s="3122"/>
      <c r="V8" s="3122"/>
      <c r="W8" s="3122"/>
      <c r="X8" s="3122"/>
      <c r="Y8" s="3122"/>
      <c r="Z8" s="3122"/>
    </row>
    <row r="9" spans="1:257" ht="20.25">
      <c r="A9" s="3142"/>
      <c r="B9" s="3143" t="s">
        <v>2908</v>
      </c>
      <c r="C9" s="3144"/>
      <c r="D9" s="3145"/>
      <c r="E9" s="3145"/>
      <c r="F9" s="3145"/>
      <c r="G9" s="3145"/>
      <c r="H9" s="3145"/>
      <c r="I9" s="3145"/>
      <c r="J9" s="3145"/>
      <c r="K9" s="3145"/>
      <c r="L9" s="3145"/>
      <c r="M9" s="3145"/>
      <c r="N9" s="3145"/>
      <c r="O9" s="3145"/>
      <c r="P9" s="3145"/>
      <c r="Q9" s="3145"/>
      <c r="R9" s="3145"/>
      <c r="S9" s="3145"/>
      <c r="T9" s="3145"/>
      <c r="U9" s="3145"/>
      <c r="V9" s="3145"/>
      <c r="W9" s="3145"/>
      <c r="X9" s="3145"/>
      <c r="Y9" s="3145"/>
      <c r="Z9" s="3145"/>
      <c r="AA9" s="3146"/>
      <c r="AB9" s="3146"/>
      <c r="AC9" s="3146"/>
      <c r="AD9" s="3146"/>
      <c r="AE9" s="3146"/>
      <c r="AF9" s="3146"/>
      <c r="AG9" s="3146"/>
      <c r="AH9" s="3146"/>
      <c r="AI9" s="3146"/>
      <c r="AJ9" s="3146"/>
      <c r="AK9" s="3146"/>
      <c r="AL9" s="3146"/>
      <c r="AM9" s="3146"/>
      <c r="AN9" s="3146"/>
      <c r="AO9" s="3146"/>
      <c r="AP9" s="3146"/>
      <c r="AQ9" s="3146"/>
      <c r="AR9" s="3146"/>
      <c r="AS9" s="3146"/>
      <c r="AT9" s="3146"/>
      <c r="AU9" s="3146"/>
      <c r="AV9" s="3146"/>
      <c r="AW9" s="3146"/>
      <c r="AX9" s="3146"/>
      <c r="AY9" s="3146"/>
      <c r="AZ9" s="3146"/>
      <c r="BA9" s="3146"/>
      <c r="BB9" s="3146"/>
      <c r="BC9" s="3146"/>
      <c r="BD9" s="3146"/>
      <c r="BE9" s="3146"/>
      <c r="BF9" s="3146"/>
      <c r="BG9" s="3146"/>
      <c r="BH9" s="3146"/>
      <c r="BI9" s="3146"/>
      <c r="BJ9" s="3146"/>
      <c r="BK9" s="3146"/>
      <c r="BL9" s="3146"/>
      <c r="BM9" s="3146"/>
      <c r="BN9" s="3146"/>
      <c r="BO9" s="3146"/>
      <c r="BP9" s="3146"/>
      <c r="BQ9" s="3146"/>
      <c r="BR9" s="3146"/>
      <c r="BS9" s="3146"/>
      <c r="BT9" s="3146"/>
      <c r="BU9" s="3146"/>
      <c r="BV9" s="3146"/>
      <c r="BW9" s="3146"/>
      <c r="BX9" s="3146"/>
      <c r="BY9" s="3146"/>
      <c r="BZ9" s="3146"/>
      <c r="CA9" s="3146"/>
      <c r="CB9" s="3146"/>
      <c r="CC9" s="3146"/>
      <c r="CD9" s="3146"/>
      <c r="CE9" s="3146"/>
      <c r="CF9" s="3146"/>
      <c r="CG9" s="3146"/>
      <c r="CH9" s="3146"/>
      <c r="CI9" s="3146"/>
      <c r="CJ9" s="3146"/>
      <c r="CK9" s="3146"/>
      <c r="CL9" s="3146"/>
      <c r="CM9" s="3146"/>
      <c r="CN9" s="3146"/>
      <c r="CO9" s="3146"/>
      <c r="CP9" s="3146"/>
      <c r="CQ9" s="3146"/>
      <c r="CR9" s="3146"/>
      <c r="CS9" s="3146"/>
      <c r="CT9" s="3146"/>
      <c r="CU9" s="3146"/>
      <c r="CV9" s="3146"/>
      <c r="CW9" s="3146"/>
      <c r="CX9" s="3146"/>
      <c r="CY9" s="3146"/>
      <c r="CZ9" s="3146"/>
      <c r="DA9" s="3146"/>
      <c r="DB9" s="3146"/>
      <c r="DC9" s="3146"/>
      <c r="DD9" s="3146"/>
      <c r="DE9" s="3146"/>
      <c r="DF9" s="3146"/>
      <c r="DG9" s="3146"/>
      <c r="DH9" s="3146"/>
      <c r="DI9" s="3146"/>
      <c r="DJ9" s="3146"/>
      <c r="DK9" s="3146"/>
      <c r="DL9" s="3146"/>
      <c r="DM9" s="3146"/>
      <c r="DN9" s="3146"/>
      <c r="DO9" s="3146"/>
      <c r="DP9" s="3146"/>
      <c r="DQ9" s="3146"/>
      <c r="DR9" s="3146"/>
      <c r="DS9" s="3146"/>
      <c r="DT9" s="3146"/>
      <c r="DU9" s="3146"/>
      <c r="DV9" s="3146"/>
      <c r="DW9" s="3146"/>
      <c r="DX9" s="3146"/>
      <c r="DY9" s="3146"/>
      <c r="DZ9" s="3146"/>
      <c r="EA9" s="3146"/>
      <c r="EB9" s="3146"/>
      <c r="EC9" s="3146"/>
      <c r="ED9" s="3146"/>
      <c r="EE9" s="3146"/>
      <c r="EF9" s="3146"/>
      <c r="EG9" s="3146"/>
      <c r="EH9" s="3146"/>
      <c r="EI9" s="3146"/>
      <c r="EJ9" s="3146"/>
      <c r="EK9" s="3146"/>
      <c r="EL9" s="3146"/>
      <c r="EM9" s="3146"/>
      <c r="EN9" s="3146"/>
      <c r="EO9" s="3146"/>
      <c r="EP9" s="3146"/>
      <c r="EQ9" s="3146"/>
      <c r="ER9" s="3146"/>
      <c r="ES9" s="3146"/>
      <c r="ET9" s="3146"/>
      <c r="EU9" s="3146"/>
      <c r="EV9" s="3146"/>
      <c r="EW9" s="3146"/>
      <c r="EX9" s="3146"/>
      <c r="EY9" s="3146"/>
      <c r="EZ9" s="3146"/>
      <c r="FA9" s="3146"/>
      <c r="FB9" s="3146"/>
      <c r="FC9" s="3146"/>
      <c r="FD9" s="3146"/>
      <c r="FE9" s="3146"/>
      <c r="FF9" s="3146"/>
      <c r="FG9" s="3146"/>
      <c r="FH9" s="3146"/>
      <c r="FI9" s="3146"/>
      <c r="FJ9" s="3146"/>
      <c r="FK9" s="3146"/>
      <c r="FL9" s="3146"/>
      <c r="FM9" s="3146"/>
      <c r="FN9" s="3146"/>
      <c r="FO9" s="3146"/>
      <c r="FP9" s="3146"/>
      <c r="FQ9" s="3146"/>
      <c r="FR9" s="3146"/>
      <c r="FS9" s="3146"/>
      <c r="FT9" s="3146"/>
      <c r="FU9" s="3146"/>
      <c r="FV9" s="3146"/>
      <c r="FW9" s="3146"/>
      <c r="FX9" s="3146"/>
      <c r="FY9" s="3146"/>
      <c r="FZ9" s="3146"/>
      <c r="GA9" s="3146"/>
      <c r="GB9" s="3146"/>
      <c r="GC9" s="3146"/>
      <c r="GD9" s="3146"/>
      <c r="GE9" s="3146"/>
      <c r="GF9" s="3146"/>
      <c r="GG9" s="3146"/>
      <c r="GH9" s="3146"/>
      <c r="GI9" s="3146"/>
      <c r="GJ9" s="3146"/>
      <c r="GK9" s="3146"/>
      <c r="GL9" s="3146"/>
      <c r="GM9" s="3146"/>
      <c r="GN9" s="3146"/>
      <c r="GO9" s="3146"/>
      <c r="GP9" s="3146"/>
      <c r="GQ9" s="3146"/>
      <c r="GR9" s="3146"/>
      <c r="GS9" s="3146"/>
      <c r="GT9" s="3146"/>
      <c r="GU9" s="3146"/>
      <c r="GV9" s="3146"/>
      <c r="GW9" s="3146"/>
      <c r="GX9" s="3146"/>
      <c r="GY9" s="3146"/>
      <c r="GZ9" s="3146"/>
      <c r="HA9" s="3146"/>
      <c r="HB9" s="3146"/>
      <c r="HC9" s="3146"/>
      <c r="HD9" s="3146"/>
      <c r="HE9" s="3146"/>
      <c r="HF9" s="3146"/>
      <c r="HG9" s="3146"/>
      <c r="HH9" s="3146"/>
      <c r="HI9" s="3146"/>
      <c r="HJ9" s="3146"/>
      <c r="HK9" s="3146"/>
      <c r="HL9" s="3146"/>
      <c r="HM9" s="3146"/>
      <c r="HN9" s="3146"/>
      <c r="HO9" s="3146"/>
      <c r="HP9" s="3146"/>
      <c r="HQ9" s="3146"/>
      <c r="HR9" s="3146"/>
      <c r="HS9" s="3146"/>
      <c r="HT9" s="3146"/>
      <c r="HU9" s="3146"/>
      <c r="HV9" s="3146"/>
      <c r="HW9" s="3146"/>
      <c r="HX9" s="3146"/>
      <c r="HY9" s="3146"/>
      <c r="HZ9" s="3146"/>
      <c r="IA9" s="3146"/>
      <c r="IB9" s="3146"/>
      <c r="IC9" s="3146"/>
      <c r="ID9" s="3146"/>
      <c r="IE9" s="3146"/>
      <c r="IF9" s="3146"/>
      <c r="IG9" s="3146"/>
      <c r="IH9" s="3146"/>
      <c r="II9" s="3146"/>
      <c r="IJ9" s="3146"/>
      <c r="IK9" s="3146"/>
      <c r="IL9" s="3146"/>
      <c r="IM9" s="3146"/>
      <c r="IN9" s="3146"/>
      <c r="IO9" s="3146"/>
      <c r="IP9" s="3146"/>
      <c r="IQ9" s="3146"/>
      <c r="IR9" s="3146"/>
      <c r="IS9" s="3146"/>
      <c r="IT9" s="3146"/>
      <c r="IU9" s="3146"/>
      <c r="IV9" s="3146"/>
      <c r="IW9" s="3147"/>
    </row>
    <row r="10" spans="1:257" ht="22.5">
      <c r="A10" s="3148"/>
      <c r="B10" s="3149" t="s">
        <v>2909</v>
      </c>
      <c r="C10" s="3148"/>
      <c r="D10" s="3148"/>
      <c r="E10" s="3148"/>
      <c r="F10" s="3148"/>
      <c r="G10" s="3148"/>
      <c r="H10" s="3148"/>
      <c r="I10" s="3122"/>
      <c r="J10" s="3122"/>
      <c r="K10" s="3148"/>
      <c r="L10" s="3149" t="s">
        <v>2910</v>
      </c>
      <c r="M10" s="3148"/>
      <c r="N10" s="3148"/>
      <c r="O10" s="3148"/>
      <c r="P10" s="3148"/>
      <c r="Q10" s="3148"/>
      <c r="R10" s="3148"/>
      <c r="S10" s="3148"/>
      <c r="T10" s="3148"/>
      <c r="U10" s="3148"/>
      <c r="V10" s="3148"/>
      <c r="W10" s="3148"/>
      <c r="X10" s="3148"/>
      <c r="Y10" s="3148"/>
      <c r="Z10" s="3148"/>
      <c r="AA10" s="3150"/>
      <c r="AB10" s="3150"/>
      <c r="AC10" s="3150"/>
      <c r="AD10" s="3150"/>
      <c r="AE10" s="3150"/>
      <c r="AF10" s="3150"/>
      <c r="AG10" s="3150"/>
      <c r="AH10" s="3150"/>
      <c r="AI10" s="3150"/>
      <c r="AJ10" s="3150"/>
      <c r="AK10" s="3150"/>
      <c r="AL10" s="3150"/>
      <c r="AM10" s="3150"/>
      <c r="AN10" s="3150"/>
      <c r="AO10" s="3150"/>
      <c r="AP10" s="3150"/>
      <c r="AQ10" s="3150"/>
      <c r="AR10" s="3150"/>
      <c r="AS10" s="3150"/>
      <c r="AT10" s="3150"/>
      <c r="AU10" s="3150"/>
      <c r="AV10" s="3150"/>
      <c r="AW10" s="3150"/>
      <c r="AX10" s="3150"/>
      <c r="AY10" s="3150"/>
      <c r="AZ10" s="3150"/>
      <c r="BA10" s="3150"/>
      <c r="BB10" s="3150"/>
      <c r="BC10" s="3150"/>
      <c r="BD10" s="3150"/>
      <c r="BE10" s="3150"/>
      <c r="BF10" s="3150"/>
      <c r="BG10" s="3150"/>
      <c r="BH10" s="3150"/>
      <c r="BI10" s="3150"/>
      <c r="BJ10" s="3150"/>
      <c r="BK10" s="3150"/>
      <c r="BL10" s="3150"/>
      <c r="BM10" s="3150"/>
      <c r="BN10" s="3150"/>
      <c r="BO10" s="3150"/>
      <c r="BP10" s="3150"/>
      <c r="BQ10" s="3150"/>
      <c r="BR10" s="3150"/>
      <c r="BS10" s="3150"/>
      <c r="BT10" s="3150"/>
      <c r="BU10" s="3150"/>
      <c r="BV10" s="3150"/>
      <c r="BW10" s="3150"/>
      <c r="BX10" s="3150"/>
      <c r="BY10" s="3150"/>
      <c r="BZ10" s="3150"/>
      <c r="CA10" s="3150"/>
      <c r="CB10" s="3150"/>
      <c r="CC10" s="3150"/>
      <c r="CD10" s="3150"/>
      <c r="CE10" s="3150"/>
      <c r="CF10" s="3150"/>
      <c r="CG10" s="3150"/>
      <c r="CH10" s="3150"/>
      <c r="CI10" s="3150"/>
      <c r="CJ10" s="3150"/>
      <c r="CK10" s="3150"/>
      <c r="CL10" s="3150"/>
      <c r="CM10" s="3150"/>
      <c r="CN10" s="3150"/>
      <c r="CO10" s="3150"/>
      <c r="CP10" s="3150"/>
      <c r="CQ10" s="3150"/>
      <c r="CR10" s="3150"/>
      <c r="CS10" s="3150"/>
      <c r="CT10" s="3150"/>
      <c r="CU10" s="3150"/>
      <c r="CV10" s="3150"/>
      <c r="CW10" s="3150"/>
      <c r="CX10" s="3150"/>
      <c r="CY10" s="3150"/>
      <c r="CZ10" s="3150"/>
      <c r="DA10" s="3150"/>
      <c r="DB10" s="3150"/>
      <c r="DC10" s="3150"/>
      <c r="DD10" s="3150"/>
      <c r="DE10" s="3150"/>
      <c r="DF10" s="3150"/>
      <c r="DG10" s="3150"/>
      <c r="DH10" s="3150"/>
      <c r="DI10" s="3150"/>
      <c r="DJ10" s="3150"/>
      <c r="DK10" s="3150"/>
      <c r="DL10" s="3150"/>
      <c r="DM10" s="3150"/>
      <c r="DN10" s="3150"/>
      <c r="DO10" s="3150"/>
      <c r="DP10" s="3150"/>
      <c r="DQ10" s="3150"/>
      <c r="DR10" s="3150"/>
      <c r="DS10" s="3150"/>
      <c r="DT10" s="3150"/>
      <c r="DU10" s="3150"/>
      <c r="DV10" s="3150"/>
      <c r="DW10" s="3150"/>
      <c r="DX10" s="3150"/>
      <c r="DY10" s="3150"/>
      <c r="DZ10" s="3150"/>
      <c r="EA10" s="3150"/>
      <c r="EB10" s="3150"/>
      <c r="EC10" s="3150"/>
      <c r="ED10" s="3150"/>
      <c r="EE10" s="3150"/>
      <c r="EF10" s="3150"/>
      <c r="EG10" s="3150"/>
      <c r="EH10" s="3150"/>
      <c r="EI10" s="3150"/>
      <c r="EJ10" s="3150"/>
      <c r="EK10" s="3150"/>
      <c r="EL10" s="3150"/>
      <c r="EM10" s="3150"/>
      <c r="EN10" s="3150"/>
      <c r="EO10" s="3150"/>
      <c r="EP10" s="3150"/>
      <c r="EQ10" s="3150"/>
      <c r="ER10" s="3150"/>
      <c r="ES10" s="3150"/>
      <c r="ET10" s="3150"/>
      <c r="EU10" s="3150"/>
      <c r="EV10" s="3150"/>
      <c r="EW10" s="3150"/>
      <c r="EX10" s="3150"/>
      <c r="EY10" s="3150"/>
      <c r="EZ10" s="3150"/>
      <c r="FA10" s="3150"/>
      <c r="FB10" s="3150"/>
      <c r="FC10" s="3150"/>
      <c r="FD10" s="3150"/>
      <c r="FE10" s="3150"/>
      <c r="FF10" s="3150"/>
      <c r="FG10" s="3150"/>
      <c r="FH10" s="3150"/>
      <c r="FI10" s="3150"/>
      <c r="FJ10" s="3150"/>
      <c r="FK10" s="3150"/>
      <c r="FL10" s="3150"/>
      <c r="FM10" s="3150"/>
      <c r="FN10" s="3150"/>
      <c r="FO10" s="3150"/>
      <c r="FP10" s="3150"/>
      <c r="FQ10" s="3150"/>
      <c r="FR10" s="3150"/>
      <c r="FS10" s="3150"/>
      <c r="FT10" s="3150"/>
      <c r="FU10" s="3150"/>
      <c r="FV10" s="3150"/>
      <c r="FW10" s="3150"/>
      <c r="FX10" s="3150"/>
      <c r="FY10" s="3150"/>
      <c r="FZ10" s="3150"/>
      <c r="GA10" s="3150"/>
      <c r="GB10" s="3150"/>
      <c r="GC10" s="3150"/>
      <c r="GD10" s="3150"/>
      <c r="GE10" s="3150"/>
      <c r="GF10" s="3150"/>
      <c r="GG10" s="3150"/>
      <c r="GH10" s="3150"/>
      <c r="GI10" s="3150"/>
      <c r="GJ10" s="3150"/>
      <c r="GK10" s="3150"/>
      <c r="GL10" s="3150"/>
      <c r="GM10" s="3150"/>
      <c r="GN10" s="3150"/>
      <c r="GO10" s="3150"/>
      <c r="GP10" s="3150"/>
      <c r="GQ10" s="3150"/>
      <c r="GR10" s="3150"/>
      <c r="GS10" s="3150"/>
      <c r="GT10" s="3150"/>
      <c r="GU10" s="3150"/>
      <c r="GV10" s="3150"/>
      <c r="GW10" s="3150"/>
      <c r="GX10" s="3150"/>
      <c r="GY10" s="3150"/>
      <c r="GZ10" s="3150"/>
      <c r="HA10" s="3150"/>
      <c r="HB10" s="3150"/>
      <c r="HC10" s="3150"/>
      <c r="HD10" s="3150"/>
      <c r="HE10" s="3150"/>
      <c r="HF10" s="3150"/>
      <c r="HG10" s="3150"/>
      <c r="HH10" s="3150"/>
      <c r="HI10" s="3150"/>
      <c r="HJ10" s="3150"/>
      <c r="HK10" s="3150"/>
      <c r="HL10" s="3150"/>
      <c r="HM10" s="3150"/>
      <c r="HN10" s="3150"/>
      <c r="HO10" s="3150"/>
      <c r="HP10" s="3150"/>
      <c r="HQ10" s="3150"/>
      <c r="HR10" s="3150"/>
      <c r="HS10" s="3150"/>
      <c r="HT10" s="3150"/>
      <c r="HU10" s="3150"/>
      <c r="HV10" s="3150"/>
      <c r="HW10" s="3150"/>
      <c r="HX10" s="3150"/>
      <c r="HY10" s="3150"/>
      <c r="HZ10" s="3150"/>
      <c r="IA10" s="3150"/>
      <c r="IB10" s="3150"/>
      <c r="IC10" s="3150"/>
      <c r="ID10" s="3150"/>
      <c r="IE10" s="3150"/>
      <c r="IF10" s="3150"/>
      <c r="IG10" s="3150"/>
      <c r="IH10" s="3150"/>
      <c r="II10" s="3150"/>
      <c r="IJ10" s="3150"/>
      <c r="IK10" s="3150"/>
      <c r="IL10" s="3150"/>
      <c r="IM10" s="3150"/>
      <c r="IN10" s="3150"/>
      <c r="IO10" s="3150"/>
      <c r="IP10" s="3150"/>
      <c r="IQ10" s="3150"/>
      <c r="IR10" s="3150"/>
      <c r="IS10" s="3150"/>
      <c r="IT10" s="3150"/>
      <c r="IU10" s="3150"/>
      <c r="IV10" s="3150"/>
    </row>
    <row r="11" spans="1:257">
      <c r="A11" s="3151"/>
      <c r="B11" s="3152" t="s">
        <v>2911</v>
      </c>
      <c r="C11" s="3153" t="s">
        <v>2912</v>
      </c>
      <c r="D11" s="3154" t="s">
        <v>2913</v>
      </c>
      <c r="E11" s="3155"/>
      <c r="F11" s="3154" t="s">
        <v>2914</v>
      </c>
      <c r="G11" s="3156"/>
      <c r="H11" s="3155"/>
      <c r="I11" s="3154" t="s">
        <v>2915</v>
      </c>
      <c r="J11" s="3155"/>
      <c r="K11" s="3151"/>
      <c r="L11" s="3152" t="s">
        <v>2911</v>
      </c>
      <c r="M11" s="3153" t="s">
        <v>2912</v>
      </c>
      <c r="N11" s="3152" t="s">
        <v>2916</v>
      </c>
      <c r="O11" s="3154" t="s">
        <v>2917</v>
      </c>
      <c r="P11" s="3156"/>
      <c r="Q11" s="3156"/>
      <c r="R11" s="3156"/>
      <c r="S11" s="3156"/>
      <c r="T11" s="3155"/>
      <c r="U11" s="3154" t="s">
        <v>2918</v>
      </c>
      <c r="V11" s="3156"/>
      <c r="W11" s="3155"/>
      <c r="X11" s="3152" t="s">
        <v>2919</v>
      </c>
      <c r="Y11" s="3152" t="s">
        <v>2920</v>
      </c>
      <c r="Z11" s="3152" t="s">
        <v>2921</v>
      </c>
      <c r="AA11" s="3157"/>
      <c r="AB11" s="3157"/>
      <c r="AC11" s="3157"/>
      <c r="AD11" s="3157"/>
      <c r="AE11" s="3157"/>
      <c r="AF11" s="3157"/>
      <c r="AG11" s="3157"/>
      <c r="AH11" s="3157"/>
      <c r="AI11" s="3157"/>
      <c r="AJ11" s="3157"/>
      <c r="AK11" s="3157"/>
      <c r="AL11" s="3157"/>
      <c r="AM11" s="3157"/>
      <c r="AN11" s="3157"/>
      <c r="AO11" s="3157"/>
      <c r="AP11" s="3157"/>
      <c r="AQ11" s="3157"/>
      <c r="AR11" s="3157"/>
      <c r="AS11" s="3157"/>
      <c r="AT11" s="3157"/>
      <c r="AU11" s="3157"/>
      <c r="AV11" s="3157"/>
      <c r="AW11" s="3157"/>
      <c r="AX11" s="3157"/>
      <c r="AY11" s="3157"/>
      <c r="AZ11" s="3157"/>
      <c r="BA11" s="3157"/>
      <c r="BB11" s="3157"/>
      <c r="BC11" s="3157"/>
      <c r="BD11" s="3157"/>
      <c r="BE11" s="3157"/>
      <c r="BF11" s="3157"/>
      <c r="BG11" s="3157"/>
      <c r="BH11" s="3157"/>
      <c r="BI11" s="3157"/>
      <c r="BJ11" s="3157"/>
      <c r="BK11" s="3157"/>
      <c r="BL11" s="3157"/>
      <c r="BM11" s="3157"/>
      <c r="BN11" s="3157"/>
      <c r="BO11" s="3157"/>
      <c r="BP11" s="3157"/>
      <c r="BQ11" s="3157"/>
      <c r="BR11" s="3157"/>
      <c r="BS11" s="3157"/>
      <c r="BT11" s="3157"/>
      <c r="BU11" s="3157"/>
      <c r="BV11" s="3157"/>
      <c r="BW11" s="3157"/>
      <c r="BX11" s="3157"/>
      <c r="BY11" s="3157"/>
      <c r="BZ11" s="3157"/>
      <c r="CA11" s="3157"/>
      <c r="CB11" s="3157"/>
      <c r="CC11" s="3157"/>
      <c r="CD11" s="3157"/>
      <c r="CE11" s="3157"/>
      <c r="CF11" s="3157"/>
      <c r="CG11" s="3157"/>
      <c r="CH11" s="3157"/>
      <c r="CI11" s="3157"/>
      <c r="CJ11" s="3157"/>
      <c r="CK11" s="3157"/>
      <c r="CL11" s="3157"/>
      <c r="CM11" s="3157"/>
      <c r="CN11" s="3157"/>
      <c r="CO11" s="3157"/>
      <c r="CP11" s="3157"/>
      <c r="CQ11" s="3157"/>
      <c r="CR11" s="3157"/>
      <c r="CS11" s="3157"/>
      <c r="CT11" s="3157"/>
      <c r="CU11" s="3157"/>
      <c r="CV11" s="3157"/>
      <c r="CW11" s="3157"/>
      <c r="CX11" s="3157"/>
      <c r="CY11" s="3157"/>
      <c r="CZ11" s="3157"/>
      <c r="DA11" s="3157"/>
      <c r="DB11" s="3157"/>
      <c r="DC11" s="3157"/>
      <c r="DD11" s="3157"/>
      <c r="DE11" s="3157"/>
      <c r="DF11" s="3157"/>
      <c r="DG11" s="3157"/>
      <c r="DH11" s="3157"/>
      <c r="DI11" s="3157"/>
      <c r="DJ11" s="3157"/>
      <c r="DK11" s="3157"/>
      <c r="DL11" s="3157"/>
      <c r="DM11" s="3157"/>
      <c r="DN11" s="3157"/>
      <c r="DO11" s="3157"/>
      <c r="DP11" s="3157"/>
      <c r="DQ11" s="3157"/>
      <c r="DR11" s="3157"/>
      <c r="DS11" s="3157"/>
      <c r="DT11" s="3157"/>
      <c r="DU11" s="3157"/>
      <c r="DV11" s="3157"/>
      <c r="DW11" s="3157"/>
      <c r="DX11" s="3157"/>
      <c r="DY11" s="3157"/>
      <c r="DZ11" s="3157"/>
      <c r="EA11" s="3157"/>
      <c r="EB11" s="3157"/>
      <c r="EC11" s="3157"/>
      <c r="ED11" s="3157"/>
      <c r="EE11" s="3157"/>
      <c r="EF11" s="3157"/>
      <c r="EG11" s="3157"/>
      <c r="EH11" s="3157"/>
      <c r="EI11" s="3157"/>
      <c r="EJ11" s="3157"/>
      <c r="EK11" s="3157"/>
      <c r="EL11" s="3157"/>
      <c r="EM11" s="3157"/>
      <c r="EN11" s="3157"/>
      <c r="EO11" s="3157"/>
      <c r="EP11" s="3157"/>
      <c r="EQ11" s="3157"/>
      <c r="ER11" s="3157"/>
      <c r="ES11" s="3157"/>
      <c r="ET11" s="3157"/>
      <c r="EU11" s="3157"/>
      <c r="EV11" s="3157"/>
      <c r="EW11" s="3157"/>
      <c r="EX11" s="3157"/>
      <c r="EY11" s="3157"/>
      <c r="EZ11" s="3157"/>
      <c r="FA11" s="3157"/>
      <c r="FB11" s="3157"/>
      <c r="FC11" s="3157"/>
      <c r="FD11" s="3157"/>
      <c r="FE11" s="3157"/>
      <c r="FF11" s="3157"/>
      <c r="FG11" s="3157"/>
      <c r="FH11" s="3157"/>
      <c r="FI11" s="3157"/>
      <c r="FJ11" s="3157"/>
      <c r="FK11" s="3157"/>
      <c r="FL11" s="3157"/>
      <c r="FM11" s="3157"/>
      <c r="FN11" s="3157"/>
      <c r="FO11" s="3157"/>
      <c r="FP11" s="3157"/>
      <c r="FQ11" s="3157"/>
      <c r="FR11" s="3157"/>
      <c r="FS11" s="3157"/>
      <c r="FT11" s="3157"/>
      <c r="FU11" s="3157"/>
      <c r="FV11" s="3157"/>
      <c r="FW11" s="3157"/>
      <c r="FX11" s="3157"/>
      <c r="FY11" s="3157"/>
      <c r="FZ11" s="3157"/>
      <c r="GA11" s="3157"/>
      <c r="GB11" s="3157"/>
      <c r="GC11" s="3157"/>
      <c r="GD11" s="3157"/>
      <c r="GE11" s="3157"/>
      <c r="GF11" s="3157"/>
      <c r="GG11" s="3157"/>
      <c r="GH11" s="3157"/>
      <c r="GI11" s="3157"/>
      <c r="GJ11" s="3157"/>
      <c r="GK11" s="3157"/>
      <c r="GL11" s="3157"/>
      <c r="GM11" s="3157"/>
      <c r="GN11" s="3157"/>
      <c r="GO11" s="3157"/>
      <c r="GP11" s="3157"/>
      <c r="GQ11" s="3157"/>
      <c r="GR11" s="3157"/>
      <c r="GS11" s="3157"/>
      <c r="GT11" s="3157"/>
      <c r="GU11" s="3157"/>
      <c r="GV11" s="3157"/>
      <c r="GW11" s="3157"/>
      <c r="GX11" s="3157"/>
      <c r="GY11" s="3157"/>
      <c r="GZ11" s="3157"/>
      <c r="HA11" s="3157"/>
      <c r="HB11" s="3157"/>
      <c r="HC11" s="3157"/>
      <c r="HD11" s="3157"/>
      <c r="HE11" s="3157"/>
      <c r="HF11" s="3157"/>
      <c r="HG11" s="3157"/>
      <c r="HH11" s="3157"/>
      <c r="HI11" s="3157"/>
      <c r="HJ11" s="3157"/>
      <c r="HK11" s="3157"/>
      <c r="HL11" s="3157"/>
      <c r="HM11" s="3157"/>
      <c r="HN11" s="3157"/>
      <c r="HO11" s="3157"/>
      <c r="HP11" s="3157"/>
      <c r="HQ11" s="3157"/>
      <c r="HR11" s="3157"/>
      <c r="HS11" s="3157"/>
      <c r="HT11" s="3157"/>
      <c r="HU11" s="3157"/>
      <c r="HV11" s="3157"/>
      <c r="HW11" s="3157"/>
      <c r="HX11" s="3157"/>
      <c r="HY11" s="3157"/>
      <c r="HZ11" s="3157"/>
      <c r="IA11" s="3157"/>
      <c r="IB11" s="3157"/>
      <c r="IC11" s="3157"/>
      <c r="ID11" s="3157"/>
      <c r="IE11" s="3157"/>
      <c r="IF11" s="3157"/>
      <c r="IG11" s="3157"/>
      <c r="IH11" s="3157"/>
      <c r="II11" s="3157"/>
      <c r="IJ11" s="3157"/>
      <c r="IK11" s="3157"/>
      <c r="IL11" s="3157"/>
      <c r="IM11" s="3157"/>
      <c r="IN11" s="3157"/>
      <c r="IO11" s="3157"/>
      <c r="IP11" s="3157"/>
      <c r="IQ11" s="3157"/>
      <c r="IR11" s="3157"/>
      <c r="IS11" s="3157"/>
      <c r="IT11" s="3157"/>
      <c r="IU11" s="3157"/>
      <c r="IV11" s="3157"/>
    </row>
    <row r="12" spans="1:257">
      <c r="A12" s="3158"/>
      <c r="B12" s="3159"/>
      <c r="C12" s="3160"/>
      <c r="D12" s="3161" t="s">
        <v>2922</v>
      </c>
      <c r="E12" s="3161" t="s">
        <v>2923</v>
      </c>
      <c r="F12" s="3161" t="s">
        <v>2924</v>
      </c>
      <c r="G12" s="3161" t="s">
        <v>2925</v>
      </c>
      <c r="H12" s="3161" t="s">
        <v>2907</v>
      </c>
      <c r="I12" s="3162" t="s">
        <v>2926</v>
      </c>
      <c r="J12" s="3162" t="s">
        <v>2926</v>
      </c>
      <c r="K12" s="3158"/>
      <c r="L12" s="3159"/>
      <c r="M12" s="3160"/>
      <c r="N12" s="3159"/>
      <c r="O12" s="3162" t="s">
        <v>2927</v>
      </c>
      <c r="P12" s="3162">
        <v>0.5</v>
      </c>
      <c r="Q12" s="3162">
        <v>1</v>
      </c>
      <c r="R12" s="3162">
        <v>2</v>
      </c>
      <c r="S12" s="3162">
        <v>3</v>
      </c>
      <c r="T12" s="3162">
        <v>5</v>
      </c>
      <c r="U12" s="3162">
        <v>1</v>
      </c>
      <c r="V12" s="3162">
        <v>3</v>
      </c>
      <c r="W12" s="3162">
        <v>5</v>
      </c>
      <c r="X12" s="3159"/>
      <c r="Y12" s="3159"/>
      <c r="Z12" s="3159"/>
      <c r="AA12" s="3163"/>
      <c r="AB12" s="3163"/>
      <c r="AC12" s="3163"/>
      <c r="AD12" s="3163"/>
      <c r="AE12" s="3163"/>
      <c r="AF12" s="3163"/>
      <c r="AG12" s="3163"/>
      <c r="AH12" s="3163"/>
      <c r="AI12" s="3163"/>
      <c r="AJ12" s="3163"/>
      <c r="AK12" s="3163"/>
      <c r="AL12" s="3163"/>
      <c r="AM12" s="3163"/>
      <c r="AN12" s="3163"/>
      <c r="AO12" s="3163"/>
      <c r="AP12" s="3163"/>
      <c r="AQ12" s="3163"/>
      <c r="AR12" s="3163"/>
      <c r="AS12" s="3163"/>
      <c r="AT12" s="3163"/>
      <c r="AU12" s="3163"/>
      <c r="AV12" s="3163"/>
      <c r="AW12" s="3163"/>
      <c r="AX12" s="3163"/>
      <c r="AY12" s="3163"/>
      <c r="AZ12" s="3163"/>
      <c r="BA12" s="3163"/>
      <c r="BB12" s="3163"/>
      <c r="BC12" s="3163"/>
      <c r="BD12" s="3163"/>
      <c r="BE12" s="3163"/>
      <c r="BF12" s="3163"/>
      <c r="BG12" s="3163"/>
      <c r="BH12" s="3163"/>
      <c r="BI12" s="3163"/>
      <c r="BJ12" s="3163"/>
      <c r="BK12" s="3163"/>
      <c r="BL12" s="3163"/>
      <c r="BM12" s="3163"/>
      <c r="BN12" s="3163"/>
      <c r="BO12" s="3163"/>
      <c r="BP12" s="3163"/>
      <c r="BQ12" s="3163"/>
      <c r="BR12" s="3163"/>
      <c r="BS12" s="3163"/>
      <c r="BT12" s="3163"/>
      <c r="BU12" s="3163"/>
      <c r="BV12" s="3163"/>
      <c r="BW12" s="3163"/>
      <c r="BX12" s="3163"/>
      <c r="BY12" s="3163"/>
      <c r="BZ12" s="3163"/>
      <c r="CA12" s="3163"/>
      <c r="CB12" s="3163"/>
      <c r="CC12" s="3163"/>
      <c r="CD12" s="3163"/>
      <c r="CE12" s="3163"/>
      <c r="CF12" s="3163"/>
      <c r="CG12" s="3163"/>
      <c r="CH12" s="3163"/>
      <c r="CI12" s="3163"/>
      <c r="CJ12" s="3163"/>
      <c r="CK12" s="3163"/>
      <c r="CL12" s="3163"/>
      <c r="CM12" s="3163"/>
      <c r="CN12" s="3163"/>
      <c r="CO12" s="3163"/>
      <c r="CP12" s="3163"/>
      <c r="CQ12" s="3163"/>
      <c r="CR12" s="3163"/>
      <c r="CS12" s="3163"/>
      <c r="CT12" s="3163"/>
      <c r="CU12" s="3163"/>
      <c r="CV12" s="3163"/>
      <c r="CW12" s="3163"/>
      <c r="CX12" s="3163"/>
      <c r="CY12" s="3163"/>
      <c r="CZ12" s="3163"/>
      <c r="DA12" s="3163"/>
      <c r="DB12" s="3163"/>
      <c r="DC12" s="3163"/>
      <c r="DD12" s="3163"/>
      <c r="DE12" s="3163"/>
      <c r="DF12" s="3163"/>
      <c r="DG12" s="3163"/>
      <c r="DH12" s="3163"/>
      <c r="DI12" s="3163"/>
      <c r="DJ12" s="3163"/>
      <c r="DK12" s="3163"/>
      <c r="DL12" s="3163"/>
      <c r="DM12" s="3163"/>
      <c r="DN12" s="3163"/>
      <c r="DO12" s="3163"/>
      <c r="DP12" s="3163"/>
      <c r="DQ12" s="3163"/>
      <c r="DR12" s="3163"/>
      <c r="DS12" s="3163"/>
      <c r="DT12" s="3163"/>
      <c r="DU12" s="3163"/>
      <c r="DV12" s="3163"/>
      <c r="DW12" s="3163"/>
      <c r="DX12" s="3163"/>
      <c r="DY12" s="3163"/>
      <c r="DZ12" s="3163"/>
      <c r="EA12" s="3163"/>
      <c r="EB12" s="3163"/>
      <c r="EC12" s="3163"/>
      <c r="ED12" s="3163"/>
      <c r="EE12" s="3163"/>
      <c r="EF12" s="3163"/>
      <c r="EG12" s="3163"/>
      <c r="EH12" s="3163"/>
      <c r="EI12" s="3163"/>
      <c r="EJ12" s="3163"/>
      <c r="EK12" s="3163"/>
      <c r="EL12" s="3163"/>
      <c r="EM12" s="3163"/>
      <c r="EN12" s="3163"/>
      <c r="EO12" s="3163"/>
      <c r="EP12" s="3163"/>
      <c r="EQ12" s="3163"/>
      <c r="ER12" s="3163"/>
      <c r="ES12" s="3163"/>
      <c r="ET12" s="3163"/>
      <c r="EU12" s="3163"/>
      <c r="EV12" s="3163"/>
      <c r="EW12" s="3163"/>
      <c r="EX12" s="3163"/>
      <c r="EY12" s="3163"/>
      <c r="EZ12" s="3163"/>
      <c r="FA12" s="3163"/>
      <c r="FB12" s="3163"/>
      <c r="FC12" s="3163"/>
      <c r="FD12" s="3163"/>
      <c r="FE12" s="3163"/>
      <c r="FF12" s="3163"/>
      <c r="FG12" s="3163"/>
      <c r="FH12" s="3163"/>
      <c r="FI12" s="3163"/>
      <c r="FJ12" s="3163"/>
      <c r="FK12" s="3163"/>
      <c r="FL12" s="3163"/>
      <c r="FM12" s="3163"/>
      <c r="FN12" s="3163"/>
      <c r="FO12" s="3163"/>
      <c r="FP12" s="3163"/>
      <c r="FQ12" s="3163"/>
      <c r="FR12" s="3163"/>
      <c r="FS12" s="3163"/>
      <c r="FT12" s="3163"/>
      <c r="FU12" s="3163"/>
      <c r="FV12" s="3163"/>
      <c r="FW12" s="3163"/>
      <c r="FX12" s="3163"/>
      <c r="FY12" s="3163"/>
      <c r="FZ12" s="3163"/>
      <c r="GA12" s="3163"/>
      <c r="GB12" s="3163"/>
      <c r="GC12" s="3163"/>
      <c r="GD12" s="3163"/>
      <c r="GE12" s="3163"/>
      <c r="GF12" s="3163"/>
      <c r="GG12" s="3163"/>
      <c r="GH12" s="3163"/>
      <c r="GI12" s="3163"/>
      <c r="GJ12" s="3163"/>
      <c r="GK12" s="3163"/>
      <c r="GL12" s="3163"/>
      <c r="GM12" s="3163"/>
      <c r="GN12" s="3163"/>
      <c r="GO12" s="3163"/>
      <c r="GP12" s="3163"/>
      <c r="GQ12" s="3163"/>
      <c r="GR12" s="3163"/>
      <c r="GS12" s="3163"/>
      <c r="GT12" s="3163"/>
      <c r="GU12" s="3163"/>
      <c r="GV12" s="3163"/>
      <c r="GW12" s="3163"/>
      <c r="GX12" s="3163"/>
      <c r="GY12" s="3163"/>
      <c r="GZ12" s="3163"/>
      <c r="HA12" s="3163"/>
      <c r="HB12" s="3163"/>
      <c r="HC12" s="3163"/>
      <c r="HD12" s="3163"/>
      <c r="HE12" s="3163"/>
      <c r="HF12" s="3163"/>
      <c r="HG12" s="3163"/>
      <c r="HH12" s="3163"/>
      <c r="HI12" s="3163"/>
      <c r="HJ12" s="3163"/>
      <c r="HK12" s="3163"/>
      <c r="HL12" s="3163"/>
      <c r="HM12" s="3163"/>
      <c r="HN12" s="3163"/>
      <c r="HO12" s="3163"/>
      <c r="HP12" s="3163"/>
      <c r="HQ12" s="3163"/>
      <c r="HR12" s="3163"/>
      <c r="HS12" s="3163"/>
      <c r="HT12" s="3163"/>
      <c r="HU12" s="3163"/>
      <c r="HV12" s="3163"/>
      <c r="HW12" s="3163"/>
      <c r="HX12" s="3163"/>
      <c r="HY12" s="3163"/>
      <c r="HZ12" s="3163"/>
      <c r="IA12" s="3163"/>
      <c r="IB12" s="3163"/>
      <c r="IC12" s="3163"/>
      <c r="ID12" s="3163"/>
      <c r="IE12" s="3163"/>
      <c r="IF12" s="3163"/>
      <c r="IG12" s="3163"/>
      <c r="IH12" s="3163"/>
      <c r="II12" s="3163"/>
      <c r="IJ12" s="3163"/>
      <c r="IK12" s="3163"/>
      <c r="IL12" s="3163"/>
      <c r="IM12" s="3163"/>
      <c r="IN12" s="3163"/>
      <c r="IO12" s="3163"/>
      <c r="IP12" s="3163"/>
      <c r="IQ12" s="3163"/>
      <c r="IR12" s="3163"/>
      <c r="IS12" s="3163"/>
      <c r="IT12" s="3163"/>
      <c r="IU12" s="3163"/>
      <c r="IV12" s="3163"/>
    </row>
    <row r="13" spans="1:257" ht="14.25">
      <c r="A13" s="3164"/>
      <c r="B13" s="3165" t="s">
        <v>2928</v>
      </c>
      <c r="C13" s="3166">
        <v>42301</v>
      </c>
      <c r="D13" s="3167">
        <v>4.3499999999999996</v>
      </c>
      <c r="E13" s="3167">
        <v>4.3499999999999996</v>
      </c>
      <c r="F13" s="3167">
        <v>4.75</v>
      </c>
      <c r="G13" s="3167">
        <v>4.75</v>
      </c>
      <c r="H13" s="3167">
        <v>4.9000000000000004</v>
      </c>
      <c r="I13" s="3167">
        <v>2.75</v>
      </c>
      <c r="J13" s="3167">
        <v>3.25</v>
      </c>
      <c r="K13" s="3164"/>
      <c r="L13" s="3165" t="s">
        <v>2928</v>
      </c>
      <c r="M13" s="3168">
        <v>42301</v>
      </c>
      <c r="N13" s="3167">
        <v>0.35</v>
      </c>
      <c r="O13" s="3167">
        <v>1.1000000000000001</v>
      </c>
      <c r="P13" s="3167">
        <v>1.3</v>
      </c>
      <c r="Q13" s="3167">
        <v>1.5</v>
      </c>
      <c r="R13" s="3167">
        <v>2.1</v>
      </c>
      <c r="S13" s="3167">
        <v>2.75</v>
      </c>
      <c r="T13" s="3167"/>
      <c r="U13" s="3167"/>
      <c r="V13" s="3167"/>
      <c r="W13" s="3167"/>
      <c r="X13" s="3167"/>
      <c r="Y13" s="3167"/>
      <c r="Z13" s="3167"/>
      <c r="AA13" s="3169"/>
      <c r="AB13" s="3169"/>
      <c r="AC13" s="3169"/>
      <c r="AD13" s="3169"/>
      <c r="AE13" s="3169"/>
      <c r="AF13" s="3169"/>
      <c r="AG13" s="3169"/>
      <c r="AH13" s="3169"/>
      <c r="AI13" s="3169"/>
      <c r="AJ13" s="3169"/>
      <c r="AK13" s="3169"/>
      <c r="AL13" s="3169"/>
      <c r="AM13" s="3169"/>
      <c r="AN13" s="3169"/>
      <c r="AO13" s="3169"/>
      <c r="AP13" s="3169"/>
      <c r="AQ13" s="3169"/>
      <c r="AR13" s="3169"/>
      <c r="AS13" s="3169"/>
      <c r="AT13" s="3169"/>
      <c r="AU13" s="3169"/>
      <c r="AV13" s="3169"/>
      <c r="AW13" s="3169"/>
      <c r="AX13" s="3169"/>
      <c r="AY13" s="3169"/>
      <c r="AZ13" s="3169"/>
      <c r="BA13" s="3169"/>
      <c r="BB13" s="3169"/>
      <c r="BC13" s="3169"/>
      <c r="BD13" s="3169"/>
      <c r="BE13" s="3169"/>
      <c r="BF13" s="3169"/>
      <c r="BG13" s="3169"/>
      <c r="BH13" s="3169"/>
      <c r="BI13" s="3169"/>
      <c r="BJ13" s="3169"/>
      <c r="BK13" s="3169"/>
      <c r="BL13" s="3169"/>
      <c r="BM13" s="3169"/>
      <c r="BN13" s="3169"/>
      <c r="BO13" s="3169"/>
      <c r="BP13" s="3169"/>
      <c r="BQ13" s="3169"/>
      <c r="BR13" s="3169"/>
      <c r="BS13" s="3169"/>
      <c r="BT13" s="3169"/>
      <c r="BU13" s="3169"/>
      <c r="BV13" s="3169"/>
      <c r="BW13" s="3169"/>
      <c r="BX13" s="3169"/>
      <c r="BY13" s="3169"/>
      <c r="BZ13" s="3169"/>
      <c r="CA13" s="3169"/>
      <c r="CB13" s="3169"/>
      <c r="CC13" s="3169"/>
      <c r="CD13" s="3169"/>
      <c r="CE13" s="3169"/>
      <c r="CF13" s="3169"/>
      <c r="CG13" s="3169"/>
      <c r="CH13" s="3169"/>
      <c r="CI13" s="3169"/>
      <c r="CJ13" s="3169"/>
      <c r="CK13" s="3169"/>
      <c r="CL13" s="3169"/>
      <c r="CM13" s="3169"/>
      <c r="CN13" s="3169"/>
      <c r="CO13" s="3169"/>
      <c r="CP13" s="3169"/>
      <c r="CQ13" s="3169"/>
      <c r="CR13" s="3169"/>
      <c r="CS13" s="3169"/>
      <c r="CT13" s="3169"/>
      <c r="CU13" s="3169"/>
      <c r="CV13" s="3169"/>
      <c r="CW13" s="3169"/>
      <c r="CX13" s="3169"/>
      <c r="CY13" s="3169"/>
      <c r="CZ13" s="3169"/>
      <c r="DA13" s="3169"/>
      <c r="DB13" s="3169"/>
      <c r="DC13" s="3169"/>
      <c r="DD13" s="3169"/>
      <c r="DE13" s="3169"/>
      <c r="DF13" s="3169"/>
      <c r="DG13" s="3169"/>
      <c r="DH13" s="3169"/>
      <c r="DI13" s="3169"/>
      <c r="DJ13" s="3169"/>
      <c r="DK13" s="3169"/>
      <c r="DL13" s="3169"/>
      <c r="DM13" s="3169"/>
      <c r="DN13" s="3169"/>
      <c r="DO13" s="3169"/>
      <c r="DP13" s="3169"/>
      <c r="DQ13" s="3169"/>
      <c r="DR13" s="3169"/>
      <c r="DS13" s="3169"/>
      <c r="DT13" s="3169"/>
      <c r="DU13" s="3169"/>
      <c r="DV13" s="3169"/>
      <c r="DW13" s="3169"/>
      <c r="DX13" s="3169"/>
      <c r="DY13" s="3169"/>
      <c r="DZ13" s="3169"/>
      <c r="EA13" s="3169"/>
      <c r="EB13" s="3169"/>
      <c r="EC13" s="3169"/>
      <c r="ED13" s="3169"/>
      <c r="EE13" s="3169"/>
      <c r="EF13" s="3169"/>
      <c r="EG13" s="3169"/>
      <c r="EH13" s="3169"/>
      <c r="EI13" s="3169"/>
      <c r="EJ13" s="3169"/>
      <c r="EK13" s="3169"/>
      <c r="EL13" s="3169"/>
      <c r="EM13" s="3169"/>
      <c r="EN13" s="3169"/>
      <c r="EO13" s="3169"/>
      <c r="EP13" s="3169"/>
      <c r="EQ13" s="3169"/>
      <c r="ER13" s="3169"/>
      <c r="ES13" s="3169"/>
      <c r="ET13" s="3169"/>
      <c r="EU13" s="3169"/>
      <c r="EV13" s="3169"/>
      <c r="EW13" s="3169"/>
      <c r="EX13" s="3169"/>
      <c r="EY13" s="3169"/>
      <c r="EZ13" s="3169"/>
      <c r="FA13" s="3169"/>
      <c r="FB13" s="3169"/>
      <c r="FC13" s="3169"/>
      <c r="FD13" s="3169"/>
      <c r="FE13" s="3169"/>
      <c r="FF13" s="3169"/>
      <c r="FG13" s="3169"/>
      <c r="FH13" s="3169"/>
      <c r="FI13" s="3169"/>
      <c r="FJ13" s="3169"/>
      <c r="FK13" s="3169"/>
      <c r="FL13" s="3169"/>
      <c r="FM13" s="3169"/>
      <c r="FN13" s="3169"/>
      <c r="FO13" s="3169"/>
      <c r="FP13" s="3169"/>
      <c r="FQ13" s="3169"/>
      <c r="FR13" s="3169"/>
      <c r="FS13" s="3169"/>
      <c r="FT13" s="3169"/>
      <c r="FU13" s="3169"/>
      <c r="FV13" s="3169"/>
      <c r="FW13" s="3169"/>
      <c r="FX13" s="3169"/>
      <c r="FY13" s="3169"/>
      <c r="FZ13" s="3169"/>
      <c r="GA13" s="3169"/>
      <c r="GB13" s="3169"/>
      <c r="GC13" s="3169"/>
      <c r="GD13" s="3169"/>
      <c r="GE13" s="3169"/>
      <c r="GF13" s="3169"/>
      <c r="GG13" s="3169"/>
      <c r="GH13" s="3169"/>
      <c r="GI13" s="3169"/>
      <c r="GJ13" s="3169"/>
      <c r="GK13" s="3169"/>
      <c r="GL13" s="3169"/>
      <c r="GM13" s="3169"/>
      <c r="GN13" s="3169"/>
      <c r="GO13" s="3169"/>
      <c r="GP13" s="3169"/>
      <c r="GQ13" s="3169"/>
      <c r="GR13" s="3169"/>
      <c r="GS13" s="3169"/>
      <c r="GT13" s="3169"/>
      <c r="GU13" s="3169"/>
      <c r="GV13" s="3169"/>
      <c r="GW13" s="3169"/>
      <c r="GX13" s="3169"/>
      <c r="GY13" s="3169"/>
      <c r="GZ13" s="3169"/>
      <c r="HA13" s="3169"/>
      <c r="HB13" s="3169"/>
      <c r="HC13" s="3169"/>
      <c r="HD13" s="3169"/>
      <c r="HE13" s="3169"/>
      <c r="HF13" s="3169"/>
      <c r="HG13" s="3169"/>
      <c r="HH13" s="3169"/>
      <c r="HI13" s="3169"/>
      <c r="HJ13" s="3169"/>
      <c r="HK13" s="3169"/>
      <c r="HL13" s="3169"/>
      <c r="HM13" s="3169"/>
      <c r="HN13" s="3169"/>
      <c r="HO13" s="3169"/>
      <c r="HP13" s="3169"/>
      <c r="HQ13" s="3169"/>
      <c r="HR13" s="3169"/>
      <c r="HS13" s="3169"/>
      <c r="HT13" s="3169"/>
      <c r="HU13" s="3169"/>
      <c r="HV13" s="3169"/>
      <c r="HW13" s="3169"/>
      <c r="HX13" s="3169"/>
      <c r="HY13" s="3169"/>
      <c r="HZ13" s="3169"/>
      <c r="IA13" s="3169"/>
      <c r="IB13" s="3169"/>
      <c r="IC13" s="3169"/>
      <c r="ID13" s="3169"/>
      <c r="IE13" s="3169"/>
      <c r="IF13" s="3169"/>
      <c r="IG13" s="3169"/>
      <c r="IH13" s="3169"/>
      <c r="II13" s="3169"/>
      <c r="IJ13" s="3169"/>
      <c r="IK13" s="3169"/>
      <c r="IL13" s="3169"/>
      <c r="IM13" s="3169"/>
      <c r="IN13" s="3169"/>
      <c r="IO13" s="3169"/>
      <c r="IP13" s="3169"/>
      <c r="IQ13" s="3169"/>
      <c r="IR13" s="3169"/>
      <c r="IS13" s="3169"/>
      <c r="IT13" s="3169"/>
      <c r="IU13" s="3169"/>
      <c r="IV13" s="3169"/>
      <c r="IW13" s="3170"/>
    </row>
    <row r="14" spans="1:257">
      <c r="B14" s="3171"/>
      <c r="C14" s="3172">
        <v>42242</v>
      </c>
      <c r="D14" s="3171">
        <v>4.5999999999999996</v>
      </c>
      <c r="E14" s="3171">
        <v>4.5999999999999996</v>
      </c>
      <c r="F14" s="3171">
        <v>5</v>
      </c>
      <c r="G14" s="3171">
        <v>5</v>
      </c>
      <c r="H14" s="3171">
        <v>5.15</v>
      </c>
      <c r="I14" s="3171">
        <v>2.75</v>
      </c>
      <c r="J14" s="3171">
        <v>3.25</v>
      </c>
      <c r="L14" s="3171"/>
      <c r="M14" s="3172">
        <v>42242</v>
      </c>
      <c r="N14" s="3171">
        <v>0.35</v>
      </c>
      <c r="O14" s="3171">
        <v>1.35</v>
      </c>
      <c r="P14" s="3171">
        <v>1.55</v>
      </c>
      <c r="Q14" s="3171">
        <v>1.75</v>
      </c>
      <c r="R14" s="3171">
        <v>2.35</v>
      </c>
      <c r="S14" s="3171">
        <v>3</v>
      </c>
      <c r="T14" s="3171"/>
      <c r="U14" s="3171"/>
      <c r="V14" s="3171"/>
      <c r="W14" s="3171"/>
      <c r="X14" s="3171"/>
      <c r="Y14" s="3171"/>
      <c r="Z14" s="3171"/>
    </row>
    <row r="15" spans="1:257">
      <c r="B15" s="3171"/>
      <c r="C15" s="3172">
        <v>42183</v>
      </c>
      <c r="D15" s="3171">
        <v>4.8499999999999996</v>
      </c>
      <c r="E15" s="3171">
        <v>4.8499999999999996</v>
      </c>
      <c r="F15" s="3171">
        <v>5.25</v>
      </c>
      <c r="G15" s="3171">
        <v>5.25</v>
      </c>
      <c r="H15" s="3171">
        <v>5.4</v>
      </c>
      <c r="I15" s="3171">
        <v>3</v>
      </c>
      <c r="J15" s="3171">
        <v>3.5</v>
      </c>
      <c r="L15" s="3171"/>
      <c r="M15" s="3172">
        <v>42183</v>
      </c>
      <c r="N15" s="3171">
        <v>0.35</v>
      </c>
      <c r="O15" s="3171">
        <v>1.6</v>
      </c>
      <c r="P15" s="3171">
        <v>1.8</v>
      </c>
      <c r="Q15" s="3171">
        <v>2</v>
      </c>
      <c r="R15" s="3171">
        <v>2.6</v>
      </c>
      <c r="S15" s="3171">
        <v>3.25</v>
      </c>
      <c r="T15" s="3171"/>
      <c r="U15" s="3171"/>
      <c r="V15" s="3171"/>
      <c r="W15" s="3171"/>
      <c r="X15" s="3171"/>
      <c r="Y15" s="3171"/>
      <c r="Z15" s="3171"/>
    </row>
    <row r="16" spans="1:257">
      <c r="B16" s="3171"/>
      <c r="C16" s="3172">
        <v>42135</v>
      </c>
      <c r="D16" s="3171">
        <v>5.0999999999999996</v>
      </c>
      <c r="E16" s="3171">
        <v>5.0999999999999996</v>
      </c>
      <c r="F16" s="3171">
        <v>5.5</v>
      </c>
      <c r="G16" s="3171">
        <v>5.5</v>
      </c>
      <c r="H16" s="3171">
        <v>5.65</v>
      </c>
      <c r="I16" s="3171">
        <v>3.25</v>
      </c>
      <c r="J16" s="3171">
        <v>3.75</v>
      </c>
      <c r="L16" s="3171"/>
      <c r="M16" s="3172">
        <v>42135</v>
      </c>
      <c r="N16" s="3171">
        <v>0.35</v>
      </c>
      <c r="O16" s="3171">
        <v>1.85</v>
      </c>
      <c r="P16" s="3171">
        <v>2.0499999999999998</v>
      </c>
      <c r="Q16" s="3171">
        <v>2.25</v>
      </c>
      <c r="R16" s="3171">
        <v>2.85</v>
      </c>
      <c r="S16" s="3171">
        <v>3.5</v>
      </c>
      <c r="T16" s="3171"/>
      <c r="U16" s="3171"/>
      <c r="V16" s="3171"/>
      <c r="W16" s="3171"/>
      <c r="X16" s="3171"/>
      <c r="Y16" s="3171"/>
      <c r="Z16" s="3171"/>
    </row>
    <row r="17" spans="2:26">
      <c r="B17" s="3171"/>
      <c r="C17" s="3172">
        <v>42064</v>
      </c>
      <c r="D17" s="3171">
        <v>5.35</v>
      </c>
      <c r="E17" s="3171">
        <v>5.35</v>
      </c>
      <c r="F17" s="3171">
        <v>5.75</v>
      </c>
      <c r="G17" s="3171">
        <v>5.75</v>
      </c>
      <c r="H17" s="3171">
        <v>5.9</v>
      </c>
      <c r="I17" s="3171"/>
      <c r="J17" s="3171"/>
      <c r="L17" s="3171"/>
      <c r="M17" s="3172">
        <v>42064</v>
      </c>
      <c r="N17" s="3171">
        <v>0.35</v>
      </c>
      <c r="O17" s="3171">
        <v>2.1</v>
      </c>
      <c r="P17" s="3171">
        <v>2.2999999999999998</v>
      </c>
      <c r="Q17" s="3171">
        <v>2.5</v>
      </c>
      <c r="R17" s="3171">
        <v>3.1</v>
      </c>
      <c r="S17" s="3171">
        <v>3.75</v>
      </c>
      <c r="T17" s="3171">
        <v>4.5</v>
      </c>
      <c r="U17" s="3171">
        <v>2.35</v>
      </c>
      <c r="V17" s="3171">
        <v>2.5499999999999998</v>
      </c>
      <c r="W17" s="3171">
        <v>2.75</v>
      </c>
      <c r="X17" s="3171"/>
      <c r="Y17" s="3171">
        <v>0.8</v>
      </c>
      <c r="Z17" s="3171">
        <v>1.35</v>
      </c>
    </row>
    <row r="18" spans="2:26" ht="15">
      <c r="B18" s="3171"/>
      <c r="C18" s="3172">
        <v>41965</v>
      </c>
      <c r="D18" s="3171">
        <v>5.6</v>
      </c>
      <c r="E18" s="3171">
        <v>5.6</v>
      </c>
      <c r="F18" s="3171">
        <v>6</v>
      </c>
      <c r="G18" s="3171">
        <v>6</v>
      </c>
      <c r="H18" s="3171">
        <v>6.15</v>
      </c>
      <c r="I18" s="3171"/>
      <c r="J18" s="3171"/>
      <c r="L18" s="3171"/>
      <c r="M18" s="3172">
        <v>41965</v>
      </c>
      <c r="N18" s="3171">
        <v>0.35</v>
      </c>
      <c r="O18" s="3171">
        <v>2.35</v>
      </c>
      <c r="P18" s="3171">
        <v>2.5499999999999998</v>
      </c>
      <c r="Q18" s="3171">
        <v>2.75</v>
      </c>
      <c r="R18" s="3171">
        <v>3.35</v>
      </c>
      <c r="S18" s="3171">
        <v>4</v>
      </c>
      <c r="T18" s="3171">
        <v>4.75</v>
      </c>
      <c r="U18" s="3173">
        <v>2.35</v>
      </c>
      <c r="V18" s="3173">
        <v>2.5499999999999998</v>
      </c>
      <c r="W18" s="3173">
        <v>2.75</v>
      </c>
      <c r="X18" s="3171"/>
      <c r="Y18" s="3173">
        <v>0.8</v>
      </c>
      <c r="Z18" s="3173">
        <v>1.35</v>
      </c>
    </row>
    <row r="19" spans="2:26">
      <c r="B19" s="3171"/>
      <c r="C19" s="3172">
        <v>41096</v>
      </c>
      <c r="D19" s="3171">
        <v>5.6</v>
      </c>
      <c r="E19" s="3171">
        <v>6</v>
      </c>
      <c r="F19" s="3171">
        <v>6.15</v>
      </c>
      <c r="G19" s="3171">
        <v>6.4</v>
      </c>
      <c r="H19" s="3171">
        <v>6.55</v>
      </c>
      <c r="I19" s="3171">
        <v>4</v>
      </c>
      <c r="J19" s="3171">
        <v>4.5</v>
      </c>
      <c r="L19" s="3171"/>
      <c r="M19" s="3172">
        <v>41096</v>
      </c>
      <c r="N19" s="3171">
        <v>0.35</v>
      </c>
      <c r="O19" s="3171">
        <v>2.6</v>
      </c>
      <c r="P19" s="3171">
        <v>2.8</v>
      </c>
      <c r="Q19" s="3171">
        <v>3</v>
      </c>
      <c r="R19" s="3171">
        <v>3.75</v>
      </c>
      <c r="S19" s="3171">
        <v>4.25</v>
      </c>
      <c r="T19" s="3171">
        <v>4.75</v>
      </c>
      <c r="U19" s="3171">
        <v>2.85</v>
      </c>
      <c r="V19" s="3171">
        <v>2.9</v>
      </c>
      <c r="W19" s="3171">
        <v>3</v>
      </c>
      <c r="X19" s="3171">
        <v>1.1499999999999999</v>
      </c>
      <c r="Y19" s="3171">
        <v>0.8</v>
      </c>
      <c r="Z19" s="3171">
        <v>1.35</v>
      </c>
    </row>
    <row r="20" spans="2:26">
      <c r="B20" s="3171"/>
      <c r="C20" s="3172">
        <v>41068</v>
      </c>
      <c r="D20" s="3171">
        <v>5.85</v>
      </c>
      <c r="E20" s="3171">
        <v>6.31</v>
      </c>
      <c r="F20" s="3171">
        <v>6.4</v>
      </c>
      <c r="G20" s="3171">
        <v>6.65</v>
      </c>
      <c r="H20" s="3171">
        <v>6.8</v>
      </c>
      <c r="I20" s="3171">
        <v>4.2</v>
      </c>
      <c r="J20" s="3171">
        <v>4.7</v>
      </c>
      <c r="L20" s="3171"/>
      <c r="M20" s="3172">
        <v>41068</v>
      </c>
      <c r="N20" s="3171">
        <v>0.4</v>
      </c>
      <c r="O20" s="3171">
        <v>2.85</v>
      </c>
      <c r="P20" s="3171">
        <v>3.05</v>
      </c>
      <c r="Q20" s="3171">
        <v>3.25</v>
      </c>
      <c r="R20" s="3171">
        <v>4.0999999999999996</v>
      </c>
      <c r="S20" s="3171">
        <v>4.6500000000000004</v>
      </c>
      <c r="T20" s="3171">
        <v>5.0999999999999996</v>
      </c>
      <c r="U20" s="3171">
        <v>3.1</v>
      </c>
      <c r="V20" s="3171">
        <v>3.15</v>
      </c>
      <c r="W20" s="3171">
        <v>3.25</v>
      </c>
      <c r="X20" s="3171">
        <v>1.31</v>
      </c>
      <c r="Y20" s="3171">
        <v>0.94</v>
      </c>
      <c r="Z20" s="3171">
        <v>1.49</v>
      </c>
    </row>
    <row r="21" spans="2:26">
      <c r="B21" s="3171"/>
      <c r="C21" s="3172">
        <v>40731</v>
      </c>
      <c r="D21" s="3171">
        <v>6.1</v>
      </c>
      <c r="E21" s="3171">
        <v>6.56</v>
      </c>
      <c r="F21" s="3171">
        <v>6.65</v>
      </c>
      <c r="G21" s="3171">
        <v>6.9</v>
      </c>
      <c r="H21" s="3171">
        <v>7.05</v>
      </c>
      <c r="I21" s="3171">
        <v>4.45</v>
      </c>
      <c r="J21" s="3171">
        <v>4.9000000000000004</v>
      </c>
      <c r="L21" s="3171"/>
      <c r="M21" s="3172">
        <v>40731</v>
      </c>
      <c r="N21" s="3171">
        <v>0.5</v>
      </c>
      <c r="O21" s="3171">
        <v>3.1</v>
      </c>
      <c r="P21" s="3171">
        <v>3.3</v>
      </c>
      <c r="Q21" s="3171">
        <v>3.5</v>
      </c>
      <c r="R21" s="3171">
        <v>4.4000000000000004</v>
      </c>
      <c r="S21" s="3171">
        <v>5</v>
      </c>
      <c r="T21" s="3171">
        <v>5.5</v>
      </c>
      <c r="U21" s="3171">
        <v>3.1</v>
      </c>
      <c r="V21" s="3171">
        <v>3.3</v>
      </c>
      <c r="W21" s="3171">
        <v>3.5</v>
      </c>
      <c r="X21" s="3171">
        <v>1.31</v>
      </c>
      <c r="Y21" s="3171">
        <v>0.95</v>
      </c>
      <c r="Z21" s="3171">
        <v>1.49</v>
      </c>
    </row>
    <row r="22" spans="2:26">
      <c r="B22" s="3171"/>
      <c r="C22" s="3172">
        <v>40639</v>
      </c>
      <c r="D22" s="3171">
        <v>5.85</v>
      </c>
      <c r="E22" s="3171">
        <v>6.31</v>
      </c>
      <c r="F22" s="3171">
        <v>6.4</v>
      </c>
      <c r="G22" s="3171">
        <v>6.65</v>
      </c>
      <c r="H22" s="3171">
        <v>6.8</v>
      </c>
      <c r="I22" s="3171">
        <v>4.2</v>
      </c>
      <c r="J22" s="3171">
        <v>4.7</v>
      </c>
      <c r="L22" s="3171"/>
      <c r="M22" s="3172">
        <v>40639</v>
      </c>
      <c r="N22" s="3171">
        <v>0.5</v>
      </c>
      <c r="O22" s="3171">
        <v>2.85</v>
      </c>
      <c r="P22" s="3171">
        <v>3.05</v>
      </c>
      <c r="Q22" s="3171">
        <v>3.25</v>
      </c>
      <c r="R22" s="3171">
        <v>4.1500000000000004</v>
      </c>
      <c r="S22" s="3171">
        <v>4.75</v>
      </c>
      <c r="T22" s="3171">
        <v>5.25</v>
      </c>
      <c r="U22" s="3171">
        <v>2.85</v>
      </c>
      <c r="V22" s="3171">
        <v>3.05</v>
      </c>
      <c r="W22" s="3171">
        <v>3.25</v>
      </c>
      <c r="X22" s="3171">
        <v>1.31</v>
      </c>
      <c r="Y22" s="3171">
        <v>0.95</v>
      </c>
      <c r="Z22" s="3171">
        <v>1.49</v>
      </c>
    </row>
    <row r="23" spans="2:26">
      <c r="B23" s="3171"/>
      <c r="C23" s="3172">
        <v>40583</v>
      </c>
      <c r="D23" s="3171">
        <v>5.6</v>
      </c>
      <c r="E23" s="3171">
        <v>6.06</v>
      </c>
      <c r="F23" s="3171">
        <v>6.1</v>
      </c>
      <c r="G23" s="3171">
        <v>6.45</v>
      </c>
      <c r="H23" s="3171">
        <v>6.6</v>
      </c>
      <c r="I23" s="3171">
        <v>4</v>
      </c>
      <c r="J23" s="3171">
        <v>4.5</v>
      </c>
      <c r="L23" s="3171"/>
      <c r="M23" s="3172">
        <v>40583</v>
      </c>
      <c r="N23" s="3171">
        <v>0.4</v>
      </c>
      <c r="O23" s="3171">
        <v>2.6</v>
      </c>
      <c r="P23" s="3171">
        <v>2.8</v>
      </c>
      <c r="Q23" s="3171">
        <v>3</v>
      </c>
      <c r="R23" s="3171">
        <v>3.9</v>
      </c>
      <c r="S23" s="3171">
        <v>4.5</v>
      </c>
      <c r="T23" s="3171">
        <v>5</v>
      </c>
      <c r="U23" s="3171">
        <v>2.6</v>
      </c>
      <c r="V23" s="3171">
        <v>2.8</v>
      </c>
      <c r="W23" s="3171">
        <v>3</v>
      </c>
      <c r="X23" s="3171">
        <v>1.21</v>
      </c>
      <c r="Y23" s="3171">
        <v>0.85</v>
      </c>
      <c r="Z23" s="3171">
        <v>1.39</v>
      </c>
    </row>
    <row r="24" spans="2:26">
      <c r="B24" s="3171"/>
      <c r="C24" s="3172">
        <v>40538</v>
      </c>
      <c r="D24" s="3171">
        <v>5.35</v>
      </c>
      <c r="E24" s="3171">
        <v>5.81</v>
      </c>
      <c r="F24" s="3171">
        <v>5.85</v>
      </c>
      <c r="G24" s="3171">
        <v>6.22</v>
      </c>
      <c r="H24" s="3171">
        <v>6.4</v>
      </c>
      <c r="I24" s="3171">
        <v>3.75</v>
      </c>
      <c r="J24" s="3171">
        <v>4.3</v>
      </c>
      <c r="L24" s="3171"/>
      <c r="M24" s="3172">
        <v>40538</v>
      </c>
      <c r="N24" s="3171">
        <v>0.36</v>
      </c>
      <c r="O24" s="3171">
        <v>2.25</v>
      </c>
      <c r="P24" s="3171">
        <v>2.5</v>
      </c>
      <c r="Q24" s="3171">
        <v>2.75</v>
      </c>
      <c r="R24" s="3171">
        <v>3.55</v>
      </c>
      <c r="S24" s="3171">
        <v>4.1500000000000004</v>
      </c>
      <c r="T24" s="3171">
        <v>4.55</v>
      </c>
      <c r="U24" s="3171">
        <v>2.16</v>
      </c>
      <c r="V24" s="3171">
        <v>2.5</v>
      </c>
      <c r="W24" s="3171">
        <v>2.85</v>
      </c>
      <c r="X24" s="3171">
        <v>1.17</v>
      </c>
      <c r="Y24" s="3171">
        <v>0.81</v>
      </c>
      <c r="Z24" s="3171">
        <v>1.35</v>
      </c>
    </row>
    <row r="25" spans="2:26">
      <c r="B25" s="3171"/>
      <c r="C25" s="3172">
        <v>40471</v>
      </c>
      <c r="D25" s="3171">
        <v>5.0999999999999996</v>
      </c>
      <c r="E25" s="3171">
        <v>5.56</v>
      </c>
      <c r="F25" s="3171">
        <v>5.6</v>
      </c>
      <c r="G25" s="3171">
        <v>5.96</v>
      </c>
      <c r="H25" s="3171">
        <v>6.14</v>
      </c>
      <c r="I25" s="3171">
        <v>3.5</v>
      </c>
      <c r="J25" s="3171">
        <v>4.05</v>
      </c>
      <c r="L25" s="3171"/>
      <c r="M25" s="3172">
        <v>40471</v>
      </c>
      <c r="N25" s="3171">
        <v>0.36</v>
      </c>
      <c r="O25" s="3171">
        <v>1.91</v>
      </c>
      <c r="P25" s="3171">
        <v>2.2000000000000002</v>
      </c>
      <c r="Q25" s="3171">
        <v>2.5</v>
      </c>
      <c r="R25" s="3171">
        <v>3.25</v>
      </c>
      <c r="S25" s="3171">
        <v>3.85</v>
      </c>
      <c r="T25" s="3171">
        <v>4.2</v>
      </c>
      <c r="U25" s="3171">
        <v>1.91</v>
      </c>
      <c r="V25" s="3171">
        <v>2.2000000000000002</v>
      </c>
      <c r="W25" s="3171">
        <v>2.5</v>
      </c>
      <c r="X25" s="3171">
        <v>1.17</v>
      </c>
      <c r="Y25" s="3171">
        <v>0.81</v>
      </c>
      <c r="Z25" s="3171">
        <v>1.35</v>
      </c>
    </row>
    <row r="26" spans="2:26">
      <c r="B26" s="3171"/>
      <c r="C26" s="3172">
        <v>39805</v>
      </c>
      <c r="D26" s="3171">
        <v>4.8600000000000003</v>
      </c>
      <c r="E26" s="3171">
        <v>5.31</v>
      </c>
      <c r="F26" s="3171">
        <v>5.4</v>
      </c>
      <c r="G26" s="3171">
        <v>5.76</v>
      </c>
      <c r="H26" s="3171">
        <v>5.94</v>
      </c>
      <c r="I26" s="3171">
        <v>3.33</v>
      </c>
      <c r="J26" s="3171">
        <v>3.87</v>
      </c>
      <c r="L26" s="3171"/>
      <c r="M26" s="3172">
        <v>39805</v>
      </c>
      <c r="N26" s="3171">
        <v>0.36</v>
      </c>
      <c r="O26" s="3171">
        <v>1.71</v>
      </c>
      <c r="P26" s="3171">
        <v>1.98</v>
      </c>
      <c r="Q26" s="3171">
        <v>2.25</v>
      </c>
      <c r="R26" s="3171">
        <v>2.79</v>
      </c>
      <c r="S26" s="3171">
        <v>3.33</v>
      </c>
      <c r="T26" s="3171">
        <v>3.6</v>
      </c>
      <c r="U26" s="3171">
        <v>1.71</v>
      </c>
      <c r="V26" s="3171">
        <v>1.98</v>
      </c>
      <c r="W26" s="3171">
        <v>2.25</v>
      </c>
      <c r="X26" s="3171">
        <v>1.17</v>
      </c>
      <c r="Y26" s="3171">
        <v>0.81</v>
      </c>
      <c r="Z26" s="3171">
        <v>1.35</v>
      </c>
    </row>
    <row r="27" spans="2:26">
      <c r="B27" s="3171"/>
      <c r="C27" s="3172">
        <v>39779</v>
      </c>
      <c r="D27" s="3171">
        <v>5.04</v>
      </c>
      <c r="E27" s="3171">
        <v>5.58</v>
      </c>
      <c r="F27" s="3171">
        <v>5.67</v>
      </c>
      <c r="G27" s="3171">
        <v>5.94</v>
      </c>
      <c r="H27" s="3171">
        <v>6.12</v>
      </c>
      <c r="I27" s="3171">
        <v>3.51</v>
      </c>
      <c r="J27" s="3171">
        <v>4.05</v>
      </c>
      <c r="L27" s="3171"/>
      <c r="M27" s="3172">
        <v>39779</v>
      </c>
      <c r="N27" s="3171">
        <v>0.36</v>
      </c>
      <c r="O27" s="3171">
        <v>1.98</v>
      </c>
      <c r="P27" s="3171">
        <v>2.25</v>
      </c>
      <c r="Q27" s="3171">
        <v>2.52</v>
      </c>
      <c r="R27" s="3171">
        <v>3.06</v>
      </c>
      <c r="S27" s="3171">
        <v>3.6</v>
      </c>
      <c r="T27" s="3171">
        <v>3.87</v>
      </c>
      <c r="U27" s="3171">
        <v>1.98</v>
      </c>
      <c r="V27" s="3171">
        <v>2.25</v>
      </c>
      <c r="W27" s="3171">
        <v>2.52</v>
      </c>
      <c r="X27" s="3171">
        <v>1.17</v>
      </c>
      <c r="Y27" s="3171">
        <v>0.81</v>
      </c>
      <c r="Z27" s="3171">
        <v>1.35</v>
      </c>
    </row>
    <row r="28" spans="2:26">
      <c r="B28" s="3171"/>
      <c r="C28" s="3172">
        <v>39751</v>
      </c>
      <c r="D28" s="3171">
        <v>6.03</v>
      </c>
      <c r="E28" s="3171">
        <v>6.66</v>
      </c>
      <c r="F28" s="3171">
        <v>6.75</v>
      </c>
      <c r="G28" s="3171">
        <v>7.02</v>
      </c>
      <c r="H28" s="3171">
        <v>7.2</v>
      </c>
      <c r="I28" s="3171">
        <v>4.05</v>
      </c>
      <c r="J28" s="3171">
        <v>4.59</v>
      </c>
      <c r="L28" s="3171"/>
      <c r="M28" s="3172">
        <v>39751</v>
      </c>
      <c r="N28" s="3171">
        <v>0.72</v>
      </c>
      <c r="O28" s="3171">
        <v>2.88</v>
      </c>
      <c r="P28" s="3171">
        <v>3.24</v>
      </c>
      <c r="Q28" s="3171">
        <v>3.6</v>
      </c>
      <c r="R28" s="3171">
        <v>4.1399999999999997</v>
      </c>
      <c r="S28" s="3171">
        <v>4.7699999999999996</v>
      </c>
      <c r="T28" s="3171">
        <v>5.13</v>
      </c>
      <c r="U28" s="3171">
        <v>2.88</v>
      </c>
      <c r="V28" s="3171">
        <v>3.24</v>
      </c>
      <c r="W28" s="3171">
        <v>3.6</v>
      </c>
      <c r="X28" s="3171">
        <v>1.53</v>
      </c>
      <c r="Y28" s="3171">
        <v>1.17</v>
      </c>
      <c r="Z28" s="3171">
        <v>1.71</v>
      </c>
    </row>
    <row r="29" spans="2:26">
      <c r="B29" s="3171"/>
      <c r="C29" s="3174">
        <v>39748</v>
      </c>
      <c r="D29" s="3171">
        <v>6.12</v>
      </c>
      <c r="E29" s="3171">
        <v>6.93</v>
      </c>
      <c r="F29" s="3171">
        <v>7.02</v>
      </c>
      <c r="G29" s="3171">
        <v>7.29</v>
      </c>
      <c r="H29" s="3171">
        <v>7.47</v>
      </c>
      <c r="I29" s="3171">
        <v>4.05</v>
      </c>
      <c r="J29" s="3171">
        <v>4.59</v>
      </c>
      <c r="L29" s="3171"/>
      <c r="M29" s="3174">
        <v>39736</v>
      </c>
      <c r="N29" s="3171">
        <v>0.72</v>
      </c>
      <c r="O29" s="3171">
        <v>3.15</v>
      </c>
      <c r="P29" s="3171">
        <v>3.51</v>
      </c>
      <c r="Q29" s="3171">
        <v>3.87</v>
      </c>
      <c r="R29" s="3171">
        <v>4.41</v>
      </c>
      <c r="S29" s="3171">
        <v>5.13</v>
      </c>
      <c r="T29" s="3171">
        <v>5.58</v>
      </c>
      <c r="U29" s="3171">
        <v>3.15</v>
      </c>
      <c r="V29" s="3171">
        <v>3.51</v>
      </c>
      <c r="W29" s="3171">
        <v>3.87</v>
      </c>
      <c r="X29" s="3171">
        <v>1.53</v>
      </c>
      <c r="Y29" s="3171">
        <v>1.17</v>
      </c>
      <c r="Z29" s="3171">
        <v>1.71</v>
      </c>
    </row>
    <row r="30" spans="2:26">
      <c r="B30" s="3171"/>
      <c r="C30" s="3172">
        <v>39730</v>
      </c>
      <c r="D30" s="3171">
        <v>6.12</v>
      </c>
      <c r="E30" s="3171">
        <v>6.93</v>
      </c>
      <c r="F30" s="3171">
        <v>7.02</v>
      </c>
      <c r="G30" s="3171">
        <v>7.29</v>
      </c>
      <c r="H30" s="3171">
        <v>7.47</v>
      </c>
      <c r="I30" s="3171">
        <v>4.32</v>
      </c>
      <c r="J30" s="3171">
        <v>4.8600000000000003</v>
      </c>
      <c r="L30" s="3171"/>
      <c r="M30" s="3172">
        <v>39730</v>
      </c>
      <c r="N30" s="3171">
        <v>0.72</v>
      </c>
      <c r="O30" s="3171">
        <v>3.15</v>
      </c>
      <c r="P30" s="3171">
        <v>3.51</v>
      </c>
      <c r="Q30" s="3171">
        <v>3.87</v>
      </c>
      <c r="R30" s="3171">
        <v>4.41</v>
      </c>
      <c r="S30" s="3171">
        <v>5.13</v>
      </c>
      <c r="T30" s="3171">
        <v>5.58</v>
      </c>
      <c r="U30" s="3171">
        <v>3.15</v>
      </c>
      <c r="V30" s="3171">
        <v>3.51</v>
      </c>
      <c r="W30" s="3171">
        <v>3.87</v>
      </c>
      <c r="X30" s="3171">
        <v>1.53</v>
      </c>
      <c r="Y30" s="3171">
        <v>1.17</v>
      </c>
      <c r="Z30" s="3171">
        <v>1.71</v>
      </c>
    </row>
    <row r="31" spans="2:26">
      <c r="B31" s="3171"/>
      <c r="C31" s="3172">
        <v>39707</v>
      </c>
      <c r="D31" s="3171">
        <v>6.21</v>
      </c>
      <c r="E31" s="3171">
        <v>7.2</v>
      </c>
      <c r="F31" s="3171">
        <v>7.29</v>
      </c>
      <c r="G31" s="3171">
        <v>7.56</v>
      </c>
      <c r="H31" s="3171">
        <v>7.74</v>
      </c>
      <c r="I31" s="3171">
        <v>4.59</v>
      </c>
      <c r="J31" s="3171">
        <v>5.13</v>
      </c>
      <c r="L31" s="3171"/>
      <c r="M31" s="3172">
        <v>39437</v>
      </c>
      <c r="N31" s="3171">
        <v>0.72</v>
      </c>
      <c r="O31" s="3171">
        <v>3.33</v>
      </c>
      <c r="P31" s="3171">
        <v>3.78</v>
      </c>
      <c r="Q31" s="3171">
        <v>4.1399999999999997</v>
      </c>
      <c r="R31" s="3171">
        <v>4.68</v>
      </c>
      <c r="S31" s="3171">
        <v>5.4</v>
      </c>
      <c r="T31" s="3171">
        <v>5.85</v>
      </c>
      <c r="U31" s="3171">
        <v>3.33</v>
      </c>
      <c r="V31" s="3171">
        <v>3.78</v>
      </c>
      <c r="W31" s="3171">
        <v>4.1399999999999997</v>
      </c>
      <c r="X31" s="3171">
        <v>1.53</v>
      </c>
      <c r="Y31" s="3171">
        <v>1.17</v>
      </c>
      <c r="Z31" s="3171">
        <v>1.71</v>
      </c>
    </row>
    <row r="32" spans="2:26">
      <c r="B32" s="3171"/>
      <c r="C32" s="3172">
        <v>39437</v>
      </c>
      <c r="D32" s="3171">
        <v>6.57</v>
      </c>
      <c r="E32" s="3171">
        <v>7.47</v>
      </c>
      <c r="F32" s="3171">
        <v>7.56</v>
      </c>
      <c r="G32" s="3171">
        <v>7.74</v>
      </c>
      <c r="H32" s="3171">
        <v>7.83</v>
      </c>
      <c r="I32" s="3171">
        <v>4.7699999999999996</v>
      </c>
      <c r="J32" s="3171">
        <v>5.22</v>
      </c>
      <c r="L32" s="3171"/>
      <c r="M32" s="3172">
        <v>39340</v>
      </c>
      <c r="N32" s="3171">
        <v>0.81</v>
      </c>
      <c r="O32" s="3171">
        <v>2.88</v>
      </c>
      <c r="P32" s="3171">
        <v>3.42</v>
      </c>
      <c r="Q32" s="3171">
        <v>3.87</v>
      </c>
      <c r="R32" s="3171">
        <v>4.5</v>
      </c>
      <c r="S32" s="3171">
        <v>5.22</v>
      </c>
      <c r="T32" s="3171">
        <v>5.76</v>
      </c>
      <c r="U32" s="3171">
        <v>2.88</v>
      </c>
      <c r="V32" s="3171">
        <v>3.42</v>
      </c>
      <c r="W32" s="3171">
        <v>3.87</v>
      </c>
      <c r="X32" s="3171">
        <v>1.53</v>
      </c>
      <c r="Y32" s="3171">
        <v>1.17</v>
      </c>
      <c r="Z32" s="3171">
        <v>1.71</v>
      </c>
    </row>
    <row r="33" spans="2:26">
      <c r="B33" s="3171"/>
      <c r="C33" s="3172">
        <v>39340</v>
      </c>
      <c r="D33" s="3171">
        <v>6.48</v>
      </c>
      <c r="E33" s="3171">
        <v>7.29</v>
      </c>
      <c r="F33" s="3171">
        <v>7.47</v>
      </c>
      <c r="G33" s="3171">
        <v>7.65</v>
      </c>
      <c r="H33" s="3171">
        <v>7.83</v>
      </c>
      <c r="I33" s="3171">
        <v>4.7699999999999996</v>
      </c>
      <c r="J33" s="3171">
        <v>5.22</v>
      </c>
      <c r="L33" s="3171"/>
      <c r="M33" s="3172">
        <v>39316</v>
      </c>
      <c r="N33" s="3171">
        <v>0.81</v>
      </c>
      <c r="O33" s="3171">
        <v>2.61</v>
      </c>
      <c r="P33" s="3171">
        <v>3.15</v>
      </c>
      <c r="Q33" s="3171">
        <v>3.6</v>
      </c>
      <c r="R33" s="3171">
        <v>4.2300000000000004</v>
      </c>
      <c r="S33" s="3171">
        <v>4.95</v>
      </c>
      <c r="T33" s="3171">
        <v>5.49</v>
      </c>
      <c r="U33" s="3171">
        <v>2.61</v>
      </c>
      <c r="V33" s="3171">
        <v>3.15</v>
      </c>
      <c r="W33" s="3171">
        <v>3.6</v>
      </c>
      <c r="X33" s="3171">
        <v>1.53</v>
      </c>
      <c r="Y33" s="3171">
        <v>1.17</v>
      </c>
      <c r="Z33" s="3171">
        <v>1.71</v>
      </c>
    </row>
    <row r="34" spans="2:26">
      <c r="B34" s="3171"/>
      <c r="C34" s="3172">
        <v>39316</v>
      </c>
      <c r="D34" s="3171">
        <v>6.21</v>
      </c>
      <c r="E34" s="3171">
        <v>7.02</v>
      </c>
      <c r="F34" s="3171">
        <v>7.2</v>
      </c>
      <c r="G34" s="3171">
        <v>7.38</v>
      </c>
      <c r="H34" s="3171">
        <v>7.56</v>
      </c>
      <c r="I34" s="3171">
        <v>4.59</v>
      </c>
      <c r="J34" s="3171">
        <v>5.04</v>
      </c>
      <c r="L34" s="3171"/>
      <c r="M34" s="3172">
        <v>39284</v>
      </c>
      <c r="N34" s="3171">
        <v>0.81</v>
      </c>
      <c r="O34" s="3171">
        <v>2.34</v>
      </c>
      <c r="P34" s="3171">
        <v>2.88</v>
      </c>
      <c r="Q34" s="3171">
        <v>3.33</v>
      </c>
      <c r="R34" s="3171">
        <v>3.96</v>
      </c>
      <c r="S34" s="3171">
        <v>4.68</v>
      </c>
      <c r="T34" s="3171">
        <v>5.22</v>
      </c>
      <c r="U34" s="3171">
        <v>2.34</v>
      </c>
      <c r="V34" s="3171">
        <v>2.88</v>
      </c>
      <c r="W34" s="3171">
        <v>3.33</v>
      </c>
      <c r="X34" s="3171">
        <v>1.53</v>
      </c>
      <c r="Y34" s="3171">
        <v>1.17</v>
      </c>
      <c r="Z34" s="3171">
        <v>1.71</v>
      </c>
    </row>
    <row r="35" spans="2:26">
      <c r="B35" s="3171"/>
      <c r="C35" s="3172">
        <v>39284</v>
      </c>
      <c r="D35" s="3171">
        <v>6.03</v>
      </c>
      <c r="E35" s="3171">
        <v>6.84</v>
      </c>
      <c r="F35" s="3171">
        <v>7.02</v>
      </c>
      <c r="G35" s="3171">
        <v>7.2</v>
      </c>
      <c r="H35" s="3171">
        <v>7.38</v>
      </c>
      <c r="I35" s="3171">
        <v>4.5</v>
      </c>
      <c r="J35" s="3171">
        <v>4.95</v>
      </c>
      <c r="L35" s="3171"/>
      <c r="M35" s="3172">
        <v>39221</v>
      </c>
      <c r="N35" s="3171">
        <v>0.72</v>
      </c>
      <c r="O35" s="3171">
        <v>2.0699999999999998</v>
      </c>
      <c r="P35" s="3171">
        <v>2.61</v>
      </c>
      <c r="Q35" s="3171">
        <v>3.06</v>
      </c>
      <c r="R35" s="3171">
        <v>3.69</v>
      </c>
      <c r="S35" s="3171">
        <v>4.41</v>
      </c>
      <c r="T35" s="3171">
        <v>4.95</v>
      </c>
      <c r="U35" s="3171">
        <v>2.0699999999999998</v>
      </c>
      <c r="V35" s="3171">
        <v>2.61</v>
      </c>
      <c r="W35" s="3171">
        <v>3.06</v>
      </c>
      <c r="X35" s="3171">
        <v>1.44</v>
      </c>
      <c r="Y35" s="3171">
        <v>1.08</v>
      </c>
      <c r="Z35" s="3171">
        <v>1.62</v>
      </c>
    </row>
    <row r="36" spans="2:26">
      <c r="B36" s="3171"/>
      <c r="C36" s="3172">
        <v>39221</v>
      </c>
      <c r="D36" s="3171">
        <v>5.85</v>
      </c>
      <c r="E36" s="3171">
        <v>6.57</v>
      </c>
      <c r="F36" s="3171">
        <v>6.75</v>
      </c>
      <c r="G36" s="3171">
        <v>6.93</v>
      </c>
      <c r="H36" s="3171">
        <v>7.2</v>
      </c>
      <c r="I36" s="3171">
        <v>4.41</v>
      </c>
      <c r="J36" s="3171">
        <v>4.8600000000000003</v>
      </c>
      <c r="L36" s="3171"/>
      <c r="M36" s="3172">
        <v>39159</v>
      </c>
      <c r="N36" s="3171">
        <v>0.72</v>
      </c>
      <c r="O36" s="3171">
        <v>1.98</v>
      </c>
      <c r="P36" s="3171">
        <v>2.4300000000000002</v>
      </c>
      <c r="Q36" s="3171">
        <v>2.79</v>
      </c>
      <c r="R36" s="3171">
        <v>3.33</v>
      </c>
      <c r="S36" s="3171">
        <v>3.96</v>
      </c>
      <c r="T36" s="3171">
        <v>4.41</v>
      </c>
      <c r="U36" s="3171">
        <v>1.98</v>
      </c>
      <c r="V36" s="3171">
        <v>2.4300000000000002</v>
      </c>
      <c r="W36" s="3171">
        <v>2.79</v>
      </c>
      <c r="X36" s="3171">
        <v>1.44</v>
      </c>
      <c r="Y36" s="3171">
        <v>1.08</v>
      </c>
      <c r="Z36" s="3171">
        <v>1.62</v>
      </c>
    </row>
    <row r="37" spans="2:26">
      <c r="B37" s="3171"/>
      <c r="C37" s="3172">
        <v>39159</v>
      </c>
      <c r="D37" s="3171">
        <v>5.67</v>
      </c>
      <c r="E37" s="3171">
        <v>6.39</v>
      </c>
      <c r="F37" s="3171">
        <v>6.57</v>
      </c>
      <c r="G37" s="3171">
        <v>6.75</v>
      </c>
      <c r="H37" s="3171">
        <v>7.11</v>
      </c>
      <c r="I37" s="3171">
        <v>4.32</v>
      </c>
      <c r="J37" s="3171">
        <v>4.7699999999999996</v>
      </c>
      <c r="L37" s="3171"/>
      <c r="M37" s="3172">
        <v>38948</v>
      </c>
      <c r="N37" s="3171">
        <v>0.72</v>
      </c>
      <c r="O37" s="3171">
        <v>1.8</v>
      </c>
      <c r="P37" s="3171">
        <v>2.25</v>
      </c>
      <c r="Q37" s="3171">
        <v>2.52</v>
      </c>
      <c r="R37" s="3171">
        <v>3.06</v>
      </c>
      <c r="S37" s="3171">
        <v>3.69</v>
      </c>
      <c r="T37" s="3171">
        <v>4.1399999999999997</v>
      </c>
      <c r="U37" s="3171">
        <v>1.8</v>
      </c>
      <c r="V37" s="3171">
        <v>2.25</v>
      </c>
      <c r="W37" s="3171">
        <v>2.52</v>
      </c>
      <c r="X37" s="3171">
        <v>1.44</v>
      </c>
      <c r="Y37" s="3171">
        <v>1.08</v>
      </c>
      <c r="Z37" s="3171">
        <v>1.62</v>
      </c>
    </row>
    <row r="38" spans="2:26">
      <c r="B38" s="3171"/>
      <c r="C38" s="3172">
        <v>38948</v>
      </c>
      <c r="D38" s="3171">
        <v>5.58</v>
      </c>
      <c r="E38" s="3171">
        <v>6.12</v>
      </c>
      <c r="F38" s="3171">
        <v>6.3</v>
      </c>
      <c r="G38" s="3171">
        <v>6.48</v>
      </c>
      <c r="H38" s="3171">
        <v>6.84</v>
      </c>
      <c r="I38" s="3171">
        <v>4.1399999999999997</v>
      </c>
      <c r="J38" s="3171">
        <v>4.59</v>
      </c>
      <c r="L38" s="3171"/>
      <c r="M38" s="3172">
        <v>38289</v>
      </c>
      <c r="N38" s="3171">
        <v>0.72</v>
      </c>
      <c r="O38" s="3171">
        <v>1.71</v>
      </c>
      <c r="P38" s="3171">
        <v>2.0699999999999998</v>
      </c>
      <c r="Q38" s="3171">
        <v>2.25</v>
      </c>
      <c r="R38" s="3171">
        <v>2.7</v>
      </c>
      <c r="S38" s="3171">
        <v>3.24</v>
      </c>
      <c r="T38" s="3171">
        <v>3.6</v>
      </c>
      <c r="U38" s="3171">
        <v>1.71</v>
      </c>
      <c r="V38" s="3171">
        <v>2.0699999999999998</v>
      </c>
      <c r="W38" s="3171">
        <v>2.25</v>
      </c>
      <c r="X38" s="3171">
        <v>1.44</v>
      </c>
      <c r="Y38" s="3171">
        <v>1.08</v>
      </c>
      <c r="Z38" s="3171">
        <v>1.62</v>
      </c>
    </row>
    <row r="39" spans="2:26">
      <c r="B39" s="3171"/>
      <c r="C39" s="3172">
        <v>38835</v>
      </c>
      <c r="D39" s="3171">
        <v>5.4</v>
      </c>
      <c r="E39" s="3171">
        <v>5.85</v>
      </c>
      <c r="F39" s="3171">
        <v>6.03</v>
      </c>
      <c r="G39" s="3171">
        <v>6.12</v>
      </c>
      <c r="H39" s="3171">
        <v>6.39</v>
      </c>
      <c r="I39" s="3171">
        <v>4.1399999999999997</v>
      </c>
      <c r="J39" s="3171">
        <v>4.59</v>
      </c>
      <c r="L39" s="3171"/>
      <c r="M39" s="3172">
        <v>37308</v>
      </c>
      <c r="N39" s="3171">
        <v>0.72</v>
      </c>
      <c r="O39" s="3171">
        <v>1.71</v>
      </c>
      <c r="P39" s="3171">
        <v>1.89</v>
      </c>
      <c r="Q39" s="3171">
        <v>1.98</v>
      </c>
      <c r="R39" s="3171">
        <v>2.25</v>
      </c>
      <c r="S39" s="3171">
        <v>2.52</v>
      </c>
      <c r="T39" s="3171">
        <v>2.79</v>
      </c>
      <c r="U39" s="3171">
        <v>1.71</v>
      </c>
      <c r="V39" s="3171">
        <v>1.89</v>
      </c>
      <c r="W39" s="3171">
        <v>1.98</v>
      </c>
      <c r="X39" s="3171">
        <v>1.44</v>
      </c>
      <c r="Y39" s="3171">
        <v>1.08</v>
      </c>
      <c r="Z39" s="3171">
        <v>1.62</v>
      </c>
    </row>
    <row r="40" spans="2:26">
      <c r="B40" s="3171"/>
      <c r="C40" s="3172">
        <v>38428</v>
      </c>
      <c r="D40" s="3171">
        <v>5.22</v>
      </c>
      <c r="E40" s="3171">
        <v>5.58</v>
      </c>
      <c r="F40" s="3171">
        <v>5.76</v>
      </c>
      <c r="G40" s="3171">
        <v>5.85</v>
      </c>
      <c r="H40" s="3171">
        <v>6.12</v>
      </c>
      <c r="I40" s="3171">
        <v>3.96</v>
      </c>
      <c r="J40" s="3171">
        <v>4.41</v>
      </c>
      <c r="L40" s="3171"/>
      <c r="M40" s="3172">
        <v>36321</v>
      </c>
      <c r="N40" s="3171">
        <v>0.99</v>
      </c>
      <c r="O40" s="3171">
        <v>1.98</v>
      </c>
      <c r="P40" s="3171">
        <v>2.16</v>
      </c>
      <c r="Q40" s="3171">
        <v>2.25</v>
      </c>
      <c r="R40" s="3171">
        <v>2.4300000000000002</v>
      </c>
      <c r="S40" s="3171">
        <v>2.7</v>
      </c>
      <c r="T40" s="3171">
        <v>2.88</v>
      </c>
      <c r="U40" s="3171">
        <v>1.98</v>
      </c>
      <c r="V40" s="3171">
        <v>2.16</v>
      </c>
      <c r="W40" s="3171">
        <v>2.25</v>
      </c>
      <c r="X40" s="3171">
        <v>1.71</v>
      </c>
      <c r="Y40" s="3171">
        <v>1.35</v>
      </c>
      <c r="Z40" s="3171">
        <v>1.89</v>
      </c>
    </row>
    <row r="41" spans="2:26">
      <c r="B41" s="3171"/>
      <c r="C41" s="3172">
        <v>38289</v>
      </c>
      <c r="D41" s="3171">
        <v>5.22</v>
      </c>
      <c r="E41" s="3171">
        <v>5.58</v>
      </c>
      <c r="F41" s="3171">
        <v>5.76</v>
      </c>
      <c r="G41" s="3171">
        <v>5.85</v>
      </c>
      <c r="H41" s="3171">
        <v>6.12</v>
      </c>
      <c r="I41" s="3171">
        <v>3.78</v>
      </c>
      <c r="J41" s="3171">
        <v>4.2300000000000004</v>
      </c>
      <c r="L41" s="3171"/>
      <c r="M41" s="3172">
        <v>36136</v>
      </c>
      <c r="N41" s="3171">
        <v>1.44</v>
      </c>
      <c r="O41" s="3171">
        <v>2.79</v>
      </c>
      <c r="P41" s="3171">
        <v>3.33</v>
      </c>
      <c r="Q41" s="3171">
        <v>3.78</v>
      </c>
      <c r="R41" s="3171">
        <v>3.96</v>
      </c>
      <c r="S41" s="3171">
        <v>4.1399999999999997</v>
      </c>
      <c r="T41" s="3171">
        <v>4.5</v>
      </c>
      <c r="U41" s="3171">
        <v>3.33</v>
      </c>
      <c r="V41" s="3171">
        <v>3.78</v>
      </c>
      <c r="W41" s="3171">
        <v>4.1399999999999997</v>
      </c>
      <c r="X41" s="3171">
        <v>2.16</v>
      </c>
      <c r="Y41" s="3171">
        <v>1.8</v>
      </c>
      <c r="Z41" s="3171">
        <v>2.34</v>
      </c>
    </row>
    <row r="42" spans="2:26">
      <c r="B42" s="3171"/>
      <c r="C42" s="3172">
        <v>37308</v>
      </c>
      <c r="D42" s="3171">
        <v>5.04</v>
      </c>
      <c r="E42" s="3171">
        <v>5.31</v>
      </c>
      <c r="F42" s="3171">
        <v>5.49</v>
      </c>
      <c r="G42" s="3171">
        <v>5.58</v>
      </c>
      <c r="H42" s="3171">
        <v>5.76</v>
      </c>
      <c r="I42" s="3171">
        <v>3.6</v>
      </c>
      <c r="J42" s="3171">
        <v>4.05</v>
      </c>
      <c r="L42" s="3171"/>
      <c r="M42" s="3172">
        <v>35977</v>
      </c>
      <c r="N42" s="3171">
        <v>1.44</v>
      </c>
      <c r="O42" s="3171">
        <v>2.79</v>
      </c>
      <c r="P42" s="3171">
        <v>3.96</v>
      </c>
      <c r="Q42" s="3171">
        <v>4.7699999999999996</v>
      </c>
      <c r="R42" s="3171">
        <v>4.8600000000000003</v>
      </c>
      <c r="S42" s="3171">
        <v>4.95</v>
      </c>
      <c r="T42" s="3171">
        <v>5.22</v>
      </c>
      <c r="U42" s="3171">
        <v>3.96</v>
      </c>
      <c r="V42" s="3171">
        <v>4.7699999999999996</v>
      </c>
      <c r="W42" s="3171">
        <v>4.95</v>
      </c>
      <c r="X42" s="3171" t="s">
        <v>2929</v>
      </c>
      <c r="Y42" s="3171" t="s">
        <v>2929</v>
      </c>
      <c r="Z42" s="3171" t="s">
        <v>2929</v>
      </c>
    </row>
    <row r="43" spans="2:26">
      <c r="B43" s="3171"/>
      <c r="C43" s="3172">
        <v>36321</v>
      </c>
      <c r="D43" s="3171">
        <v>5.58</v>
      </c>
      <c r="E43" s="3171">
        <v>5.85</v>
      </c>
      <c r="F43" s="3171">
        <v>5.94</v>
      </c>
      <c r="G43" s="3171">
        <v>6.03</v>
      </c>
      <c r="H43" s="3171">
        <v>6.21</v>
      </c>
      <c r="I43" s="3171">
        <v>4.1399999999999997</v>
      </c>
      <c r="J43" s="3171">
        <v>4.59</v>
      </c>
      <c r="L43" s="3171"/>
      <c r="M43" s="3172">
        <v>35879</v>
      </c>
      <c r="N43" s="3171">
        <v>1.71</v>
      </c>
      <c r="O43" s="3171">
        <v>2.88</v>
      </c>
      <c r="P43" s="3171">
        <v>4.1399999999999997</v>
      </c>
      <c r="Q43" s="3171">
        <v>5.22</v>
      </c>
      <c r="R43" s="3171">
        <v>5.58</v>
      </c>
      <c r="S43" s="3171">
        <v>6.21</v>
      </c>
      <c r="T43" s="3171">
        <v>6.66</v>
      </c>
      <c r="U43" s="3171">
        <v>4.1399999999999997</v>
      </c>
      <c r="V43" s="3171">
        <v>5.22</v>
      </c>
      <c r="W43" s="3171">
        <v>6.21</v>
      </c>
      <c r="X43" s="3171" t="s">
        <v>2929</v>
      </c>
      <c r="Y43" s="3171" t="s">
        <v>2929</v>
      </c>
      <c r="Z43" s="3171" t="s">
        <v>2929</v>
      </c>
    </row>
    <row r="44" spans="2:26">
      <c r="B44" s="3171"/>
      <c r="C44" s="3172">
        <v>36136</v>
      </c>
      <c r="D44" s="3171">
        <v>6.12</v>
      </c>
      <c r="E44" s="3171">
        <v>6.39</v>
      </c>
      <c r="F44" s="3171">
        <v>6.66</v>
      </c>
      <c r="G44" s="3171">
        <v>7.2</v>
      </c>
      <c r="H44" s="3171">
        <v>7.56</v>
      </c>
      <c r="I44" s="3171">
        <v>0</v>
      </c>
      <c r="J44" s="3171">
        <v>0</v>
      </c>
      <c r="L44" s="3171"/>
      <c r="M44" s="3172">
        <v>35726</v>
      </c>
      <c r="N44" s="3171">
        <v>1.71</v>
      </c>
      <c r="O44" s="3171">
        <v>2.88</v>
      </c>
      <c r="P44" s="3171">
        <v>4.1399999999999997</v>
      </c>
      <c r="Q44" s="3171">
        <v>5.67</v>
      </c>
      <c r="R44" s="3171">
        <v>5.94</v>
      </c>
      <c r="S44" s="3171">
        <v>6.21</v>
      </c>
      <c r="T44" s="3171">
        <v>6.66</v>
      </c>
      <c r="U44" s="3171">
        <v>4.1399999999999997</v>
      </c>
      <c r="V44" s="3171">
        <v>5.67</v>
      </c>
      <c r="W44" s="3171">
        <v>6.21</v>
      </c>
      <c r="X44" s="3171" t="s">
        <v>2929</v>
      </c>
      <c r="Y44" s="3171" t="s">
        <v>2929</v>
      </c>
      <c r="Z44" s="3171" t="s">
        <v>2929</v>
      </c>
    </row>
    <row r="45" spans="2:26">
      <c r="B45" s="3171"/>
      <c r="C45" s="3172">
        <v>35977</v>
      </c>
      <c r="D45" s="3171">
        <v>6.57</v>
      </c>
      <c r="E45" s="3171">
        <v>6.93</v>
      </c>
      <c r="F45" s="3171">
        <v>7.11</v>
      </c>
      <c r="G45" s="3171">
        <v>7.65</v>
      </c>
      <c r="H45" s="3171">
        <v>8.01</v>
      </c>
      <c r="I45" s="3171">
        <v>0</v>
      </c>
      <c r="J45" s="3171">
        <v>0</v>
      </c>
      <c r="L45" s="3171"/>
      <c r="M45" s="3172">
        <v>35300</v>
      </c>
      <c r="N45" s="3171">
        <v>1.98</v>
      </c>
      <c r="O45" s="3171">
        <v>3.33</v>
      </c>
      <c r="P45" s="3171">
        <v>5.4</v>
      </c>
      <c r="Q45" s="3171">
        <v>7.47</v>
      </c>
      <c r="R45" s="3171">
        <v>7.92</v>
      </c>
      <c r="S45" s="3171">
        <v>8.2799999999999994</v>
      </c>
      <c r="T45" s="3171">
        <v>9</v>
      </c>
      <c r="U45" s="3171">
        <v>5.4</v>
      </c>
      <c r="V45" s="3171">
        <v>7.47</v>
      </c>
      <c r="W45" s="3171">
        <v>8.2799999999999994</v>
      </c>
      <c r="X45" s="3171" t="s">
        <v>2929</v>
      </c>
      <c r="Y45" s="3171" t="s">
        <v>2929</v>
      </c>
      <c r="Z45" s="3171" t="s">
        <v>2929</v>
      </c>
    </row>
    <row r="46" spans="2:26">
      <c r="B46" s="3171"/>
      <c r="C46" s="3172">
        <v>35879</v>
      </c>
      <c r="D46" s="3171">
        <v>7.02</v>
      </c>
      <c r="E46" s="3171">
        <v>7.92</v>
      </c>
      <c r="F46" s="3171">
        <v>9</v>
      </c>
      <c r="G46" s="3171">
        <v>9.7200000000000006</v>
      </c>
      <c r="H46" s="3171">
        <v>10.35</v>
      </c>
      <c r="I46" s="3171">
        <v>0</v>
      </c>
      <c r="J46" s="3171">
        <v>0</v>
      </c>
      <c r="L46" s="3171"/>
      <c r="M46" s="3172">
        <v>35186</v>
      </c>
      <c r="N46" s="3171">
        <v>2.97</v>
      </c>
      <c r="O46" s="3171">
        <v>4.8600000000000003</v>
      </c>
      <c r="P46" s="3171">
        <v>7.2</v>
      </c>
      <c r="Q46" s="3171">
        <v>9.18</v>
      </c>
      <c r="R46" s="3171">
        <v>9.9</v>
      </c>
      <c r="S46" s="3171">
        <v>10.8</v>
      </c>
      <c r="T46" s="3171">
        <v>12.06</v>
      </c>
      <c r="U46" s="3171">
        <v>7.2</v>
      </c>
      <c r="V46" s="3171">
        <v>9.18</v>
      </c>
      <c r="W46" s="3171">
        <v>10.8</v>
      </c>
      <c r="X46" s="3171" t="s">
        <v>2929</v>
      </c>
      <c r="Y46" s="3171" t="s">
        <v>2929</v>
      </c>
      <c r="Z46" s="3171" t="s">
        <v>2929</v>
      </c>
    </row>
    <row r="47" spans="2:26">
      <c r="B47" s="3171"/>
      <c r="C47" s="3172">
        <v>35726</v>
      </c>
      <c r="D47" s="3171">
        <v>7.65</v>
      </c>
      <c r="E47" s="3171">
        <v>8.64</v>
      </c>
      <c r="F47" s="3171">
        <v>9.36</v>
      </c>
      <c r="G47" s="3171">
        <v>9.9</v>
      </c>
      <c r="H47" s="3171">
        <v>10.53</v>
      </c>
      <c r="I47" s="3171">
        <v>0</v>
      </c>
      <c r="J47" s="3171">
        <v>0</v>
      </c>
      <c r="L47" s="3171"/>
      <c r="M47" s="3172">
        <v>34161</v>
      </c>
      <c r="N47" s="3171">
        <v>3.15</v>
      </c>
      <c r="O47" s="3171">
        <v>6.66</v>
      </c>
      <c r="P47" s="3171">
        <v>9</v>
      </c>
      <c r="Q47" s="3171">
        <v>10.98</v>
      </c>
      <c r="R47" s="3171">
        <v>11.7</v>
      </c>
      <c r="S47" s="3171">
        <v>12.24</v>
      </c>
      <c r="T47" s="3171">
        <v>13.86</v>
      </c>
      <c r="U47" s="3171">
        <v>9</v>
      </c>
      <c r="V47" s="3171">
        <v>10.98</v>
      </c>
      <c r="W47" s="3171">
        <v>12.24</v>
      </c>
      <c r="X47" s="3171" t="s">
        <v>2929</v>
      </c>
      <c r="Y47" s="3171" t="s">
        <v>2929</v>
      </c>
      <c r="Z47" s="3171" t="s">
        <v>2929</v>
      </c>
    </row>
    <row r="48" spans="2:26">
      <c r="B48" s="3171"/>
      <c r="C48" s="3172">
        <v>35300</v>
      </c>
      <c r="D48" s="3171">
        <v>9.18</v>
      </c>
      <c r="E48" s="3171">
        <v>10.08</v>
      </c>
      <c r="F48" s="3171">
        <v>10.98</v>
      </c>
      <c r="G48" s="3171">
        <v>11.7</v>
      </c>
      <c r="H48" s="3171">
        <v>12.42</v>
      </c>
      <c r="I48" s="3171">
        <v>0</v>
      </c>
      <c r="J48" s="3171">
        <v>0</v>
      </c>
      <c r="L48" s="3171"/>
      <c r="M48" s="3172">
        <v>34104</v>
      </c>
      <c r="N48" s="3171">
        <v>2.16</v>
      </c>
      <c r="O48" s="3171">
        <v>4.8600000000000003</v>
      </c>
      <c r="P48" s="3171">
        <v>7.2</v>
      </c>
      <c r="Q48" s="3171">
        <v>9.18</v>
      </c>
      <c r="R48" s="3171">
        <v>9.9</v>
      </c>
      <c r="S48" s="3171">
        <v>10.8</v>
      </c>
      <c r="T48" s="3171">
        <v>12.06</v>
      </c>
      <c r="U48" s="3171">
        <v>7.2</v>
      </c>
      <c r="V48" s="3171">
        <v>9.18</v>
      </c>
      <c r="W48" s="3171">
        <v>10.8</v>
      </c>
      <c r="X48" s="3171" t="s">
        <v>2929</v>
      </c>
      <c r="Y48" s="3171" t="s">
        <v>2929</v>
      </c>
      <c r="Z48" s="3171" t="s">
        <v>2929</v>
      </c>
    </row>
    <row r="49" spans="2:26">
      <c r="B49" s="3171"/>
      <c r="C49" s="3172">
        <v>35186</v>
      </c>
      <c r="D49" s="3171">
        <v>9.7200000000000006</v>
      </c>
      <c r="E49" s="3171">
        <v>10.98</v>
      </c>
      <c r="F49" s="3171">
        <v>13.14</v>
      </c>
      <c r="G49" s="3171">
        <v>14.94</v>
      </c>
      <c r="H49" s="3171">
        <v>15.12</v>
      </c>
      <c r="I49" s="3171">
        <v>0</v>
      </c>
      <c r="J49" s="3171">
        <v>0</v>
      </c>
      <c r="L49" s="3171"/>
      <c r="M49" s="3172">
        <v>33349</v>
      </c>
      <c r="N49" s="3171">
        <v>1.8</v>
      </c>
      <c r="O49" s="3171">
        <v>3.24</v>
      </c>
      <c r="P49" s="3171">
        <v>5.4</v>
      </c>
      <c r="Q49" s="3171">
        <v>7.56</v>
      </c>
      <c r="R49" s="3171">
        <v>7.92</v>
      </c>
      <c r="S49" s="3171">
        <v>8.2799999999999994</v>
      </c>
      <c r="T49" s="3171">
        <v>9</v>
      </c>
      <c r="U49" s="3171">
        <v>6.12</v>
      </c>
      <c r="V49" s="3171">
        <v>6.84</v>
      </c>
      <c r="W49" s="3171">
        <v>7.56</v>
      </c>
      <c r="X49" s="3171" t="s">
        <v>2929</v>
      </c>
      <c r="Y49" s="3171" t="s">
        <v>2929</v>
      </c>
      <c r="Z49" s="3171" t="s">
        <v>2929</v>
      </c>
    </row>
    <row r="50" spans="2:26">
      <c r="B50" s="3171"/>
      <c r="C50" s="3172">
        <v>34881</v>
      </c>
      <c r="D50" s="3171">
        <v>10.08</v>
      </c>
      <c r="E50" s="3171">
        <v>12.06</v>
      </c>
      <c r="F50" s="3171">
        <v>13.5</v>
      </c>
      <c r="G50" s="3171">
        <v>15.12</v>
      </c>
      <c r="H50" s="3171">
        <v>15.3</v>
      </c>
      <c r="I50" s="3171">
        <v>0</v>
      </c>
      <c r="J50" s="3171">
        <v>0</v>
      </c>
      <c r="L50" s="3171"/>
      <c r="M50" s="3172">
        <v>33106</v>
      </c>
      <c r="N50" s="3171">
        <v>2.16</v>
      </c>
      <c r="O50" s="3171">
        <v>4.32</v>
      </c>
      <c r="P50" s="3171">
        <v>6.48</v>
      </c>
      <c r="Q50" s="3171">
        <v>8.64</v>
      </c>
      <c r="R50" s="3171">
        <v>9.36</v>
      </c>
      <c r="S50" s="3171">
        <v>10.08</v>
      </c>
      <c r="T50" s="3171">
        <v>11.52</v>
      </c>
      <c r="U50" s="3171">
        <v>7.2</v>
      </c>
      <c r="V50" s="3171">
        <v>8.64</v>
      </c>
      <c r="W50" s="3171">
        <v>10.08</v>
      </c>
      <c r="X50" s="3171" t="s">
        <v>2929</v>
      </c>
      <c r="Y50" s="3171" t="s">
        <v>2929</v>
      </c>
      <c r="Z50" s="3171" t="s">
        <v>2929</v>
      </c>
    </row>
    <row r="51" spans="2:26">
      <c r="B51" s="3171"/>
      <c r="C51" s="3172">
        <v>34700</v>
      </c>
      <c r="D51" s="3171">
        <v>9</v>
      </c>
      <c r="E51" s="3171">
        <v>10.98</v>
      </c>
      <c r="F51" s="3171">
        <v>12.96</v>
      </c>
      <c r="G51" s="3171">
        <v>14.58</v>
      </c>
      <c r="H51" s="3171">
        <v>14.76</v>
      </c>
      <c r="I51" s="3171">
        <v>0</v>
      </c>
      <c r="J51" s="3171">
        <v>0</v>
      </c>
      <c r="L51" s="3171"/>
      <c r="M51" s="3172">
        <v>32978</v>
      </c>
      <c r="N51" s="3171">
        <v>2.88</v>
      </c>
      <c r="O51" s="3171">
        <v>6.3</v>
      </c>
      <c r="P51" s="3171">
        <v>7.74</v>
      </c>
      <c r="Q51" s="3171">
        <v>10.08</v>
      </c>
      <c r="R51" s="3171">
        <v>10.98</v>
      </c>
      <c r="S51" s="3171">
        <v>11.88</v>
      </c>
      <c r="T51" s="3171">
        <v>13.68</v>
      </c>
      <c r="U51" s="3171" t="s">
        <v>2929</v>
      </c>
      <c r="V51" s="3171" t="s">
        <v>2929</v>
      </c>
      <c r="W51" s="3171" t="s">
        <v>2929</v>
      </c>
      <c r="X51" s="3171" t="s">
        <v>2929</v>
      </c>
      <c r="Y51" s="3171" t="s">
        <v>2929</v>
      </c>
      <c r="Z51" s="3171" t="s">
        <v>2929</v>
      </c>
    </row>
    <row r="52" spans="2:26">
      <c r="B52" s="3171"/>
      <c r="C52" s="3172">
        <v>34161</v>
      </c>
      <c r="D52" s="3171">
        <v>9</v>
      </c>
      <c r="E52" s="3171">
        <v>10.98</v>
      </c>
      <c r="F52" s="3171">
        <v>12.24</v>
      </c>
      <c r="G52" s="3171">
        <v>13.86</v>
      </c>
      <c r="H52" s="3171">
        <v>14.04</v>
      </c>
      <c r="I52" s="3171">
        <v>0</v>
      </c>
      <c r="J52" s="3171">
        <v>0</v>
      </c>
      <c r="L52" s="3171"/>
      <c r="M52" s="3172"/>
      <c r="N52" s="3171"/>
      <c r="O52" s="3171"/>
      <c r="P52" s="3171"/>
      <c r="Q52" s="3171"/>
      <c r="R52" s="3171"/>
      <c r="S52" s="3171"/>
      <c r="T52" s="3171"/>
      <c r="U52" s="3171"/>
      <c r="V52" s="3171"/>
      <c r="W52" s="3171"/>
      <c r="X52" s="3171"/>
      <c r="Y52" s="3171"/>
      <c r="Z52" s="3171"/>
    </row>
    <row r="53" spans="2:26">
      <c r="B53" s="3171"/>
      <c r="C53" s="3172">
        <v>34104</v>
      </c>
      <c r="D53" s="3171">
        <v>8.82</v>
      </c>
      <c r="E53" s="3171">
        <v>9.36</v>
      </c>
      <c r="F53" s="3171">
        <v>10.8</v>
      </c>
      <c r="G53" s="3171">
        <v>12.06</v>
      </c>
      <c r="H53" s="3171">
        <v>12.24</v>
      </c>
      <c r="I53" s="3171">
        <v>0</v>
      </c>
      <c r="J53" s="3171">
        <v>0</v>
      </c>
      <c r="L53" s="3171"/>
      <c r="M53" s="3172"/>
      <c r="N53" s="3171"/>
      <c r="O53" s="3171"/>
      <c r="P53" s="3171"/>
      <c r="Q53" s="3171"/>
      <c r="R53" s="3171"/>
      <c r="S53" s="3171"/>
      <c r="T53" s="3171"/>
      <c r="U53" s="3171"/>
      <c r="V53" s="3171"/>
      <c r="W53" s="3171"/>
      <c r="X53" s="3171"/>
      <c r="Y53" s="3171"/>
      <c r="Z53" s="3171"/>
    </row>
    <row r="54" spans="2:26">
      <c r="B54" s="3171"/>
      <c r="C54" s="3172">
        <v>33349</v>
      </c>
      <c r="D54" s="3171">
        <v>8.1</v>
      </c>
      <c r="E54" s="3171">
        <v>8.64</v>
      </c>
      <c r="F54" s="3171">
        <v>9</v>
      </c>
      <c r="G54" s="3171">
        <v>9.5399999999999991</v>
      </c>
      <c r="H54" s="3171">
        <v>9.7200000000000006</v>
      </c>
      <c r="I54" s="3171">
        <v>0</v>
      </c>
      <c r="J54" s="3171">
        <v>0</v>
      </c>
      <c r="L54" s="3171"/>
      <c r="M54" s="3172"/>
      <c r="N54" s="3171"/>
      <c r="O54" s="3171"/>
      <c r="P54" s="3171"/>
      <c r="Q54" s="3171"/>
      <c r="R54" s="3171"/>
      <c r="S54" s="3171"/>
      <c r="T54" s="3171"/>
      <c r="U54" s="3171"/>
      <c r="V54" s="3171"/>
      <c r="W54" s="3171"/>
      <c r="X54" s="3171"/>
      <c r="Y54" s="3171"/>
      <c r="Z54" s="3171"/>
    </row>
    <row r="55" spans="2:26">
      <c r="B55" s="3171"/>
      <c r="C55" s="3172">
        <v>33318</v>
      </c>
      <c r="D55" s="3171">
        <v>9</v>
      </c>
      <c r="E55" s="3171">
        <v>10.08</v>
      </c>
      <c r="F55" s="3171">
        <v>10.8</v>
      </c>
      <c r="G55" s="3171">
        <v>11.52</v>
      </c>
      <c r="H55" s="3171">
        <v>11.88</v>
      </c>
      <c r="I55" s="3171" t="s">
        <v>2929</v>
      </c>
      <c r="J55" s="3171" t="s">
        <v>2929</v>
      </c>
      <c r="L55" s="3171"/>
      <c r="M55" s="3172"/>
      <c r="N55" s="3171"/>
      <c r="O55" s="3171"/>
      <c r="P55" s="3171"/>
      <c r="Q55" s="3171"/>
      <c r="R55" s="3171"/>
      <c r="S55" s="3171"/>
      <c r="T55" s="3171"/>
      <c r="U55" s="3171"/>
      <c r="V55" s="3171"/>
      <c r="W55" s="3171"/>
      <c r="X55" s="3171"/>
      <c r="Y55" s="3171"/>
      <c r="Z55" s="3171"/>
    </row>
    <row r="56" spans="2:26">
      <c r="B56" s="3171"/>
      <c r="C56" s="3172">
        <v>33106</v>
      </c>
      <c r="D56" s="3171">
        <v>8.64</v>
      </c>
      <c r="E56" s="3171">
        <v>9.36</v>
      </c>
      <c r="F56" s="3171">
        <v>10.08</v>
      </c>
      <c r="G56" s="3171">
        <v>10.8</v>
      </c>
      <c r="H56" s="3171">
        <v>11.16</v>
      </c>
      <c r="I56" s="3171">
        <v>0</v>
      </c>
      <c r="J56" s="3171">
        <v>0</v>
      </c>
      <c r="L56" s="3171"/>
      <c r="M56" s="3172"/>
      <c r="N56" s="3171"/>
      <c r="O56" s="3171"/>
      <c r="P56" s="3171"/>
      <c r="Q56" s="3171"/>
      <c r="R56" s="3171"/>
      <c r="S56" s="3171"/>
      <c r="T56" s="3171"/>
      <c r="U56" s="3171"/>
      <c r="V56" s="3171"/>
      <c r="W56" s="3171"/>
      <c r="X56" s="3171"/>
      <c r="Y56" s="3171"/>
      <c r="Z56" s="3171"/>
    </row>
    <row r="57" spans="2:26">
      <c r="B57" s="3171"/>
      <c r="C57" s="3172">
        <v>32540</v>
      </c>
      <c r="D57" s="3171">
        <v>11.34</v>
      </c>
      <c r="E57" s="3171">
        <v>11.34</v>
      </c>
      <c r="F57" s="3171">
        <v>12.78</v>
      </c>
      <c r="G57" s="3171">
        <v>14.4</v>
      </c>
      <c r="H57" s="3171">
        <v>19.260000000000002</v>
      </c>
      <c r="I57" s="3171">
        <v>0</v>
      </c>
      <c r="J57" s="3171">
        <v>0</v>
      </c>
      <c r="L57" s="3171"/>
      <c r="M57" s="3172"/>
      <c r="N57" s="3171"/>
      <c r="O57" s="3171"/>
      <c r="P57" s="3171"/>
      <c r="Q57" s="3171"/>
      <c r="R57" s="3171"/>
      <c r="S57" s="3171"/>
      <c r="T57" s="3171"/>
      <c r="U57" s="3171"/>
      <c r="V57" s="3171"/>
      <c r="W57" s="3171"/>
      <c r="X57" s="3171"/>
      <c r="Y57" s="3171"/>
      <c r="Z57" s="3171"/>
    </row>
    <row r="58" spans="2:26">
      <c r="B58" s="3171"/>
      <c r="C58" s="3172"/>
      <c r="D58" s="3171"/>
      <c r="E58" s="3171"/>
      <c r="F58" s="3171"/>
      <c r="G58" s="3171"/>
      <c r="H58" s="3171"/>
      <c r="I58" s="3171"/>
      <c r="J58" s="3171"/>
    </row>
    <row r="59" spans="2:26">
      <c r="B59" s="3175"/>
      <c r="C59" s="3176"/>
      <c r="D59" s="3175"/>
      <c r="E59" s="3175"/>
      <c r="F59" s="3175"/>
      <c r="G59" s="3175"/>
      <c r="H59" s="3175"/>
      <c r="I59" s="3175"/>
      <c r="J59" s="3175"/>
    </row>
    <row r="60" spans="2:26">
      <c r="B60" s="3175"/>
      <c r="C60" s="3176"/>
      <c r="D60" s="3175"/>
      <c r="E60" s="3175"/>
      <c r="F60" s="3175"/>
      <c r="G60" s="3175"/>
      <c r="H60" s="3175"/>
      <c r="I60" s="3175"/>
      <c r="J60" s="3175"/>
    </row>
    <row r="61" spans="2:26">
      <c r="B61" s="3175"/>
      <c r="C61" s="3176"/>
      <c r="D61" s="3175"/>
      <c r="E61" s="3175"/>
      <c r="F61" s="3175"/>
      <c r="G61" s="3175"/>
      <c r="H61" s="3175"/>
      <c r="I61" s="3175"/>
      <c r="J61" s="3175"/>
    </row>
    <row r="62" spans="2:26">
      <c r="B62" s="3122"/>
      <c r="C62" s="3122"/>
      <c r="D62" s="3122"/>
      <c r="E62" s="3122"/>
      <c r="F62" s="3122"/>
      <c r="G62" s="3122"/>
      <c r="H62" s="3122"/>
      <c r="I62" s="3122"/>
      <c r="J62" s="3122"/>
    </row>
    <row r="63" spans="2:26">
      <c r="B63" s="3122"/>
      <c r="C63" s="3122"/>
      <c r="D63" s="3122"/>
      <c r="E63" s="3122"/>
      <c r="F63" s="3122"/>
      <c r="G63" s="3122"/>
      <c r="H63" s="3122"/>
      <c r="I63" s="3122"/>
      <c r="J63" s="3122"/>
    </row>
  </sheetData>
  <sheetProtection sheet="1" objects="1" scenarios="1"/>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10" t="s">
        <v>3027</v>
      </c>
      <c r="E1" s="3304" t="s">
        <v>3031</v>
      </c>
      <c r="F1" s="3305" t="s">
        <v>3035</v>
      </c>
    </row>
    <row r="2" spans="1:13" ht="20.25">
      <c r="A2" s="3311" t="s">
        <v>3028</v>
      </c>
    </row>
    <row r="3" spans="1:13" ht="16.5">
      <c r="A3" s="3312" t="s">
        <v>3029</v>
      </c>
    </row>
    <row r="4" spans="1:13" ht="14.25">
      <c r="A4" s="3302" t="s">
        <v>3030</v>
      </c>
      <c r="B4" s="3307" t="s">
        <v>3032</v>
      </c>
      <c r="C4" s="3308"/>
      <c r="D4" s="3309"/>
      <c r="E4" s="3307" t="s">
        <v>141</v>
      </c>
      <c r="F4" s="3308"/>
      <c r="G4" s="3309"/>
      <c r="H4" s="3307" t="s">
        <v>3033</v>
      </c>
      <c r="I4" s="3308"/>
      <c r="J4" s="3309"/>
      <c r="K4" s="3307" t="s">
        <v>39</v>
      </c>
      <c r="L4" s="3308"/>
      <c r="M4" s="3309"/>
    </row>
    <row r="5" spans="1:13" ht="14.25">
      <c r="A5" s="3303" t="s">
        <v>3034</v>
      </c>
      <c r="B5" s="3302" t="s">
        <v>3036</v>
      </c>
      <c r="C5" s="3302" t="s">
        <v>3037</v>
      </c>
      <c r="D5" s="3302" t="s">
        <v>3038</v>
      </c>
      <c r="E5" s="3302" t="s">
        <v>3036</v>
      </c>
      <c r="F5" s="3302" t="s">
        <v>3037</v>
      </c>
      <c r="G5" s="3302" t="s">
        <v>3038</v>
      </c>
      <c r="H5" s="3302" t="s">
        <v>3036</v>
      </c>
      <c r="I5" s="3302" t="s">
        <v>3037</v>
      </c>
      <c r="J5" s="3302" t="s">
        <v>3038</v>
      </c>
      <c r="K5" s="3302" t="s">
        <v>3036</v>
      </c>
      <c r="L5" s="3302" t="s">
        <v>3037</v>
      </c>
      <c r="M5" s="3302" t="s">
        <v>3038</v>
      </c>
    </row>
    <row r="6" spans="1:13" ht="14.25">
      <c r="A6" s="3306" t="s">
        <v>1219</v>
      </c>
      <c r="B6" s="3313">
        <v>26980</v>
      </c>
      <c r="C6" s="3313">
        <v>32980</v>
      </c>
      <c r="D6" s="3313">
        <v>29980</v>
      </c>
      <c r="E6" s="3313">
        <v>26170</v>
      </c>
      <c r="F6" s="3313">
        <v>31990</v>
      </c>
      <c r="G6" s="3313">
        <v>29080</v>
      </c>
      <c r="H6" s="3313">
        <v>25850</v>
      </c>
      <c r="I6" s="3313">
        <v>31590</v>
      </c>
      <c r="J6" s="3313">
        <v>28720</v>
      </c>
      <c r="K6" s="3313">
        <v>9860</v>
      </c>
      <c r="L6" s="3314">
        <v>13340</v>
      </c>
      <c r="M6" s="3313">
        <v>11600</v>
      </c>
    </row>
    <row r="7" spans="1:13" ht="14.25">
      <c r="A7" s="3306" t="s">
        <v>1276</v>
      </c>
      <c r="B7" s="3313">
        <v>21970</v>
      </c>
      <c r="C7" s="3313">
        <v>28730</v>
      </c>
      <c r="D7" s="3313">
        <v>25350</v>
      </c>
      <c r="E7" s="3313">
        <v>21480</v>
      </c>
      <c r="F7" s="3313">
        <v>28080</v>
      </c>
      <c r="G7" s="3313">
        <v>24780</v>
      </c>
      <c r="H7" s="3313">
        <v>21250</v>
      </c>
      <c r="I7" s="3313">
        <v>27790</v>
      </c>
      <c r="J7" s="3313">
        <v>24520</v>
      </c>
      <c r="K7" s="3313">
        <v>6660</v>
      </c>
      <c r="L7" s="3314">
        <v>10000</v>
      </c>
      <c r="M7" s="3313">
        <v>8330</v>
      </c>
    </row>
    <row r="8" spans="1:13" ht="14.25">
      <c r="A8" s="3306" t="s">
        <v>1449</v>
      </c>
      <c r="B8" s="3313">
        <v>17430</v>
      </c>
      <c r="C8" s="3313">
        <v>24410</v>
      </c>
      <c r="D8" s="3313">
        <v>20920</v>
      </c>
      <c r="E8" s="3313">
        <v>17140</v>
      </c>
      <c r="F8" s="3313">
        <v>24000</v>
      </c>
      <c r="G8" s="3313">
        <v>20570</v>
      </c>
      <c r="H8" s="3313">
        <v>16990</v>
      </c>
      <c r="I8" s="3313">
        <v>23790</v>
      </c>
      <c r="J8" s="3313">
        <v>20390</v>
      </c>
      <c r="K8" s="3313">
        <v>4530</v>
      </c>
      <c r="L8" s="3314">
        <v>6790</v>
      </c>
      <c r="M8" s="3313">
        <v>5660</v>
      </c>
    </row>
    <row r="9" spans="1:13" ht="14.25">
      <c r="A9" s="3306" t="s">
        <v>1130</v>
      </c>
      <c r="B9" s="3313">
        <v>13330</v>
      </c>
      <c r="C9" s="3313">
        <v>19990</v>
      </c>
      <c r="D9" s="3313">
        <v>16660</v>
      </c>
      <c r="E9" s="3313">
        <v>13160</v>
      </c>
      <c r="F9" s="3313">
        <v>19740</v>
      </c>
      <c r="G9" s="3313">
        <v>16450</v>
      </c>
      <c r="H9" s="3313">
        <v>13060</v>
      </c>
      <c r="I9" s="3313">
        <v>19600</v>
      </c>
      <c r="J9" s="3313">
        <v>16330</v>
      </c>
      <c r="K9" s="3313">
        <v>3090</v>
      </c>
      <c r="L9" s="3314">
        <v>4650</v>
      </c>
      <c r="M9" s="3313">
        <v>3870</v>
      </c>
    </row>
    <row r="10" spans="1:13" ht="14.25">
      <c r="A10" s="3306" t="s">
        <v>1530</v>
      </c>
      <c r="B10" s="3313">
        <v>10420</v>
      </c>
      <c r="C10" s="3313">
        <v>15620</v>
      </c>
      <c r="D10" s="3313">
        <v>13020</v>
      </c>
      <c r="E10" s="3313">
        <v>10310</v>
      </c>
      <c r="F10" s="3313">
        <v>15470</v>
      </c>
      <c r="G10" s="3313">
        <v>12890</v>
      </c>
      <c r="H10" s="3313">
        <v>10250</v>
      </c>
      <c r="I10" s="3313">
        <v>15370</v>
      </c>
      <c r="J10" s="3313">
        <v>12810</v>
      </c>
      <c r="K10" s="3313">
        <v>2140</v>
      </c>
      <c r="L10" s="3314">
        <v>3200</v>
      </c>
      <c r="M10" s="3313">
        <v>2670</v>
      </c>
    </row>
    <row r="11" spans="1:13" ht="14.25">
      <c r="A11" s="3306" t="s">
        <v>202</v>
      </c>
      <c r="B11" s="3313">
        <v>8130</v>
      </c>
      <c r="C11" s="3313">
        <v>12190</v>
      </c>
      <c r="D11" s="3313">
        <v>10160</v>
      </c>
      <c r="E11" s="3313">
        <v>8060</v>
      </c>
      <c r="F11" s="3313">
        <v>12080</v>
      </c>
      <c r="G11" s="3313">
        <v>10070</v>
      </c>
      <c r="H11" s="3313">
        <v>8010</v>
      </c>
      <c r="I11" s="3313">
        <v>12010</v>
      </c>
      <c r="J11" s="3313">
        <v>10010</v>
      </c>
      <c r="K11" s="3313">
        <v>1490</v>
      </c>
      <c r="L11" s="3314">
        <v>2250</v>
      </c>
      <c r="M11" s="3313">
        <v>1870</v>
      </c>
    </row>
    <row r="12" spans="1:13" ht="14.25">
      <c r="A12" s="3306" t="s">
        <v>1533</v>
      </c>
      <c r="B12" s="3313">
        <v>5940</v>
      </c>
      <c r="C12" s="3313">
        <v>8900</v>
      </c>
      <c r="D12" s="3313">
        <v>7420</v>
      </c>
      <c r="E12" s="3313">
        <v>5880</v>
      </c>
      <c r="F12" s="3313">
        <v>8820</v>
      </c>
      <c r="G12" s="3313">
        <v>7350</v>
      </c>
      <c r="H12" s="3313">
        <v>5840</v>
      </c>
      <c r="I12" s="3313">
        <v>8760</v>
      </c>
      <c r="J12" s="3313">
        <v>7300</v>
      </c>
      <c r="K12" s="3313">
        <v>1060</v>
      </c>
      <c r="L12" s="3314">
        <v>1600</v>
      </c>
      <c r="M12" s="3313">
        <v>1330</v>
      </c>
    </row>
    <row r="13" spans="1:13" ht="14.25">
      <c r="A13" s="3306" t="s">
        <v>1535</v>
      </c>
      <c r="B13" s="3313">
        <v>3970</v>
      </c>
      <c r="C13" s="3313">
        <v>6330</v>
      </c>
      <c r="D13" s="3313">
        <v>5150</v>
      </c>
      <c r="E13" s="3313">
        <v>3920</v>
      </c>
      <c r="F13" s="3313">
        <v>6260</v>
      </c>
      <c r="G13" s="3313">
        <v>5090</v>
      </c>
      <c r="H13" s="3313">
        <v>3890</v>
      </c>
      <c r="I13" s="3313">
        <v>6210</v>
      </c>
      <c r="J13" s="3313">
        <v>5050</v>
      </c>
      <c r="K13" s="3313">
        <v>780</v>
      </c>
      <c r="L13" s="3314">
        <v>1160</v>
      </c>
      <c r="M13" s="3313">
        <v>970</v>
      </c>
    </row>
    <row r="14" spans="1:13" ht="14.25">
      <c r="A14" s="3306" t="s">
        <v>1537</v>
      </c>
      <c r="B14" s="3313">
        <v>2680</v>
      </c>
      <c r="C14" s="3313">
        <v>4280</v>
      </c>
      <c r="D14" s="3313">
        <v>3480</v>
      </c>
      <c r="E14" s="3313">
        <v>2640</v>
      </c>
      <c r="F14" s="3313">
        <v>4220</v>
      </c>
      <c r="G14" s="3313">
        <v>3430</v>
      </c>
      <c r="H14" s="3313">
        <v>2620</v>
      </c>
      <c r="I14" s="3313">
        <v>4180</v>
      </c>
      <c r="J14" s="3313">
        <v>3400</v>
      </c>
      <c r="K14" s="3313">
        <v>580</v>
      </c>
      <c r="L14" s="3314">
        <v>880</v>
      </c>
      <c r="M14" s="3313">
        <v>730</v>
      </c>
    </row>
    <row r="15" spans="1:13" ht="14.25">
      <c r="A15" s="3306" t="s">
        <v>1541</v>
      </c>
      <c r="B15" s="3313">
        <v>1700</v>
      </c>
      <c r="C15" s="3313">
        <v>2840</v>
      </c>
      <c r="D15" s="3313">
        <v>2270</v>
      </c>
      <c r="E15" s="3313">
        <v>1670</v>
      </c>
      <c r="F15" s="3313">
        <v>2790</v>
      </c>
      <c r="G15" s="3313">
        <v>2230</v>
      </c>
      <c r="H15" s="3313">
        <v>1650</v>
      </c>
      <c r="I15" s="3313">
        <v>2750</v>
      </c>
      <c r="J15" s="3313">
        <v>2200</v>
      </c>
      <c r="K15" s="3313">
        <v>450</v>
      </c>
      <c r="L15" s="3314">
        <v>670</v>
      </c>
      <c r="M15" s="3313">
        <v>560</v>
      </c>
    </row>
    <row r="16" spans="1:13" ht="14.25">
      <c r="A16" s="3306" t="s">
        <v>1940</v>
      </c>
      <c r="B16" s="3313">
        <v>1070</v>
      </c>
      <c r="C16" s="3313">
        <v>1790</v>
      </c>
      <c r="D16" s="3313">
        <v>1430</v>
      </c>
      <c r="E16" s="3313">
        <v>1050</v>
      </c>
      <c r="F16" s="3313">
        <v>1750</v>
      </c>
      <c r="G16" s="3313">
        <v>1400</v>
      </c>
      <c r="H16" s="3313">
        <v>1030</v>
      </c>
      <c r="I16" s="3313">
        <v>1730</v>
      </c>
      <c r="J16" s="3313">
        <v>1380</v>
      </c>
      <c r="K16" s="3313">
        <v>350</v>
      </c>
      <c r="L16" s="3314">
        <v>530</v>
      </c>
      <c r="M16" s="3313">
        <v>440</v>
      </c>
    </row>
    <row r="17" spans="1:13" ht="14.25">
      <c r="A17" s="3306" t="s">
        <v>1941</v>
      </c>
      <c r="B17" s="3313">
        <v>680</v>
      </c>
      <c r="C17" s="3313">
        <v>1120</v>
      </c>
      <c r="D17" s="3313">
        <v>900</v>
      </c>
      <c r="E17" s="3313">
        <v>650</v>
      </c>
      <c r="F17" s="3313">
        <v>1090</v>
      </c>
      <c r="G17" s="3313">
        <v>870</v>
      </c>
      <c r="H17" s="3313">
        <v>630</v>
      </c>
      <c r="I17" s="3313">
        <v>1070</v>
      </c>
      <c r="J17" s="3313">
        <v>850</v>
      </c>
      <c r="K17" s="3313">
        <v>280</v>
      </c>
      <c r="L17" s="3314">
        <v>420</v>
      </c>
      <c r="M17" s="3313">
        <v>350</v>
      </c>
    </row>
  </sheetData>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election activeCell="L33" sqref="L33"/>
    </sheetView>
  </sheetViews>
  <sheetFormatPr defaultRowHeight="13.5"/>
  <cols>
    <col min="1" max="1" width="12.75" customWidth="1"/>
  </cols>
  <sheetData>
    <row r="1" spans="1:13">
      <c r="A1" s="3356" t="s">
        <v>3112</v>
      </c>
    </row>
    <row r="2" spans="1:13">
      <c r="L2">
        <f>245/6</f>
        <v>40.833333333333336</v>
      </c>
      <c r="M2">
        <f>176.49/6*10000</f>
        <v>294150</v>
      </c>
    </row>
    <row r="6" spans="1:13">
      <c r="A6" s="3356" t="s">
        <v>3113</v>
      </c>
    </row>
    <row r="8" spans="1:13">
      <c r="L8">
        <f>61/2</f>
        <v>30.5</v>
      </c>
      <c r="M8">
        <f>49.32/2*10000</f>
        <v>246600</v>
      </c>
    </row>
    <row r="10" spans="1:13">
      <c r="A10" s="3356" t="s">
        <v>3114</v>
      </c>
    </row>
    <row r="12" spans="1:13">
      <c r="L12">
        <v>34</v>
      </c>
      <c r="M12">
        <v>267000</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7" t="str">
        <f>IF(项目基本情况!B9="房地产市场价值","估价结果一览表","结果表-2")</f>
        <v>结果表-2</v>
      </c>
      <c r="B1" s="3407"/>
      <c r="C1" s="3407"/>
      <c r="D1" s="3407"/>
      <c r="E1" s="3407"/>
      <c r="F1" s="3407"/>
      <c r="G1" s="3407"/>
      <c r="H1" s="3407"/>
      <c r="I1" s="3407"/>
    </row>
    <row r="2" spans="1:9" ht="30" customHeight="1" thickTop="1">
      <c r="A2" s="3408" t="s">
        <v>2867</v>
      </c>
      <c r="B2" s="3408" t="s">
        <v>2030</v>
      </c>
      <c r="C2" s="3408" t="s">
        <v>2031</v>
      </c>
      <c r="D2" s="3408" t="str">
        <f>结果表!D116</f>
        <v>出让国有建设用地使用权价值</v>
      </c>
      <c r="E2" s="3408"/>
      <c r="F2" s="3408" t="str">
        <f>结果表!F116</f>
        <v>在建建筑物价值</v>
      </c>
      <c r="G2" s="3408"/>
      <c r="H2" s="3408" t="str">
        <f>IF(项目基本情况!B9="房地产市场价值","房地产市场价值","房地产价值")</f>
        <v>房地产价值</v>
      </c>
      <c r="I2" s="3408"/>
    </row>
    <row r="3" spans="1:9" ht="14.25">
      <c r="A3" s="3402"/>
      <c r="B3" s="3402"/>
      <c r="C3" s="3402"/>
      <c r="D3" s="1896" t="s">
        <v>7</v>
      </c>
      <c r="E3" s="1896" t="s">
        <v>2032</v>
      </c>
      <c r="F3" s="1896" t="s">
        <v>7</v>
      </c>
      <c r="G3" s="1896" t="s">
        <v>8</v>
      </c>
      <c r="H3" s="1896" t="s">
        <v>7</v>
      </c>
      <c r="I3" s="1896" t="s">
        <v>8</v>
      </c>
    </row>
    <row r="4" spans="1:9" ht="28.5">
      <c r="A4" s="1966" t="str">
        <f>项目基本情况!S2</f>
        <v>北京市出让国有建设用地使用权</v>
      </c>
      <c r="B4" s="1960">
        <f>项目基本情况!C17</f>
        <v>43758.520000000004</v>
      </c>
      <c r="C4" s="1960">
        <f>项目基本情况!C18</f>
        <v>10808.06</v>
      </c>
      <c r="D4" s="1960">
        <f ca="1">结果表!D118</f>
        <v>136612</v>
      </c>
      <c r="E4" s="1960">
        <f ca="1">结果表!E118</f>
        <v>31219</v>
      </c>
      <c r="F4" s="1960">
        <f ca="1">结果表!F118</f>
        <v>8720</v>
      </c>
      <c r="G4" s="1960">
        <f ca="1">结果表!G118</f>
        <v>1993</v>
      </c>
      <c r="H4" s="1960">
        <f ca="1">结果表!H118</f>
        <v>145332</v>
      </c>
      <c r="I4" s="1960">
        <f ca="1">结果表!I118</f>
        <v>33212</v>
      </c>
    </row>
    <row r="5" spans="1:9" ht="30" customHeight="1">
      <c r="A5" s="3402" t="s">
        <v>9</v>
      </c>
      <c r="B5" s="3402"/>
      <c r="C5" s="3402"/>
      <c r="D5" s="3403" t="str">
        <f ca="1">结果表!D119</f>
        <v>壹拾叁亿陆仟陆佰壹拾贰万元整</v>
      </c>
      <c r="E5" s="3403"/>
      <c r="F5" s="3403" t="str">
        <f ca="1">结果表!F119</f>
        <v>捌仟柒佰贰拾万元整</v>
      </c>
      <c r="G5" s="3403"/>
      <c r="H5" s="3403" t="str">
        <f ca="1">结果表!H119</f>
        <v>壹拾肆亿伍仟叁佰叁拾贰万元整</v>
      </c>
      <c r="I5" s="3403"/>
    </row>
    <row r="6" spans="1:9" ht="15.75">
      <c r="A6" s="3400" t="str">
        <f>结果表!A120</f>
        <v>估价师知悉的法定优先受偿款</v>
      </c>
      <c r="B6" s="3400"/>
      <c r="C6" s="3400"/>
      <c r="D6" s="3401">
        <f>结果表!D120</f>
        <v>0</v>
      </c>
      <c r="E6" s="3401"/>
      <c r="F6" s="3401"/>
      <c r="G6" s="3401"/>
      <c r="H6" s="3401"/>
      <c r="I6" s="3401"/>
    </row>
    <row r="7" spans="1:9" ht="14.25">
      <c r="A7" s="3402" t="s">
        <v>9</v>
      </c>
      <c r="B7" s="3402"/>
      <c r="C7" s="3402"/>
      <c r="D7" s="3404" t="str">
        <f>结果表!D121</f>
        <v>零元整</v>
      </c>
      <c r="E7" s="3405"/>
      <c r="F7" s="3405"/>
      <c r="G7" s="3405"/>
      <c r="H7" s="3405"/>
      <c r="I7" s="3406"/>
    </row>
    <row r="8" spans="1:9" ht="15.75">
      <c r="A8" s="3400" t="str">
        <f>结果表!A122</f>
        <v>房地产抵押价值</v>
      </c>
      <c r="B8" s="3400"/>
      <c r="C8" s="3400"/>
      <c r="D8" s="3401">
        <f ca="1">结果表!D122</f>
        <v>145332</v>
      </c>
      <c r="E8" s="3401"/>
      <c r="F8" s="3401"/>
      <c r="G8" s="3401"/>
      <c r="H8" s="3401"/>
      <c r="I8" s="3401"/>
    </row>
    <row r="9" spans="1:9" ht="14.25">
      <c r="A9" s="3402" t="s">
        <v>9</v>
      </c>
      <c r="B9" s="3402"/>
      <c r="C9" s="3402"/>
      <c r="D9" s="3403" t="str">
        <f ca="1">结果表!D123</f>
        <v>壹拾肆亿伍仟叁佰叁拾贰万元整</v>
      </c>
      <c r="E9" s="3403"/>
      <c r="F9" s="3403"/>
      <c r="G9" s="3403"/>
      <c r="H9" s="3403"/>
      <c r="I9" s="3403"/>
    </row>
    <row r="10" spans="1:9" ht="15.75">
      <c r="A10" s="3400" t="str">
        <f>结果表!A124</f>
        <v/>
      </c>
      <c r="B10" s="3400"/>
      <c r="C10" s="3400"/>
      <c r="D10" s="3401" t="str">
        <f>结果表!D124</f>
        <v>——</v>
      </c>
      <c r="E10" s="3401"/>
      <c r="F10" s="3401"/>
      <c r="G10" s="3401"/>
      <c r="H10" s="3401"/>
      <c r="I10" s="3401"/>
    </row>
    <row r="11" spans="1:9" ht="14.25">
      <c r="A11" s="3402" t="s">
        <v>9</v>
      </c>
      <c r="B11" s="3402"/>
      <c r="C11" s="3402"/>
      <c r="D11" s="3403" t="e">
        <f>结果表!D125</f>
        <v>#VALUE!</v>
      </c>
      <c r="E11" s="3403"/>
      <c r="F11" s="3403"/>
      <c r="G11" s="3403"/>
      <c r="H11" s="3403"/>
      <c r="I11" s="3403"/>
    </row>
    <row r="12" spans="1:9" ht="15.75">
      <c r="A12" s="3400" t="str">
        <f>结果表!A126</f>
        <v/>
      </c>
      <c r="B12" s="3400"/>
      <c r="C12" s="3400"/>
      <c r="D12" s="3401" t="str">
        <f>结果表!D126</f>
        <v>——</v>
      </c>
      <c r="E12" s="3401"/>
      <c r="F12" s="3401"/>
      <c r="G12" s="3401"/>
      <c r="H12" s="3401"/>
      <c r="I12" s="3401"/>
    </row>
    <row r="13" spans="1:9" ht="15" thickBot="1">
      <c r="A13" s="3397" t="s">
        <v>9</v>
      </c>
      <c r="B13" s="3397"/>
      <c r="C13" s="3397"/>
      <c r="D13" s="3398" t="e">
        <f>结果表!D127</f>
        <v>#VALUE!</v>
      </c>
      <c r="E13" s="3398"/>
      <c r="F13" s="3398"/>
      <c r="G13" s="3398"/>
      <c r="H13" s="3398"/>
      <c r="I13" s="3398"/>
    </row>
    <row r="14" spans="1:9" ht="14.25" thickTop="1">
      <c r="A14" s="3399" t="s">
        <v>2033</v>
      </c>
      <c r="B14" s="3399"/>
      <c r="C14" s="3399"/>
      <c r="D14" s="3399"/>
      <c r="E14" s="3399"/>
      <c r="F14" s="3399"/>
      <c r="G14" s="3399"/>
      <c r="H14" s="3399"/>
      <c r="I14" s="3399"/>
    </row>
    <row r="16" spans="1:9" ht="18.75">
      <c r="A16" s="1975" t="s">
        <v>2034</v>
      </c>
      <c r="B16" s="1976"/>
      <c r="C16" s="1976"/>
      <c r="D16" s="1976"/>
      <c r="E16" s="1976"/>
      <c r="F16" s="1976"/>
      <c r="G16" s="1976"/>
      <c r="H16" s="1976"/>
      <c r="I16" s="1976"/>
    </row>
    <row r="17" spans="1:9">
      <c r="A17" s="1976"/>
      <c r="B17" s="1976"/>
      <c r="C17" s="1976"/>
      <c r="D17" s="1976"/>
      <c r="E17" s="1976"/>
      <c r="F17" s="1976"/>
      <c r="G17" s="1976"/>
      <c r="H17" s="1976"/>
      <c r="I17" s="1976"/>
    </row>
    <row r="18" spans="1:9">
      <c r="A18" s="1976"/>
      <c r="B18" s="1976"/>
      <c r="C18" s="1976"/>
      <c r="D18" s="1976"/>
      <c r="E18" s="1976"/>
      <c r="F18" s="1976"/>
      <c r="G18" s="1976"/>
      <c r="H18" s="1976"/>
      <c r="I18" s="1976"/>
    </row>
    <row r="19" spans="1:9">
      <c r="A19" s="1976"/>
      <c r="B19" s="1976"/>
      <c r="C19" s="1976"/>
      <c r="D19" s="1976"/>
      <c r="E19" s="1976"/>
      <c r="F19" s="1976"/>
      <c r="G19" s="1976"/>
      <c r="H19" s="1976"/>
      <c r="I19" s="1976"/>
    </row>
    <row r="20" spans="1:9">
      <c r="A20" s="1976"/>
      <c r="B20" s="1976"/>
      <c r="C20" s="1976"/>
      <c r="D20" s="1976"/>
      <c r="E20" s="1976"/>
      <c r="F20" s="1976"/>
      <c r="G20" s="1976"/>
      <c r="H20" s="1976"/>
      <c r="I20" s="1976"/>
    </row>
    <row r="21" spans="1:9">
      <c r="A21" s="1976"/>
      <c r="B21" s="1976"/>
      <c r="C21" s="1976"/>
      <c r="D21" s="1976"/>
      <c r="E21" s="1976"/>
      <c r="F21" s="1976"/>
      <c r="G21" s="1976"/>
      <c r="H21" s="1976"/>
      <c r="I21" s="1976"/>
    </row>
    <row r="22" spans="1:9">
      <c r="A22" s="1976"/>
      <c r="B22" s="1976"/>
      <c r="C22" s="1976"/>
      <c r="D22" s="1976"/>
      <c r="E22" s="1976"/>
      <c r="F22" s="1976"/>
      <c r="G22" s="1976"/>
      <c r="H22" s="1976"/>
      <c r="I22" s="19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5" t="s">
        <v>2844</v>
      </c>
      <c r="B1" s="3415"/>
      <c r="C1" s="3415"/>
      <c r="D1" s="3415"/>
    </row>
    <row r="2" spans="1:4" ht="18.75">
      <c r="A2" s="3416" t="s">
        <v>2104</v>
      </c>
      <c r="B2" s="3416"/>
      <c r="C2" s="3416"/>
      <c r="D2" s="3416"/>
    </row>
    <row r="3" spans="1:4" ht="18.75">
      <c r="A3" s="2593" t="s">
        <v>2105</v>
      </c>
      <c r="B3" s="2593" t="s">
        <v>2106</v>
      </c>
      <c r="C3" s="2593" t="s">
        <v>2107</v>
      </c>
      <c r="D3" s="2593" t="s">
        <v>2108</v>
      </c>
    </row>
    <row r="4" spans="1:4" ht="56.25" customHeight="1">
      <c r="A4" s="2599" t="str">
        <f>项目基本情况!B4</f>
        <v>欧红伟</v>
      </c>
      <c r="B4" s="2594">
        <f ca="1">项目基本情况!C4</f>
        <v>1120000080</v>
      </c>
      <c r="C4" s="2597"/>
      <c r="D4" s="2595" t="s">
        <v>2109</v>
      </c>
    </row>
    <row r="5" spans="1:4" ht="56.25" customHeight="1">
      <c r="A5" s="2599" t="str">
        <f>项目基本情况!D4</f>
        <v>梁津</v>
      </c>
      <c r="B5" s="2594">
        <f ca="1">项目基本情况!E4</f>
        <v>1119970066</v>
      </c>
      <c r="C5" s="2598"/>
      <c r="D5" s="2595" t="s">
        <v>2109</v>
      </c>
    </row>
    <row r="6" spans="1:4" ht="18.75">
      <c r="A6" s="3416" t="s">
        <v>2606</v>
      </c>
      <c r="B6" s="3416"/>
      <c r="C6" s="3416"/>
      <c r="D6" s="3416"/>
    </row>
    <row r="7" spans="1:4" ht="18.75">
      <c r="A7" s="2593" t="s">
        <v>2105</v>
      </c>
      <c r="B7" s="2594" t="s">
        <v>2110</v>
      </c>
      <c r="C7" s="2593" t="s">
        <v>2107</v>
      </c>
      <c r="D7" s="2593" t="s">
        <v>2108</v>
      </c>
    </row>
    <row r="8" spans="1:4" ht="56.25" customHeight="1">
      <c r="A8" s="2596" t="s">
        <v>2111</v>
      </c>
      <c r="B8" s="2596" t="s">
        <v>23</v>
      </c>
      <c r="C8" s="2597"/>
      <c r="D8" s="2595" t="s">
        <v>2109</v>
      </c>
    </row>
    <row r="9" spans="1:4">
      <c r="A9" s="1479"/>
      <c r="B9" s="1479"/>
      <c r="C9" s="1479"/>
      <c r="D9" s="1479"/>
    </row>
    <row r="10" spans="1:4" ht="18.75">
      <c r="A10" s="2075" t="s">
        <v>2112</v>
      </c>
      <c r="B10" s="1479"/>
      <c r="C10" s="1479"/>
      <c r="D10" s="1479"/>
    </row>
    <row r="11" spans="1:4" ht="30" customHeight="1">
      <c r="A11" s="3417" t="s">
        <v>2699</v>
      </c>
      <c r="B11" s="3409"/>
      <c r="C11" s="3409"/>
      <c r="D11" s="3409"/>
    </row>
    <row r="12" spans="1:4" ht="14.25">
      <c r="A12" s="34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4"/>
      <c r="C12" s="3414"/>
      <c r="D12" s="3414"/>
    </row>
    <row r="13" spans="1:4" ht="30" customHeight="1">
      <c r="A13" s="34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4"/>
      <c r="C13" s="3414"/>
      <c r="D13" s="3414"/>
    </row>
    <row r="14" spans="1:4" ht="15.75" customHeight="1">
      <c r="A14" s="3409" t="str">
        <f>IF(项目基本情况!B8="抵押","4.本次评估估价师所知悉的法定优先受偿款情况说明如下：","——")</f>
        <v>4.本次评估估价师所知悉的法定优先受偿款情况说明如下：</v>
      </c>
      <c r="B14" s="3414"/>
      <c r="C14" s="3414"/>
      <c r="D14" s="3414"/>
    </row>
    <row r="15" spans="1:4" ht="42" customHeight="1">
      <c r="A15" s="34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9"/>
      <c r="C15" s="3409"/>
      <c r="D15" s="3409"/>
    </row>
    <row r="16" spans="1:4" ht="30" customHeight="1">
      <c r="A16" s="3411" t="s">
        <v>2116</v>
      </c>
      <c r="B16" s="3411"/>
      <c r="C16" s="3411"/>
      <c r="D16" s="3411"/>
    </row>
    <row r="17" spans="1:4" ht="144" customHeight="1">
      <c r="A17" s="3411" t="s">
        <v>2117</v>
      </c>
      <c r="B17" s="3411"/>
      <c r="C17" s="3411"/>
      <c r="D17" s="3411"/>
    </row>
    <row r="18" spans="1:4" ht="15.75" customHeight="1">
      <c r="A18" s="3409" t="str">
        <f>IF(项目基本情况!B8="抵押",结果表!K120,"——")</f>
        <v>故，本次评估不存在估价师知悉的法定优先受偿款</v>
      </c>
      <c r="B18" s="3409"/>
      <c r="C18" s="3409"/>
      <c r="D18" s="3409"/>
    </row>
    <row r="19" spans="1:4" ht="46.5" customHeight="1">
      <c r="A19" s="34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9"/>
      <c r="C19" s="3409"/>
      <c r="D19" s="3409"/>
    </row>
    <row r="20" spans="1:4" ht="57.75" customHeight="1">
      <c r="A20" s="34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9"/>
      <c r="C20" s="3409"/>
      <c r="D20" s="3409"/>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2865</v>
      </c>
      <c r="B22" s="3413"/>
      <c r="C22" s="3413"/>
      <c r="D22" s="3413"/>
    </row>
    <row r="23" spans="1:4">
      <c r="A23" s="1967"/>
      <c r="B23" s="1976"/>
      <c r="C23" s="1976"/>
      <c r="D23" s="1976"/>
    </row>
    <row r="24" spans="1:4">
      <c r="A24" s="1967"/>
      <c r="B24" s="1976"/>
      <c r="C24" s="1976"/>
      <c r="D24" s="1976"/>
    </row>
    <row r="25" spans="1:4" ht="18.75">
      <c r="A25" s="1965" t="s">
        <v>2113</v>
      </c>
    </row>
    <row r="26" spans="1:4" ht="18.75">
      <c r="A26" s="1937"/>
    </row>
    <row r="27" spans="1:4" ht="18.75">
      <c r="A27" s="1937" t="s">
        <v>2114</v>
      </c>
    </row>
    <row r="30" spans="1:4" ht="18.75">
      <c r="D30" s="1965" t="s">
        <v>2115</v>
      </c>
    </row>
    <row r="31" spans="1:4" ht="13.5" customHeight="1">
      <c r="C31" s="3410">
        <v>42551</v>
      </c>
      <c r="D31" s="341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76" customWidth="1"/>
    <col min="3" max="10" width="12.5" style="1976" customWidth="1"/>
    <col min="11" max="16384" width="9" style="1976"/>
  </cols>
  <sheetData>
    <row r="1" spans="1:10" ht="18.75">
      <c r="A1" s="2852" t="s">
        <v>2120</v>
      </c>
      <c r="B1" s="2864"/>
      <c r="C1" s="2864"/>
      <c r="D1" s="2864"/>
      <c r="E1" s="2864"/>
      <c r="F1" s="2864"/>
      <c r="G1" s="2864"/>
      <c r="H1" s="2864"/>
      <c r="I1" s="2864"/>
      <c r="J1" s="2864"/>
    </row>
    <row r="2" spans="1:10" ht="18.75">
      <c r="A2" s="2865"/>
      <c r="B2" s="2864"/>
      <c r="C2" s="2864"/>
      <c r="D2" s="2864"/>
      <c r="E2" s="2864"/>
      <c r="F2" s="2864"/>
      <c r="G2" s="2864"/>
      <c r="H2" s="2864"/>
      <c r="I2" s="2864"/>
      <c r="J2" s="2864"/>
    </row>
    <row r="3" spans="1:10">
      <c r="A3" s="2864"/>
      <c r="B3" s="2864"/>
      <c r="C3" s="2864"/>
      <c r="D3" s="2864"/>
      <c r="E3" s="2864"/>
      <c r="F3" s="2864"/>
      <c r="G3" s="2864"/>
      <c r="H3" s="2864"/>
      <c r="I3" s="2864"/>
      <c r="J3" s="2864"/>
    </row>
    <row r="4" spans="1:10">
      <c r="A4" s="2864"/>
      <c r="B4" s="2864"/>
      <c r="C4" s="2864"/>
      <c r="D4" s="2864"/>
      <c r="E4" s="2864"/>
      <c r="F4" s="2864"/>
      <c r="G4" s="2864"/>
      <c r="H4" s="2864"/>
      <c r="I4" s="2864"/>
      <c r="J4" s="2864"/>
    </row>
    <row r="5" spans="1:10">
      <c r="A5" s="2864"/>
      <c r="B5" s="2864"/>
      <c r="C5" s="2864"/>
      <c r="D5" s="2864"/>
      <c r="E5" s="2864"/>
      <c r="F5" s="2864"/>
      <c r="G5" s="2864"/>
      <c r="H5" s="2864"/>
      <c r="I5" s="2864"/>
      <c r="J5" s="2864"/>
    </row>
    <row r="6" spans="1:10">
      <c r="A6" s="2864"/>
      <c r="B6" s="2864"/>
      <c r="C6" s="2864"/>
      <c r="D6" s="2864"/>
      <c r="E6" s="2864"/>
      <c r="F6" s="2864"/>
      <c r="G6" s="2864"/>
      <c r="H6" s="2864"/>
      <c r="I6" s="2864"/>
      <c r="J6" s="2864"/>
    </row>
    <row r="7" spans="1:10">
      <c r="A7" s="2864"/>
      <c r="B7" s="2864"/>
      <c r="C7" s="2864"/>
      <c r="D7" s="2864"/>
      <c r="E7" s="2864"/>
      <c r="F7" s="2864"/>
      <c r="G7" s="2864"/>
      <c r="H7" s="2864"/>
      <c r="I7" s="2864"/>
      <c r="J7" s="2864"/>
    </row>
    <row r="8" spans="1:10">
      <c r="A8" s="2864"/>
      <c r="B8" s="2864"/>
      <c r="C8" s="2864"/>
      <c r="D8" s="2864"/>
      <c r="E8" s="2864"/>
      <c r="F8" s="2864"/>
      <c r="G8" s="2864"/>
      <c r="H8" s="2864"/>
      <c r="I8" s="2864"/>
      <c r="J8" s="2864"/>
    </row>
    <row r="9" spans="1:10">
      <c r="A9" s="2864"/>
      <c r="B9" s="2864"/>
      <c r="C9" s="2864"/>
      <c r="D9" s="2864"/>
      <c r="E9" s="2864"/>
      <c r="F9" s="2864"/>
      <c r="G9" s="2864"/>
      <c r="H9" s="2864"/>
      <c r="I9" s="2864"/>
      <c r="J9" s="2864"/>
    </row>
    <row r="10" spans="1:10">
      <c r="A10" s="2864"/>
      <c r="B10" s="2864"/>
      <c r="C10" s="2864"/>
      <c r="D10" s="2864"/>
      <c r="E10" s="2864"/>
      <c r="F10" s="2864"/>
      <c r="G10" s="2864"/>
      <c r="H10" s="2864"/>
      <c r="I10" s="2864"/>
      <c r="J10" s="2864"/>
    </row>
    <row r="11" spans="1:10">
      <c r="A11" s="2864"/>
      <c r="B11" s="2864"/>
      <c r="C11" s="2864"/>
      <c r="D11" s="2864"/>
      <c r="E11" s="2864"/>
      <c r="F11" s="2864"/>
      <c r="G11" s="2864"/>
      <c r="H11" s="2864"/>
      <c r="I11" s="2864"/>
      <c r="J11" s="2864"/>
    </row>
    <row r="12" spans="1:10">
      <c r="A12" s="2864"/>
      <c r="B12" s="2864"/>
      <c r="C12" s="2864"/>
      <c r="D12" s="2864"/>
      <c r="E12" s="2864"/>
      <c r="F12" s="2864"/>
      <c r="G12" s="2864"/>
      <c r="H12" s="2864"/>
      <c r="I12" s="2864"/>
      <c r="J12" s="2864"/>
    </row>
    <row r="13" spans="1:10">
      <c r="A13" s="2864"/>
      <c r="B13" s="2864"/>
      <c r="C13" s="2864"/>
      <c r="D13" s="2864"/>
      <c r="E13" s="2864"/>
      <c r="F13" s="2864"/>
      <c r="G13" s="2864"/>
      <c r="H13" s="2864"/>
      <c r="I13" s="2864"/>
      <c r="J13" s="2864"/>
    </row>
    <row r="14" spans="1:10">
      <c r="A14" s="2864"/>
      <c r="B14" s="2864"/>
      <c r="C14" s="2864"/>
      <c r="D14" s="2864"/>
      <c r="E14" s="2864"/>
      <c r="F14" s="2864"/>
      <c r="G14" s="2864"/>
      <c r="H14" s="2864"/>
      <c r="I14" s="2864"/>
      <c r="J14" s="2864"/>
    </row>
    <row r="15" spans="1:10">
      <c r="A15" s="2864"/>
      <c r="B15" s="2864"/>
      <c r="C15" s="2864"/>
      <c r="D15" s="2864"/>
      <c r="E15" s="2864"/>
      <c r="F15" s="2864"/>
      <c r="G15" s="2864"/>
      <c r="H15" s="2864"/>
      <c r="I15" s="2864"/>
      <c r="J15" s="2864"/>
    </row>
    <row r="16" spans="1:10">
      <c r="A16" s="2864"/>
      <c r="B16" s="2864"/>
      <c r="C16" s="2864"/>
      <c r="D16" s="2864"/>
      <c r="E16" s="2864"/>
      <c r="F16" s="2864"/>
      <c r="G16" s="2864"/>
      <c r="H16" s="2864"/>
      <c r="I16" s="2864"/>
      <c r="J16" s="2864"/>
    </row>
    <row r="17" spans="1:10">
      <c r="A17" s="2864"/>
      <c r="B17" s="2864"/>
      <c r="C17" s="2864"/>
      <c r="D17" s="2864"/>
      <c r="E17" s="2864"/>
      <c r="F17" s="2864"/>
      <c r="G17" s="2864"/>
      <c r="H17" s="2864"/>
      <c r="I17" s="2864"/>
      <c r="J17" s="2864"/>
    </row>
    <row r="18" spans="1:10">
      <c r="A18" s="2864"/>
      <c r="B18" s="2864"/>
      <c r="C18" s="2864"/>
      <c r="D18" s="2864"/>
      <c r="E18" s="2864"/>
      <c r="F18" s="2864"/>
      <c r="G18" s="2864"/>
      <c r="H18" s="2864"/>
      <c r="I18" s="2864"/>
      <c r="J18" s="2864"/>
    </row>
    <row r="19" spans="1:10">
      <c r="A19" s="2864"/>
      <c r="B19" s="2864"/>
      <c r="C19" s="2864"/>
      <c r="D19" s="2864"/>
      <c r="E19" s="2864"/>
      <c r="F19" s="2864"/>
      <c r="G19" s="2864"/>
      <c r="H19" s="2864"/>
      <c r="I19" s="2864"/>
      <c r="J19" s="2864"/>
    </row>
    <row r="20" spans="1:10">
      <c r="A20" s="2864"/>
      <c r="B20" s="2864"/>
      <c r="C20" s="2864"/>
      <c r="D20" s="2864"/>
      <c r="E20" s="2864"/>
      <c r="F20" s="2864"/>
      <c r="G20" s="2864"/>
      <c r="H20" s="2864"/>
      <c r="I20" s="2864"/>
      <c r="J20" s="2864"/>
    </row>
    <row r="21" spans="1:10">
      <c r="A21" s="2864"/>
      <c r="B21" s="2864"/>
      <c r="C21" s="2864"/>
      <c r="D21" s="2864"/>
      <c r="E21" s="2864"/>
      <c r="F21" s="2864"/>
      <c r="G21" s="2864"/>
      <c r="H21" s="2864"/>
      <c r="I21" s="2864"/>
      <c r="J21" s="2864"/>
    </row>
    <row r="22" spans="1:10">
      <c r="A22" s="2864"/>
      <c r="B22" s="2864"/>
      <c r="C22" s="2864"/>
      <c r="D22" s="2864"/>
      <c r="E22" s="2864"/>
      <c r="F22" s="2864"/>
      <c r="G22" s="2864"/>
      <c r="H22" s="2864"/>
      <c r="I22" s="2864"/>
      <c r="J22" s="2864"/>
    </row>
    <row r="23" spans="1:10">
      <c r="A23" s="2864"/>
      <c r="B23" s="2864"/>
      <c r="C23" s="2864"/>
      <c r="D23" s="2864"/>
      <c r="E23" s="2864"/>
      <c r="F23" s="2864"/>
      <c r="G23" s="2864"/>
      <c r="H23" s="2864"/>
      <c r="I23" s="2864"/>
      <c r="J23" s="2864"/>
    </row>
    <row r="24" spans="1:10">
      <c r="A24" s="2864"/>
      <c r="B24" s="2864"/>
      <c r="C24" s="2864"/>
      <c r="D24" s="2864"/>
      <c r="E24" s="2864"/>
      <c r="F24" s="2864"/>
      <c r="G24" s="2864"/>
      <c r="H24" s="2864"/>
      <c r="I24" s="2864"/>
      <c r="J24" s="2864"/>
    </row>
    <row r="25" spans="1:10">
      <c r="A25" s="2864"/>
      <c r="B25" s="2864"/>
      <c r="C25" s="2864"/>
      <c r="D25" s="2864"/>
      <c r="E25" s="2864"/>
      <c r="F25" s="2864"/>
      <c r="G25" s="2864"/>
      <c r="H25" s="2864"/>
      <c r="I25" s="2864"/>
      <c r="J25" s="2864"/>
    </row>
    <row r="26" spans="1:10">
      <c r="A26" s="2864"/>
      <c r="B26" s="2864"/>
      <c r="C26" s="2864"/>
      <c r="D26" s="2864"/>
      <c r="E26" s="2864"/>
      <c r="F26" s="2864"/>
      <c r="G26" s="2864"/>
      <c r="H26" s="2864"/>
      <c r="I26" s="2864"/>
      <c r="J26" s="2864"/>
    </row>
    <row r="27" spans="1:10">
      <c r="A27" s="2864"/>
      <c r="B27" s="2864"/>
      <c r="C27" s="2864"/>
      <c r="D27" s="2864"/>
      <c r="E27" s="2864"/>
      <c r="F27" s="2864"/>
      <c r="G27" s="2864"/>
      <c r="H27" s="2864"/>
      <c r="I27" s="2864"/>
      <c r="J27" s="2864"/>
    </row>
    <row r="28" spans="1:10">
      <c r="A28" s="2864"/>
      <c r="B28" s="2864"/>
      <c r="C28" s="2864"/>
      <c r="D28" s="2864"/>
      <c r="E28" s="2864"/>
      <c r="F28" s="2864"/>
      <c r="G28" s="2864"/>
      <c r="H28" s="2864"/>
      <c r="I28" s="2864"/>
      <c r="J28" s="2864"/>
    </row>
    <row r="29" spans="1:10">
      <c r="A29" s="2864"/>
      <c r="B29" s="2864"/>
      <c r="C29" s="2864"/>
      <c r="D29" s="2864"/>
      <c r="E29" s="2864"/>
      <c r="F29" s="2864"/>
      <c r="G29" s="2864"/>
      <c r="H29" s="2864"/>
      <c r="I29" s="2864"/>
      <c r="J29" s="2864"/>
    </row>
    <row r="30" spans="1:10">
      <c r="A30" s="2864"/>
      <c r="B30" s="2864"/>
      <c r="C30" s="2864"/>
      <c r="D30" s="2864"/>
      <c r="E30" s="2864"/>
      <c r="F30" s="2864"/>
      <c r="G30" s="2864"/>
      <c r="H30" s="2864"/>
      <c r="I30" s="2864"/>
      <c r="J30" s="2864"/>
    </row>
    <row r="31" spans="1:10">
      <c r="A31" s="2864"/>
      <c r="B31" s="2864"/>
      <c r="C31" s="2864"/>
      <c r="D31" s="2864"/>
      <c r="E31" s="2864"/>
      <c r="F31" s="2864"/>
      <c r="G31" s="2864"/>
      <c r="H31" s="2864"/>
      <c r="I31" s="2864"/>
      <c r="J31" s="286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3" customWidth="1"/>
    <col min="2" max="16384" width="14.5" style="1131"/>
  </cols>
  <sheetData>
    <row r="1" spans="1:7" s="1129" customFormat="1" ht="18.75">
      <c r="A1" s="1128" t="s">
        <v>575</v>
      </c>
    </row>
    <row r="3" spans="1:7">
      <c r="A3" s="1130" t="s">
        <v>548</v>
      </c>
      <c r="B3" s="1131" t="s">
        <v>549</v>
      </c>
      <c r="G3" s="1132"/>
    </row>
    <row r="4" spans="1:7">
      <c r="G4" s="1132"/>
    </row>
    <row r="5" spans="1:7">
      <c r="A5" s="1134" t="s">
        <v>539</v>
      </c>
      <c r="B5" s="1131" t="s">
        <v>550</v>
      </c>
      <c r="G5" s="1132"/>
    </row>
    <row r="6" spans="1:7">
      <c r="G6" s="1132"/>
    </row>
    <row r="7" spans="1:7">
      <c r="A7" s="1135" t="s">
        <v>1127</v>
      </c>
      <c r="B7" s="1131" t="s">
        <v>551</v>
      </c>
      <c r="G7" s="1132"/>
    </row>
    <row r="8" spans="1:7">
      <c r="G8" s="1132"/>
    </row>
    <row r="9" spans="1:7">
      <c r="A9" s="1136" t="s">
        <v>540</v>
      </c>
      <c r="B9" s="1131" t="s">
        <v>552</v>
      </c>
    </row>
    <row r="11" spans="1:7">
      <c r="A11" s="1137" t="s">
        <v>541</v>
      </c>
      <c r="B11" s="1138" t="s">
        <v>538</v>
      </c>
    </row>
    <row r="13" spans="1:7">
      <c r="A13" s="1139" t="s">
        <v>553</v>
      </c>
    </row>
    <row r="15" spans="1:7" ht="13.5">
      <c r="A15" s="3423" t="s">
        <v>554</v>
      </c>
      <c r="B15" s="3418" t="s">
        <v>1128</v>
      </c>
      <c r="C15" s="3419"/>
    </row>
    <row r="16" spans="1:7" ht="13.5">
      <c r="A16" s="3424"/>
      <c r="B16" s="3418" t="s">
        <v>527</v>
      </c>
      <c r="C16" s="3419"/>
    </row>
    <row r="17" spans="1:3" ht="13.5">
      <c r="A17" s="3424"/>
      <c r="B17" s="3421" t="s">
        <v>555</v>
      </c>
      <c r="C17" s="1140" t="s">
        <v>554</v>
      </c>
    </row>
    <row r="18" spans="1:3" ht="13.5">
      <c r="A18" s="3424"/>
      <c r="B18" s="3421"/>
      <c r="C18" s="1140" t="s">
        <v>556</v>
      </c>
    </row>
    <row r="19" spans="1:3" ht="13.5">
      <c r="A19" s="3424"/>
      <c r="B19" s="3421"/>
      <c r="C19" s="1140" t="s">
        <v>557</v>
      </c>
    </row>
    <row r="20" spans="1:3" ht="13.5">
      <c r="A20" s="3425"/>
      <c r="B20" s="3420" t="s">
        <v>558</v>
      </c>
      <c r="C20" s="3419"/>
    </row>
    <row r="21" spans="1:3" ht="13.5">
      <c r="A21" s="1141" t="s">
        <v>559</v>
      </c>
      <c r="B21" s="1142"/>
      <c r="C21" s="1143"/>
    </row>
    <row r="22" spans="1:3" ht="13.5">
      <c r="A22" s="3422" t="s">
        <v>560</v>
      </c>
      <c r="B22" s="3420" t="s">
        <v>561</v>
      </c>
      <c r="C22" s="3419"/>
    </row>
    <row r="23" spans="1:3" ht="13.5">
      <c r="A23" s="3422"/>
      <c r="B23" s="3420" t="s">
        <v>562</v>
      </c>
      <c r="C23" s="3419"/>
    </row>
    <row r="24" spans="1:3" ht="13.5">
      <c r="A24" s="3422"/>
      <c r="B24" s="3420" t="s">
        <v>563</v>
      </c>
      <c r="C24" s="3419"/>
    </row>
    <row r="25" spans="1:3" ht="13.5">
      <c r="A25" s="3422"/>
      <c r="B25" s="3421" t="s">
        <v>564</v>
      </c>
      <c r="C25" s="1140" t="s">
        <v>565</v>
      </c>
    </row>
    <row r="26" spans="1:3" ht="13.5">
      <c r="A26" s="3422"/>
      <c r="B26" s="3421"/>
      <c r="C26" s="1140" t="s">
        <v>566</v>
      </c>
    </row>
    <row r="27" spans="1:3" ht="13.5">
      <c r="A27" s="3422"/>
      <c r="B27" s="3421"/>
      <c r="C27" s="1140" t="s">
        <v>567</v>
      </c>
    </row>
    <row r="28" spans="1:3" ht="13.5">
      <c r="A28" s="3422"/>
      <c r="B28" s="3421"/>
      <c r="C28" s="1140" t="s">
        <v>568</v>
      </c>
    </row>
    <row r="29" spans="1:3" ht="13.5">
      <c r="A29" s="3422"/>
      <c r="B29" s="3421"/>
      <c r="C29" s="1140" t="s">
        <v>569</v>
      </c>
    </row>
    <row r="30" spans="1:3" ht="13.5">
      <c r="A30" s="3422"/>
      <c r="B30" s="3421"/>
      <c r="C30" s="1140" t="s">
        <v>570</v>
      </c>
    </row>
    <row r="31" spans="1:3" ht="13.5">
      <c r="A31" s="3422"/>
      <c r="B31" s="3421"/>
      <c r="C31" s="1140" t="s">
        <v>571</v>
      </c>
    </row>
    <row r="32" spans="1:3" ht="13.5">
      <c r="A32" s="3422"/>
      <c r="B32" s="3421"/>
      <c r="C32" s="1140" t="s">
        <v>572</v>
      </c>
    </row>
    <row r="33" spans="1:3" ht="13.5">
      <c r="A33" s="3422"/>
      <c r="B33" s="3421"/>
      <c r="C33" s="1140" t="s">
        <v>573</v>
      </c>
    </row>
    <row r="34" spans="1:3">
      <c r="A34" s="1144" t="s">
        <v>542</v>
      </c>
    </row>
    <row r="37" spans="1:3">
      <c r="A37" s="1144" t="s">
        <v>574</v>
      </c>
    </row>
    <row r="38" spans="1:3" ht="13.5">
      <c r="A38" s="1145" t="s">
        <v>543</v>
      </c>
    </row>
    <row r="39" spans="1:3" ht="13.5">
      <c r="A39" s="1145" t="s">
        <v>544</v>
      </c>
    </row>
    <row r="40" spans="1:3" ht="13.5">
      <c r="A40" s="1145" t="s">
        <v>545</v>
      </c>
    </row>
    <row r="41" spans="1:3" ht="13.5">
      <c r="A41" s="1146" t="s">
        <v>546</v>
      </c>
    </row>
    <row r="42" spans="1:3" ht="13.5">
      <c r="A42" s="1145"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71"/>
    <col min="3" max="3" width="23.625" style="1871" bestFit="1" customWidth="1"/>
    <col min="4" max="5" width="22.625" style="1871"/>
    <col min="6" max="6" width="25.625" style="1871" customWidth="1"/>
    <col min="7" max="16384" width="22.625" style="1871"/>
  </cols>
  <sheetData>
    <row r="2" spans="1:6" ht="24" customHeight="1">
      <c r="A2" s="1873" t="s">
        <v>1962</v>
      </c>
      <c r="B2" s="1874">
        <f ca="1">TODAY()</f>
        <v>43007</v>
      </c>
      <c r="C2" s="1875" t="s">
        <v>1963</v>
      </c>
      <c r="D2" s="1875"/>
    </row>
    <row r="3" spans="1:6" ht="24" customHeight="1">
      <c r="A3" s="1876" t="s">
        <v>1964</v>
      </c>
      <c r="B3" s="1877" t="s">
        <v>1965</v>
      </c>
      <c r="C3" s="1877" t="s">
        <v>1966</v>
      </c>
      <c r="D3" s="1878" t="s">
        <v>1967</v>
      </c>
      <c r="E3" s="1879" t="s">
        <v>1968</v>
      </c>
      <c r="F3" s="1877" t="s">
        <v>1966</v>
      </c>
    </row>
    <row r="4" spans="1:6" ht="24" customHeight="1">
      <c r="A4" s="3186" t="s">
        <v>1969</v>
      </c>
      <c r="B4" s="1879">
        <f ca="1">IF(C4&lt;B2,"已过期",1119970066)</f>
        <v>1119970066</v>
      </c>
      <c r="C4" s="3187">
        <v>43849</v>
      </c>
      <c r="D4" s="3186" t="s">
        <v>1969</v>
      </c>
      <c r="E4" s="1879">
        <f ca="1">IF(F4&lt;B2,"已过期",96010014)</f>
        <v>96010014</v>
      </c>
      <c r="F4" s="1888">
        <v>47118</v>
      </c>
    </row>
    <row r="5" spans="1:6" ht="24" customHeight="1">
      <c r="A5" s="3186" t="s">
        <v>1970</v>
      </c>
      <c r="B5" s="1879">
        <f ca="1">IF(C5&lt;B2,"已过期",1119970074)</f>
        <v>1119970074</v>
      </c>
      <c r="C5" s="3187">
        <v>43849</v>
      </c>
      <c r="D5" s="3186" t="s">
        <v>1970</v>
      </c>
      <c r="E5" s="1879">
        <f ca="1">IF(F5&lt;B2,"已过期",2002110027)</f>
        <v>2002110027</v>
      </c>
      <c r="F5" s="1888">
        <v>46752</v>
      </c>
    </row>
    <row r="6" spans="1:6" ht="24" customHeight="1">
      <c r="A6" s="3186" t="s">
        <v>1971</v>
      </c>
      <c r="B6" s="1879">
        <f ca="1">IF(C6&lt;B2,"已过期",1119970111)</f>
        <v>1119970111</v>
      </c>
      <c r="C6" s="3187">
        <v>43849</v>
      </c>
      <c r="D6" s="3186" t="s">
        <v>1971</v>
      </c>
      <c r="E6" s="1879">
        <f ca="1">IF(F6&lt;B2,"已过期",94010078)</f>
        <v>94010078</v>
      </c>
      <c r="F6" s="1888">
        <v>46387</v>
      </c>
    </row>
    <row r="7" spans="1:6" ht="24" customHeight="1">
      <c r="A7" s="3186" t="s">
        <v>1972</v>
      </c>
      <c r="B7" s="1879">
        <f ca="1">IF(C7&lt;B2,"已过期",1120050019)</f>
        <v>1120050019</v>
      </c>
      <c r="C7" s="3187">
        <v>43359</v>
      </c>
      <c r="D7" s="3186" t="s">
        <v>1972</v>
      </c>
      <c r="E7" s="1879">
        <f ca="1">IF(F7&lt;B2,"已过期",2002110030)</f>
        <v>2002110030</v>
      </c>
      <c r="F7" s="1888">
        <v>46387</v>
      </c>
    </row>
    <row r="8" spans="1:6" ht="24" customHeight="1">
      <c r="A8" s="3186" t="s">
        <v>1973</v>
      </c>
      <c r="B8" s="1879">
        <f ca="1">IF(C8&lt;B2,"已过期",1120000080)</f>
        <v>1120000080</v>
      </c>
      <c r="C8" s="3187">
        <v>43849</v>
      </c>
      <c r="D8" s="3186" t="s">
        <v>1973</v>
      </c>
      <c r="E8" s="1879">
        <f ca="1">IF(F8&lt;B2,"已过期",2000110082)</f>
        <v>2000110082</v>
      </c>
      <c r="F8" s="1888">
        <v>46387</v>
      </c>
    </row>
    <row r="9" spans="1:6" ht="24" customHeight="1">
      <c r="A9" s="3186" t="s">
        <v>1974</v>
      </c>
      <c r="B9" s="1879">
        <f ca="1">IF(C9&lt;B2,"已过期",1419970001)</f>
        <v>1419970001</v>
      </c>
      <c r="C9" s="3187">
        <v>43867</v>
      </c>
      <c r="D9" s="3186" t="s">
        <v>1974</v>
      </c>
      <c r="E9" s="1879">
        <f ca="1">IF(F9&lt;B2,"已过期",2002110125)</f>
        <v>2002110125</v>
      </c>
      <c r="F9" s="1888">
        <v>47118</v>
      </c>
    </row>
    <row r="10" spans="1:6" ht="24" customHeight="1">
      <c r="A10" s="3186" t="s">
        <v>1975</v>
      </c>
      <c r="B10" s="1879">
        <f ca="1">IF(C10&lt;B2,"已过期",1120060040)</f>
        <v>1120060040</v>
      </c>
      <c r="C10" s="3187">
        <v>43483</v>
      </c>
      <c r="D10" s="3186" t="s">
        <v>1975</v>
      </c>
      <c r="E10" s="1879">
        <f ca="1">IF(F10&lt;B2,"已过期",2004110096)</f>
        <v>2004110096</v>
      </c>
      <c r="F10" s="1888">
        <v>47118</v>
      </c>
    </row>
    <row r="11" spans="1:6" ht="24" customHeight="1">
      <c r="A11" s="3186" t="s">
        <v>1976</v>
      </c>
      <c r="B11" s="1879">
        <f ca="1">IF(C11&lt;B2,"已过期",1120100036)</f>
        <v>1120100036</v>
      </c>
      <c r="C11" s="3187">
        <v>43622</v>
      </c>
      <c r="D11" s="3186" t="s">
        <v>1976</v>
      </c>
      <c r="E11" s="1879">
        <f ca="1">IF(F11&lt;B2,"已过期",2010110070)</f>
        <v>2010110070</v>
      </c>
      <c r="F11" s="1888">
        <v>47907</v>
      </c>
    </row>
    <row r="12" spans="1:6" ht="24" customHeight="1">
      <c r="A12" s="3186"/>
      <c r="B12" s="1879"/>
      <c r="C12" s="3187"/>
      <c r="D12" s="3186"/>
      <c r="E12" s="1879"/>
      <c r="F12" s="1879"/>
    </row>
    <row r="13" spans="1:6" ht="24" customHeight="1">
      <c r="A13" s="3186" t="s">
        <v>1977</v>
      </c>
      <c r="B13" s="1879">
        <f ca="1">IF(C13&lt;B2,"已过期",1120070131)</f>
        <v>1120070131</v>
      </c>
      <c r="C13" s="3187">
        <v>43814</v>
      </c>
      <c r="D13" s="3186" t="s">
        <v>1977</v>
      </c>
      <c r="E13" s="1879">
        <v>2014110011</v>
      </c>
      <c r="F13" s="1888">
        <v>49302</v>
      </c>
    </row>
    <row r="14" spans="1:6" ht="24" customHeight="1">
      <c r="A14" s="3186" t="s">
        <v>1978</v>
      </c>
      <c r="B14" s="1879">
        <f ca="1">IF(C14&lt;B2,"已过期",1120130020)</f>
        <v>1120130020</v>
      </c>
      <c r="C14" s="3187">
        <v>43622</v>
      </c>
      <c r="D14" s="3186"/>
      <c r="E14" s="1879"/>
      <c r="F14" s="1879"/>
    </row>
    <row r="15" spans="1:6" ht="24" customHeight="1">
      <c r="A15" s="3188" t="s">
        <v>2697</v>
      </c>
      <c r="B15" s="1879">
        <v>1120070085</v>
      </c>
      <c r="C15" s="3187">
        <v>43814</v>
      </c>
      <c r="D15" s="3188" t="s">
        <v>2697</v>
      </c>
      <c r="E15" s="1879">
        <v>2004110128</v>
      </c>
      <c r="F15" s="1880">
        <v>47118</v>
      </c>
    </row>
    <row r="16" spans="1:6" ht="24" customHeight="1">
      <c r="A16" s="3186" t="s">
        <v>1979</v>
      </c>
      <c r="B16" s="1879">
        <f ca="1">IF(C16&lt;B2,"已过期",1120140022)</f>
        <v>1120140022</v>
      </c>
      <c r="C16" s="3187">
        <v>44029</v>
      </c>
      <c r="D16" s="3186" t="s">
        <v>1979</v>
      </c>
      <c r="E16" s="1879">
        <f ca="1">IF(F16&lt;B2,"已过期",2008110059)</f>
        <v>2008110059</v>
      </c>
      <c r="F16" s="1888">
        <v>47177</v>
      </c>
    </row>
    <row r="17" spans="1:7" ht="24" customHeight="1">
      <c r="A17" s="3186"/>
      <c r="B17" s="1879"/>
      <c r="C17" s="3187"/>
      <c r="D17" s="3186"/>
      <c r="E17" s="1879"/>
      <c r="F17" s="1888"/>
    </row>
    <row r="18" spans="1:7" ht="24" customHeight="1">
      <c r="A18" s="3186"/>
      <c r="B18" s="1879"/>
      <c r="C18" s="3187"/>
      <c r="D18" s="3186"/>
      <c r="E18" s="1879"/>
      <c r="F18" s="1888"/>
    </row>
    <row r="19" spans="1:7" ht="24" customHeight="1">
      <c r="A19" s="3186"/>
      <c r="B19" s="1879"/>
      <c r="C19" s="3187"/>
      <c r="D19" s="3186"/>
      <c r="E19" s="1879"/>
      <c r="F19" s="1879"/>
    </row>
    <row r="20" spans="1:7" ht="24" customHeight="1">
      <c r="A20" s="3186"/>
      <c r="B20" s="1879"/>
      <c r="C20" s="3187"/>
      <c r="D20" s="3186"/>
      <c r="E20" s="1879"/>
      <c r="F20" s="1879"/>
    </row>
    <row r="21" spans="1:7" ht="24" customHeight="1">
      <c r="A21" s="3186"/>
      <c r="B21" s="1879"/>
      <c r="C21" s="3187"/>
      <c r="D21" s="3186" t="s">
        <v>1980</v>
      </c>
      <c r="E21" s="1879">
        <f ca="1">IF(F21&lt;B2,"已过期",2011110090)</f>
        <v>2011110090</v>
      </c>
      <c r="F21" s="1888">
        <v>48302</v>
      </c>
    </row>
    <row r="22" spans="1:7" ht="24" customHeight="1">
      <c r="A22" s="3186" t="s">
        <v>1981</v>
      </c>
      <c r="B22" s="1879">
        <f ca="1">IF(C22&lt;B2,"已过期",1120020033)</f>
        <v>1120020033</v>
      </c>
      <c r="C22" s="3187">
        <v>43304</v>
      </c>
      <c r="D22" s="3186" t="s">
        <v>1981</v>
      </c>
      <c r="E22" s="1879">
        <f ca="1">IF(F22&lt;B2,"已过期",2000110137)</f>
        <v>2000110137</v>
      </c>
      <c r="F22" s="1888">
        <v>46387</v>
      </c>
    </row>
    <row r="23" spans="1:7" ht="24" customHeight="1">
      <c r="A23" s="3186" t="s">
        <v>1982</v>
      </c>
      <c r="B23" s="1879">
        <f ca="1">IF(C23&lt;B2,"已过期",1120130048)</f>
        <v>1120130048</v>
      </c>
      <c r="C23" s="3187">
        <v>43686</v>
      </c>
      <c r="D23" s="3186"/>
      <c r="E23" s="1879"/>
      <c r="F23" s="1879"/>
    </row>
    <row r="24" spans="1:7" s="1881" customFormat="1" ht="24" customHeight="1">
      <c r="A24" s="3188" t="s">
        <v>2931</v>
      </c>
      <c r="B24" s="3188" t="s">
        <v>2931</v>
      </c>
      <c r="C24" s="3188" t="s">
        <v>2931</v>
      </c>
      <c r="D24" s="3188" t="s">
        <v>2931</v>
      </c>
      <c r="E24" s="3188" t="s">
        <v>2931</v>
      </c>
      <c r="F24" s="3188" t="s">
        <v>2931</v>
      </c>
    </row>
    <row r="25" spans="1:7" ht="24" customHeight="1">
      <c r="A25" s="3426" t="s">
        <v>1983</v>
      </c>
      <c r="B25" s="3426"/>
      <c r="C25" s="3426"/>
      <c r="D25" s="3426"/>
      <c r="E25" s="3426"/>
      <c r="F25" s="3426"/>
      <c r="G25" s="3426"/>
    </row>
    <row r="26" spans="1:7" s="1883" customFormat="1" ht="24" customHeight="1">
      <c r="A26" s="3427" t="s">
        <v>1984</v>
      </c>
      <c r="B26" s="3427"/>
      <c r="C26" s="3427"/>
      <c r="D26" s="1882"/>
      <c r="E26" s="3427" t="s">
        <v>1985</v>
      </c>
      <c r="F26" s="3427"/>
      <c r="G26" s="3427"/>
    </row>
    <row r="27" spans="1:7" s="1885" customFormat="1" ht="24" customHeight="1">
      <c r="A27" s="1884" t="s">
        <v>1986</v>
      </c>
      <c r="B27" s="1877" t="s">
        <v>1987</v>
      </c>
      <c r="C27" s="1877" t="s">
        <v>1988</v>
      </c>
      <c r="D27" s="1877"/>
      <c r="E27" s="1879" t="s">
        <v>1986</v>
      </c>
      <c r="F27" s="1877" t="s">
        <v>1987</v>
      </c>
      <c r="G27" s="1877" t="s">
        <v>1988</v>
      </c>
    </row>
    <row r="28" spans="1:7" s="1885" customFormat="1" ht="24" customHeight="1">
      <c r="A28" s="1886" t="s">
        <v>1989</v>
      </c>
      <c r="B28" s="1887" t="s">
        <v>1990</v>
      </c>
      <c r="C28" s="1888">
        <v>43725</v>
      </c>
      <c r="D28" s="1888"/>
      <c r="E28" s="1886" t="s">
        <v>1991</v>
      </c>
      <c r="F28" s="1886" t="s">
        <v>1992</v>
      </c>
      <c r="G28" s="2094">
        <v>44377</v>
      </c>
    </row>
    <row r="29" spans="1:7" s="1885" customFormat="1" ht="24" customHeight="1">
      <c r="A29" s="1886"/>
      <c r="B29" s="1886"/>
      <c r="C29" s="1889"/>
      <c r="D29" s="1889"/>
      <c r="E29" s="1886" t="s">
        <v>1993</v>
      </c>
      <c r="F29" s="2420" t="s">
        <v>3039</v>
      </c>
      <c r="G29" s="2421">
        <v>43281</v>
      </c>
    </row>
    <row r="30" spans="1:7" ht="24" customHeight="1">
      <c r="C30" s="1890"/>
      <c r="D30" s="1890"/>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'收益法 (元)'!Print_Area</vt:lpstr>
      <vt:lpstr>'收益法-办公'!Print_Area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2017-09-29T06:20:47Z</dcterms:modified>
</cp:coreProperties>
</file>