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080" yWindow="90" windowWidth="15720" windowHeight="1246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比较法-商业" sheetId="33"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租金表" sheetId="84" r:id="rId35"/>
    <sheet name="收益法倒推-商业" sheetId="81"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成本法 (元)" sheetId="69" state="hidden" r:id="rId46"/>
    <sheet name="基准地价修正" sheetId="43" state="hidden" r:id="rId47"/>
    <sheet name="比较法-商业售价" sheetId="85" state="hidden" r:id="rId48"/>
    <sheet name="商业案例" sheetId="83" state="hidden" r:id="rId49"/>
  </sheets>
  <externalReferences>
    <externalReference r:id="rId50"/>
    <externalReference r:id="rId51"/>
    <externalReference r:id="rId52"/>
    <externalReference r:id="rId53"/>
    <externalReference r:id="rId54"/>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9" hidden="1">'比较法-商业'!$A$1:$L$49</definedName>
    <definedName name="_xlnm._FilterDatabase" localSheetId="47" hidden="1">'比较法-商业售价'!$A$1:$L$49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9">'比较法-商业'!$A$1:$K$54,'比较法-商业'!$A$57:$M$131</definedName>
    <definedName name="_xlnm.Print_Area" localSheetId="47">'比较法-商业售价'!$A$1:$K$54,'比较法-商业售价'!$A$57:$M$131</definedName>
    <definedName name="_xlnm.Print_Area" localSheetId="25">'比较法-住宅'!$A$1:$K$54,'比较法-住宅'!$A$57:$M$131</definedName>
    <definedName name="_xlnm.Print_Area" localSheetId="18">成本法!$A$1:$G$57</definedName>
    <definedName name="_xlnm.Print_Area" localSheetId="4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5">'收益法倒推-商业'!$A$1:$I$42</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8">'[1]租金比较法-商业'!$B$119:$M$119</definedName>
    <definedName name="办公层高" localSheetId="35">'[2]比较法-办公'!$B$119:$M$119</definedName>
    <definedName name="办公层高">'比较法-办公'!$B$119:$M$119</definedName>
    <definedName name="办公朝向" localSheetId="48">'[1]租金比较法-商业'!$B$91:$M$91</definedName>
    <definedName name="办公朝向" localSheetId="35">'[2]比较法-办公'!$B$91:$M$91</definedName>
    <definedName name="办公朝向">'比较法-办公'!$B$91:$M$91</definedName>
    <definedName name="办公道路级别" localSheetId="48">'[1]租金比较法-商业'!$B$87:$M$87</definedName>
    <definedName name="办公道路级别" localSheetId="35">'[2]比较法-办公'!$B$87:$M$87</definedName>
    <definedName name="办公道路级别">'比较法-办公'!$B$87:$M$87</definedName>
    <definedName name="办公公共部分装修" localSheetId="48">'[1]租金比较法-商业'!$B$108:$M$108</definedName>
    <definedName name="办公公共部分装修" localSheetId="35">'[2]比较法-办公'!$B$108:$M$108</definedName>
    <definedName name="办公公共部分装修">'比较法-办公'!$B$108:$M$108</definedName>
    <definedName name="办公基础设施水平" localSheetId="48">'[1]租金比较法-商业'!$B$117:$M$117</definedName>
    <definedName name="办公基础设施水平" localSheetId="35">'[2]比较法-办公'!$B$117:$M$117</definedName>
    <definedName name="办公基础设施水平">'比较法-办公'!$B$117:$M$117</definedName>
    <definedName name="办公集聚程度" localSheetId="48">[1]定义!$M$1:$M$6</definedName>
    <definedName name="办公集聚程度" localSheetId="35">[2]定义!$M$1:$M$6</definedName>
    <definedName name="办公集聚程度">定义!$M$1:$M$6</definedName>
    <definedName name="办公建筑结构" localSheetId="48">'[1]租金比较法-商业'!$B$106:$M$106</definedName>
    <definedName name="办公建筑结构" localSheetId="35">'[2]比较法-办公'!$B$106:$M$106</definedName>
    <definedName name="办公建筑结构">'比较法-办公'!$B$106:$M$106</definedName>
    <definedName name="办公建筑类型" localSheetId="48">'[1]租金比较法-商业'!$B$101:$M$101</definedName>
    <definedName name="办公建筑类型" localSheetId="35">'[2]比较法-办公'!$B$101:$M$101</definedName>
    <definedName name="办公建筑类型">'比较法-办公'!$B$101:$M$101</definedName>
    <definedName name="办公交易情况" localSheetId="48">'[1]租金比较法-商业'!$A$62:$M$62</definedName>
    <definedName name="办公交易情况" localSheetId="35">'[2]比较法-办公'!$A$62:$M$62</definedName>
    <definedName name="办公交易情况">'比较法-办公'!$A$62:$M$62</definedName>
    <definedName name="办公楼层" localSheetId="48">'[1]租金比较法-商业'!$B$89:$M$89</definedName>
    <definedName name="办公楼层" localSheetId="35">'[2]比较法-办公'!$B$89:$M$89</definedName>
    <definedName name="办公楼层">'比较法-办公'!$B$89:$M$89</definedName>
    <definedName name="办公内部装修" localSheetId="48">'[1]租金比较法-商业'!$B$123:$M$123</definedName>
    <definedName name="办公内部装修" localSheetId="35">'[2]比较法-办公'!$B$123:$M$123</definedName>
    <definedName name="办公内部装修">'比较法-办公'!$B$123:$M$123</definedName>
    <definedName name="办公物业管理" localSheetId="48">'[1]租金比较法-商业'!$B$115:$M$115</definedName>
    <definedName name="办公物业管理" localSheetId="35">'[2]比较法-办公'!$B$115:$M$115</definedName>
    <definedName name="办公物业管理">'比较法-办公'!$B$115:$M$115</definedName>
    <definedName name="办公用途" localSheetId="48">'[1]租金比较法-商业'!$B$64:$M$64</definedName>
    <definedName name="办公用途" localSheetId="35">'[2]比较法-办公'!$B$64:$M$64</definedName>
    <definedName name="办公用途">'比较法-办公'!$B$64:$M$64</definedName>
    <definedName name="仓储公共部分装修" localSheetId="48">'[1]比较法-仓储'!$B$77:$M$77</definedName>
    <definedName name="仓储公共部分装修" localSheetId="35">'[2]比较法-仓储'!$B$77:$M$77</definedName>
    <definedName name="仓储公共部分装修">'比较法-仓储'!$B$77:$M$77</definedName>
    <definedName name="仓储交易情况" localSheetId="48">'[1]比较法-仓储'!$A$49:$M$49</definedName>
    <definedName name="仓储交易情况" localSheetId="35">'[2]比较法-仓储'!$A$49:$M$49</definedName>
    <definedName name="仓储交易情况">'比较法-仓储'!$A$49:$M$49</definedName>
    <definedName name="仓储楼层" localSheetId="48">'[1]比较法-仓储'!$B$69:$M$69</definedName>
    <definedName name="仓储楼层" localSheetId="35">'[2]比较法-仓储'!$B$69:$M$69</definedName>
    <definedName name="仓储楼层">'比较法-仓储'!$B$69:$M$69</definedName>
    <definedName name="仓储物业等级" localSheetId="48">'[1]比较法-仓储'!$B$82:$M$82</definedName>
    <definedName name="仓储物业等级" localSheetId="35">'[2]比较法-仓储'!$B$82:$M$82</definedName>
    <definedName name="仓储物业等级">'比较法-仓储'!$B$82:$M$82</definedName>
    <definedName name="仓储用途" localSheetId="48">'[1]比较法-仓储'!$B$51:$M$51</definedName>
    <definedName name="仓储用途" localSheetId="35">'[2]比较法-仓储'!$B$51:$M$51</definedName>
    <definedName name="仓储用途">'比较法-仓储'!$B$51:$M$51</definedName>
    <definedName name="产业集聚程度" localSheetId="48">[1]定义!$N$1:$N$6</definedName>
    <definedName name="产业集聚程度" localSheetId="35">[2]定义!$N$1:$N$6</definedName>
    <definedName name="产业集聚程度">定义!$N$1:$N$6</definedName>
    <definedName name="车位公共部分装修" localSheetId="48">'[1]比较法-车位'!$B$83:$M$83</definedName>
    <definedName name="车位公共部分装修" localSheetId="35">'[2]比较法-车位'!$B$83:$M$83</definedName>
    <definedName name="车位公共部分装修">'比较法-车位'!$B$83:$M$83</definedName>
    <definedName name="车位交易情况" localSheetId="48">'[1]比较法-车位'!$A$51:$M$51</definedName>
    <definedName name="车位交易情况" localSheetId="35">'[2]比较法-车位'!$A$51:$M$51</definedName>
    <definedName name="车位交易情况">'比较法-车位'!$A$51:$M$51</definedName>
    <definedName name="车位类型" localSheetId="48">'[1]比较法-车位'!$B$93:$M$93</definedName>
    <definedName name="车位类型" localSheetId="35">'[2]比较法-车位'!$B$93:$M$93</definedName>
    <definedName name="车位类型">'比较法-车位'!$B$93:$M$93</definedName>
    <definedName name="车位楼层" localSheetId="48">'[1]比较法-车位'!$B$71:$M$71</definedName>
    <definedName name="车位楼层" localSheetId="35">'[2]比较法-车位'!$B$71:$M$71</definedName>
    <definedName name="车位楼层">'比较法-车位'!$B$71:$M$71</definedName>
    <definedName name="车位配套类型" localSheetId="48">'[1]比较法-车位'!$B$79:$M$79</definedName>
    <definedName name="车位配套类型" localSheetId="35">'[2]比较法-车位'!$B$79:$M$79</definedName>
    <definedName name="车位配套类型">'比较法-车位'!$B$79:$M$79</definedName>
    <definedName name="车位物业等级" localSheetId="48">'[1]比较法-车位'!$B$88:$M$88</definedName>
    <definedName name="车位物业等级" localSheetId="35">'[2]比较法-车位'!$B$88:$M$88</definedName>
    <definedName name="车位物业等级">'比较法-车位'!$B$88:$M$88</definedName>
    <definedName name="车位用途" localSheetId="48">'[1]比较法-车位'!$B$53:$M$53</definedName>
    <definedName name="车位用途" localSheetId="35">'[2]比较法-车位'!$B$53:$M$53</definedName>
    <definedName name="车位用途">'比较法-车位'!$B$53:$M$53</definedName>
    <definedName name="城镇土地纳税等级分级范围" localSheetId="48">'[1]数据-取费表'!$A$53:$A$63</definedName>
    <definedName name="城镇土地纳税等级分级范围" localSheetId="35">'[2]数据-取费表'!$A$53:$A$63</definedName>
    <definedName name="城镇土地纳税等级分级范围">'数据-取费表'!$A$53:$A$63</definedName>
    <definedName name="单价内涵" localSheetId="48">[1]定义!$V$1:$V$3</definedName>
    <definedName name="单价内涵" localSheetId="35">[2]定义!$V$1:$V$3</definedName>
    <definedName name="单价内涵">定义!$V$1:$V$3</definedName>
    <definedName name="地类判定" localSheetId="48">[1]定义!$H$1:$H$9</definedName>
    <definedName name="地类判定" localSheetId="35">[2]定义!$H$1:$H$9</definedName>
    <definedName name="地类判定">定义!$H$1:$H$9</definedName>
    <definedName name="二级">区片价!$J$1:$J$21</definedName>
    <definedName name="二级分类" localSheetId="48">[1]修正!$C$17:$C$39</definedName>
    <definedName name="二级分类" localSheetId="35">[2]修正!$C$17:$C$39</definedName>
    <definedName name="二级分类">修正!$C$19:$C$51</definedName>
    <definedName name="法定最高年限" localSheetId="48">[1]定义!$G$1:$G$4</definedName>
    <definedName name="法定最高年限" localSheetId="35">[2]定义!$G$1:$G$4</definedName>
    <definedName name="法定最高年限">定义!$G$1:$G$6</definedName>
    <definedName name="工业公共部分装修" localSheetId="48">'[1]比较法-工业'!$B$95:$M$95</definedName>
    <definedName name="工业公共部分装修" localSheetId="35">'[2]比较法-工业'!$B$95:$M$95</definedName>
    <definedName name="工业公共部分装修">'比较法-工业'!$B$95:$M$95</definedName>
    <definedName name="工业基础设施水平" localSheetId="48">'[1]比较法-工业'!$B$102:$M$102</definedName>
    <definedName name="工业基础设施水平" localSheetId="35">'[2]比较法-工业'!$B$102:$M$102</definedName>
    <definedName name="工业基础设施水平">'比较法-工业'!$B$102:$M$102</definedName>
    <definedName name="工业建筑结构" localSheetId="48">'[1]比较法-工业'!$B$93:$M$93</definedName>
    <definedName name="工业建筑结构" localSheetId="35">'[2]比较法-工业'!$B$93:$M$93</definedName>
    <definedName name="工业建筑结构">'比较法-工业'!$B$93:$M$93</definedName>
    <definedName name="工业建筑类型" localSheetId="48">'[1]比较法-工业'!$B$88:$M$88</definedName>
    <definedName name="工业建筑类型" localSheetId="35">'[2]比较法-工业'!$B$88:$M$88</definedName>
    <definedName name="工业建筑类型">'比较法-工业'!$B$88:$M$88</definedName>
    <definedName name="工业交易情况" localSheetId="48">'[1]比较法-工业'!$A$55:$M$55</definedName>
    <definedName name="工业交易情况" localSheetId="35">'[2]比较法-工业'!$A$55:$M$55</definedName>
    <definedName name="工业交易情况">'比较法-工业'!$A$55:$M$55</definedName>
    <definedName name="工业内部装修" localSheetId="48">'[1]比较法-工业'!$B$104:$M$104</definedName>
    <definedName name="工业内部装修" localSheetId="35">'[2]比较法-工业'!$B$104:$M$104</definedName>
    <definedName name="工业内部装修">'比较法-工业'!$B$104:$M$104</definedName>
    <definedName name="工业物业管理" localSheetId="48">'[1]比较法-工业'!$B$100:$M$100</definedName>
    <definedName name="工业物业管理" localSheetId="35">'[2]比较法-工业'!$B$100:$M$100</definedName>
    <definedName name="工业物业管理">'比较法-工业'!$B$100:$M$100</definedName>
    <definedName name="工业用途" localSheetId="48">'[1]比较法-工业'!$B$57:$M$57</definedName>
    <definedName name="工业用途" localSheetId="35">'[2]比较法-工业'!$B$57:$M$57</definedName>
    <definedName name="工业用途">'比较法-工业'!$B$57:$M$57</definedName>
    <definedName name="公共配套设施" localSheetId="48">[1]定义!$Q$1:$Q$6</definedName>
    <definedName name="公共配套设施" localSheetId="35">[2]定义!$Q$1:$Q$6</definedName>
    <definedName name="公共配套设施">定义!$Q$1:$Q$6</definedName>
    <definedName name="估价范围判定">定义!$D$1:$D$4</definedName>
    <definedName name="估价方法" localSheetId="48">[1]定义!$B$1:$B$50</definedName>
    <definedName name="估价方法" localSheetId="35">[2]定义!$B$1:$B$50</definedName>
    <definedName name="估价方法">定义!$B$1:$B$50</definedName>
    <definedName name="环境" localSheetId="48">[1]定义!$S$1:$S$6</definedName>
    <definedName name="环境" localSheetId="35">[2]定义!$S$1:$S$6</definedName>
    <definedName name="环境">定义!$S$1:$S$6</definedName>
    <definedName name="基础设施水平" localSheetId="48">[1]定义!$R$1:$R$6</definedName>
    <definedName name="基础设施水平" localSheetId="35">[2]定义!$R$1:$R$6</definedName>
    <definedName name="基础设施水平">定义!$R$1:$R$6</definedName>
    <definedName name="季度">基准地价修正!$Q$19:$AD$19</definedName>
    <definedName name="价值类型2" localSheetId="48">[1]定义!$B$54:$B$56</definedName>
    <definedName name="价值类型2" localSheetId="35">[2]定义!$B$54:$B$56</definedName>
    <definedName name="价值类型2">定义!$B$54:$B$56</definedName>
    <definedName name="交通便捷度" localSheetId="48">[1]定义!$O$1:$O$6</definedName>
    <definedName name="交通便捷度" localSheetId="35">[2]定义!$O$1:$O$6</definedName>
    <definedName name="交通便捷度">定义!$O$1:$O$6</definedName>
    <definedName name="九级">区片价!$Q$1:$Q$51</definedName>
    <definedName name="居住社区成熟度" localSheetId="48">[1]定义!$K$1:$K$6</definedName>
    <definedName name="居住社区成熟度" localSheetId="35">[2]定义!$K$1:$K$6</definedName>
    <definedName name="居住社区成熟度">定义!$K$1:$K$6</definedName>
    <definedName name="类别" localSheetId="48">[1]定义!$J$1:$J$3</definedName>
    <definedName name="类别" localSheetId="35">[2]定义!$J$1:$J$3</definedName>
    <definedName name="类别">定义!$J$1:$J$3</definedName>
    <definedName name="临街状况" localSheetId="48">[1]定义!$T$1:$T$5</definedName>
    <definedName name="临街状况" localSheetId="35">[2]定义!$T$1:$T$5</definedName>
    <definedName name="临街状况">定义!$T$1:$T$5</definedName>
    <definedName name="六级">区片价!$N$1:$N$64</definedName>
    <definedName name="内部装修维护情况" localSheetId="48">[1]定义!$U$1:$U$6</definedName>
    <definedName name="内部装修维护情况" localSheetId="35">[2]定义!$U$1:$U$6</definedName>
    <definedName name="内部装修维护情况">定义!$U$1:$U$6</definedName>
    <definedName name="判定" localSheetId="48">[1]定义!$D$1:$D$4</definedName>
    <definedName name="判定" localSheetId="35">[2]定义!$D$1:$D$4</definedName>
    <definedName name="判定">定义!$D$1:$D$4</definedName>
    <definedName name="评估方法">[3]定义!$B$1:$B$50</definedName>
    <definedName name="七级">区片价!$O$1:$O$45</definedName>
    <definedName name="七通一平" localSheetId="48">[1]修正!$A$6:$A$14</definedName>
    <definedName name="七通一平" localSheetId="35">[2]修正!$A$6:$A$14</definedName>
    <definedName name="七通一平">修正!$A$8:$A$16</definedName>
    <definedName name="区域土地利用方向" localSheetId="48">[1]定义!$P$1:$P$6</definedName>
    <definedName name="区域土地利用方向" localSheetId="35">[2]定义!$P$1:$P$6</definedName>
    <definedName name="区域土地利用方向">定义!$P$1:$P$6</definedName>
    <definedName name="三级">区片价!$K$1:$K$26</definedName>
    <definedName name="商业层高" localSheetId="47">'比较法-商业售价'!$B$116:$M$116</definedName>
    <definedName name="商业层高" localSheetId="48">'[1]比较法-商业-售价'!$B$116:$M$116</definedName>
    <definedName name="商业层高" localSheetId="35">'[2]比较法-商业'!$B$116:$M$116</definedName>
    <definedName name="商业层高">'比较法-商业'!$B$116:$M$116</definedName>
    <definedName name="商业成新度" localSheetId="47">'比较法-商业售价'!$B$109:$M$109</definedName>
    <definedName name="商业成新度">'比较法-商业'!$B$109:$M$109</definedName>
    <definedName name="商业繁华度" localSheetId="48">[1]定义!$L$1:$L$6</definedName>
    <definedName name="商业繁华度" localSheetId="35">[2]定义!$L$1:$L$6</definedName>
    <definedName name="商业繁华度">定义!$L$1:$L$6</definedName>
    <definedName name="商业公共部分装修" localSheetId="47">'比较法-商业售价'!$B$107:$M$107</definedName>
    <definedName name="商业公共部分装修" localSheetId="48">'[1]比较法-商业-售价'!$B$107:$M$107</definedName>
    <definedName name="商业公共部分装修" localSheetId="35">'[2]比较法-商业'!$B$107:$M$107</definedName>
    <definedName name="商业公共部分装修">'比较法-商业'!$B$107:$M$107</definedName>
    <definedName name="商业基础设施水平" localSheetId="47">'比较法-商业售价'!$B$112:$M$112</definedName>
    <definedName name="商业基础设施水平" localSheetId="48">'[1]比较法-商业-售价'!$B$112:$M$112</definedName>
    <definedName name="商业基础设施水平" localSheetId="35">'[2]比较法-商业'!$B$112:$M$112</definedName>
    <definedName name="商业基础设施水平">'比较法-商业'!$B$112:$M$112</definedName>
    <definedName name="商业建筑结构" localSheetId="47">'比较法-商业售价'!$B$105:$M$105</definedName>
    <definedName name="商业建筑结构" localSheetId="48">'[1]比较法-商业-售价'!$B$105:$M$105</definedName>
    <definedName name="商业建筑结构" localSheetId="35">'[2]比较法-商业'!$B$105:$M$105</definedName>
    <definedName name="商业建筑结构">'比较法-商业'!$B$105:$M$105</definedName>
    <definedName name="商业交易情况" localSheetId="47">'比较法-商业售价'!$A$61:$M$61</definedName>
    <definedName name="商业交易情况" localSheetId="48">'[1]比较法-商业-售价'!$A$61:$M$61</definedName>
    <definedName name="商业交易情况" localSheetId="35">'[2]比较法-商业'!$A$61:$M$61</definedName>
    <definedName name="商业交易情况">'比较法-商业'!$A$61:$M$61</definedName>
    <definedName name="商业街名称" localSheetId="48">[1]修正!$C$59:$C$119</definedName>
    <definedName name="商业街名称" localSheetId="35">[2]修正!$C$59:$C$119</definedName>
    <definedName name="商业街名称">修正!$C$71:$C$138</definedName>
    <definedName name="商业进深比" localSheetId="47">'比较法-商业售价'!$B$120:$M$120</definedName>
    <definedName name="商业进深比" localSheetId="48">'[1]比较法-商业-售价'!$B$120:$M$120</definedName>
    <definedName name="商业进深比" localSheetId="35">'[2]比较法-商业'!$B$120:$M$120</definedName>
    <definedName name="商业进深比">'比较法-商业'!$B$120:$M$120</definedName>
    <definedName name="商业类型" localSheetId="47">'比较法-商业售价'!$B$100:$M$100</definedName>
    <definedName name="商业类型" localSheetId="48">'[1]比较法-商业-售价'!$B$100:$M$100</definedName>
    <definedName name="商业类型" localSheetId="35">'[2]比较法-商业'!$B$100:$M$100</definedName>
    <definedName name="商业类型">'比较法-商业'!$B$100:$M$100</definedName>
    <definedName name="商业临街状况" localSheetId="47">'比较法-商业售价'!$B$86:$M$86</definedName>
    <definedName name="商业临街状况" localSheetId="48">'[1]比较法-商业-售价'!$B$86:$M$86</definedName>
    <definedName name="商业临街状况" localSheetId="35">'[2]比较法-商业'!$B$86:$M$86</definedName>
    <definedName name="商业临街状况">'比较法-商业'!$B$86:$M$86</definedName>
    <definedName name="商业楼层" localSheetId="47">'比较法-商业售价'!$B$92:$M$92</definedName>
    <definedName name="商业楼层" localSheetId="48">'[1]比较法-商业-售价'!$B$92:$M$92</definedName>
    <definedName name="商业楼层" localSheetId="35">'[2]比较法-商业'!$B$92:$M$92</definedName>
    <definedName name="商业楼层">'比较法-商业'!$B$92:$M$92</definedName>
    <definedName name="商业内部装修" localSheetId="47">'比较法-商业售价'!$B$122:$M$122</definedName>
    <definedName name="商业内部装修" localSheetId="48">'[1]比较法-商业-售价'!$B$122:$M$122</definedName>
    <definedName name="商业内部装修" localSheetId="35">'[2]比较法-商业'!$B$122:$M$122</definedName>
    <definedName name="商业内部装修">'比较法-商业'!$B$122:$M$122</definedName>
    <definedName name="商业人流量" localSheetId="47">'比较法-商业售价'!$B$90:$M$90</definedName>
    <definedName name="商业人流量" localSheetId="48">'[1]比较法-商业-售价'!$B$90:$M$90</definedName>
    <definedName name="商业人流量" localSheetId="35">'[2]比较法-商业'!$B$90:$M$90</definedName>
    <definedName name="商业人流量">'比较法-商业'!$B$90:$M$90</definedName>
    <definedName name="商业业态" localSheetId="47">'比较法-商业售价'!$B$114:$M$114</definedName>
    <definedName name="商业业态" localSheetId="48">'[1]比较法-商业-售价'!$B$114:$M$114</definedName>
    <definedName name="商业业态" localSheetId="35">'[2]比较法-商业'!$B$114:$M$114</definedName>
    <definedName name="商业业态">'比较法-商业'!$B$114:$M$114</definedName>
    <definedName name="商业用途" localSheetId="47">'比较法-商业售价'!$B$63:$M$63</definedName>
    <definedName name="商业用途" localSheetId="48">'[1]比较法-商业-售价'!$B$63:$M$63</definedName>
    <definedName name="商业用途" localSheetId="35">'[2]比较法-商业'!$B$63:$M$63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8">'[1]比较法-仓储'!$B$89:$M$89</definedName>
    <definedName name="是否封闭" localSheetId="35">'[2]比较法-仓储'!$B$89:$M$89</definedName>
    <definedName name="是否封闭">'比较法-仓储'!$B$89:$M$89</definedName>
    <definedName name="是否直接入户" localSheetId="48">'[1]比较法-车位'!$B$95:$M$95</definedName>
    <definedName name="是否直接入户" localSheetId="35">'[2]比较法-车位'!$B$95:$M$95</definedName>
    <definedName name="是否直接入户">'比较法-车位'!$B$95:$M$95</definedName>
    <definedName name="四级">区片价!$L$1:$L$33</definedName>
    <definedName name="套工道路等级" localSheetId="48">'[1]土地比较法-工业'!$B$97:$M$97</definedName>
    <definedName name="套工道路等级" localSheetId="35">'[2]土地比较法-工业'!$B$97:$M$97</definedName>
    <definedName name="套工道路等级">'土地比较法-工业'!$B$97:$M$97</definedName>
    <definedName name="套工地质条件" localSheetId="48">'[1]土地比较法-工业'!$B$114:$M$114</definedName>
    <definedName name="套工地质条件" localSheetId="35">'[2]土地比较法-工业'!$B$114:$M$114</definedName>
    <definedName name="套工地质条件">'土地比较法-工业'!$B$114:$M$114</definedName>
    <definedName name="套工交易情况" localSheetId="48">'[1]土地比较法-住宅、综合'!$A$73:$M$73</definedName>
    <definedName name="套工交易情况" localSheetId="35">'[2]土地比较法-住宅、综合'!$A$73:$M$73</definedName>
    <definedName name="套工交易情况">'土地比较法-住宅、综合'!$A$72:$M$72</definedName>
    <definedName name="套工土地级别" localSheetId="48">'[1]土地比较法-工业'!$B$99:$M$99</definedName>
    <definedName name="套工土地级别" localSheetId="35">'[2]土地比较法-工业'!$B$99:$M$99</definedName>
    <definedName name="套工土地级别">'土地比较法-工业'!$B$99:$M$99</definedName>
    <definedName name="套工用途" localSheetId="48">'[1]土地比较法-工业'!$B$70:$M$70</definedName>
    <definedName name="套工用途" localSheetId="35">'[2]土地比较法-工业'!$B$70:$M$70</definedName>
    <definedName name="套工用途">'土地比较法-工业'!$B$70:$M$70</definedName>
    <definedName name="套工宗地开发程度" localSheetId="48">'[1]土地比较法-工业'!$B$112:$M$112</definedName>
    <definedName name="套工宗地开发程度" localSheetId="35">'[2]土地比较法-工业'!$B$112:$M$112</definedName>
    <definedName name="套工宗地开发程度">'土地比较法-工业'!$B$112:$M$112</definedName>
    <definedName name="套工宗地形状" localSheetId="48">'[1]土地比较法-工业'!$B$110:$M$110</definedName>
    <definedName name="套工宗地形状" localSheetId="35">'[2]土地比较法-工业'!$B$110:$M$110</definedName>
    <definedName name="套工宗地形状">'土地比较法-工业'!$B$110:$M$110</definedName>
    <definedName name="套综道路等级" localSheetId="48">'[1]土地比较法-住宅、综合'!$B$106:$M$106</definedName>
    <definedName name="套综道路等级" localSheetId="35">'[2]土地比较法-住宅、综合'!$B$106:$M$106</definedName>
    <definedName name="套综道路等级">'土地比较法-住宅、综合'!$B$105:$M$105</definedName>
    <definedName name="套综工程地质条件" localSheetId="48">'[1]土地比较法-住宅、综合'!$B$125:$M$125</definedName>
    <definedName name="套综工程地质条件" localSheetId="35">'[2]土地比较法-住宅、综合'!$B$125:$M$125</definedName>
    <definedName name="套综工程地质条件">'土地比较法-住宅、综合'!$B$124:$M$124</definedName>
    <definedName name="套综交易情况" localSheetId="48">'[1]土地比较法-住宅、综合'!$A$73:$M$73</definedName>
    <definedName name="套综交易情况" localSheetId="35">'[2]土地比较法-住宅、综合'!$A$73:$M$73</definedName>
    <definedName name="套综交易情况">'土地比较法-住宅、综合'!$A$72:$M$72</definedName>
    <definedName name="套综临街宽度及深度" localSheetId="48">'[1]土地比较法-住宅、综合'!$B$121:$M$121</definedName>
    <definedName name="套综临街宽度及深度" localSheetId="35">'[2]土地比较法-住宅、综合'!$B$121:$M$121</definedName>
    <definedName name="套综临街宽度及深度">'土地比较法-住宅、综合'!$B$120:$M$120</definedName>
    <definedName name="套综土地级别" localSheetId="48">'[1]土地比较法-住宅、综合'!$B$108:$M$108</definedName>
    <definedName name="套综土地级别" localSheetId="35">'[2]土地比较法-住宅、综合'!$B$108:$M$108</definedName>
    <definedName name="套综土地级别">'土地比较法-住宅、综合'!$B$107:$M$107</definedName>
    <definedName name="套综用途" localSheetId="48">'[1]土地比较法-住宅、综合'!$B$75:$M$75</definedName>
    <definedName name="套综用途" localSheetId="35">'[2]土地比较法-住宅、综合'!$B$75:$M$75</definedName>
    <definedName name="套综用途">'土地比较法-住宅、综合'!$B$74:$M$74</definedName>
    <definedName name="套综宗地内开发程度" localSheetId="48">'[1]土地比较法-住宅、综合'!$B$123:$M$123</definedName>
    <definedName name="套综宗地内开发程度" localSheetId="35">'[2]土地比较法-住宅、综合'!$B$123:$M$123</definedName>
    <definedName name="套综宗地内开发程度">'土地比较法-住宅、综合'!$B$122:$M$122</definedName>
    <definedName name="套综宗地形状" localSheetId="48">'[1]土地比较法-住宅、综合'!$B$119:$M$119</definedName>
    <definedName name="套综宗地形状" localSheetId="35">'[2]土地比较法-住宅、综合'!$B$119:$M$119</definedName>
    <definedName name="套综宗地形状">'土地比较法-住宅、综合'!$B$118:$M$118</definedName>
    <definedName name="土地估价师">估价师及机构信息!$D$3:$D$24</definedName>
    <definedName name="土地级别" localSheetId="48">[1]定义!$C$1:$C$14</definedName>
    <definedName name="土地级别" localSheetId="35">[2]定义!$C$1:$C$14</definedName>
    <definedName name="土地级别">定义!$C$1:$C$14</definedName>
    <definedName name="土地利用方向">定义!$P$1:$P$6</definedName>
    <definedName name="土地年限区间" localSheetId="48">[1]定义!$I$1:$I$8</definedName>
    <definedName name="土地年限区间" localSheetId="35">[2]定义!$I$1:$I$8</definedName>
    <definedName name="土地年限区间">定义!$I$1:$I$16</definedName>
    <definedName name="位置" localSheetId="48">[1]定义!$E$2:$E$4</definedName>
    <definedName name="位置" localSheetId="35">[2]定义!$E$2:$E$4</definedName>
    <definedName name="位置">定义!$E$2:$E$4</definedName>
    <definedName name="五等判定" localSheetId="48">[1]定义!$W$1:$W$6</definedName>
    <definedName name="五等判定" localSheetId="35">[2]定义!$W$1:$W$6</definedName>
    <definedName name="五等判定">定义!$W$1:$W$6</definedName>
    <definedName name="五级">区片价!$M$1:$M$41</definedName>
    <definedName name="项目类型" localSheetId="48">'[1]数据-汇总表'!$C$17:$C$26</definedName>
    <definedName name="项目类型" localSheetId="35">'[2]数据-汇总表'!$C$17:$C$26</definedName>
    <definedName name="项目类型" localSheetId="23">'[4]数据-汇总表'!$C$17:$C$26</definedName>
    <definedName name="项目类型">'数据-汇总表'!$C$17:$C$26</definedName>
    <definedName name="写字楼等级" localSheetId="48">'[1]租金比较法-商业'!$B$113:$M$113</definedName>
    <definedName name="写字楼等级" localSheetId="35">'[2]比较法-办公'!$B$113:$M$113</definedName>
    <definedName name="写字楼等级">'比较法-办公'!$B$113:$M$113</definedName>
    <definedName name="一级">区片价!$I$1:$I$6</definedName>
    <definedName name="一修多修正项2" localSheetId="48">[1]典型户型修正!$5:$5</definedName>
    <definedName name="一修多修正项2" localSheetId="35">[2]典型户型修正!$5:$5</definedName>
    <definedName name="一修多修正项2">典型户型修正!$5:$5</definedName>
    <definedName name="一修多修正项3" localSheetId="48">[1]典型户型修正!$7:$7</definedName>
    <definedName name="一修多修正项3" localSheetId="35">[2]典型户型修正!$7:$7</definedName>
    <definedName name="一修多修正项3">典型户型修正!$7:$7</definedName>
    <definedName name="一修多修正项4" localSheetId="48">[1]典型户型修正!$9:$9</definedName>
    <definedName name="一修多修正项4" localSheetId="35">[2]典型户型修正!$9:$9</definedName>
    <definedName name="一修多修正项4">典型户型修正!$9:$9</definedName>
    <definedName name="一修多修正项5" localSheetId="48">[1]典型户型修正!$11:$11</definedName>
    <definedName name="一修多修正项5" localSheetId="35">[2]典型户型修正!$11:$11</definedName>
    <definedName name="一修多修正项5">典型户型修正!$11:$11</definedName>
    <definedName name="一修多修正项6" localSheetId="48">[1]典型户型修正!$13:$13</definedName>
    <definedName name="一修多修正项6" localSheetId="35">[2]典型户型修正!$13:$13</definedName>
    <definedName name="一修多修正项6">典型户型修正!$13:$13</definedName>
    <definedName name="一修多修正项7" localSheetId="48">[1]典型户型修正!$15:$15</definedName>
    <definedName name="一修多修正项7" localSheetId="35">[2]典型户型修正!$15:$15</definedName>
    <definedName name="一修多修正项7">典型户型修正!$15:$15</definedName>
    <definedName name="一修多修正项8" localSheetId="48">[1]典型户型修正!$17:$17</definedName>
    <definedName name="一修多修正项8" localSheetId="35">[2]典型户型修正!$17:$17</definedName>
    <definedName name="一修多修正项8">典型户型修正!$17:$17</definedName>
    <definedName name="用途明细" localSheetId="48">[1]定义!$A$1:$A$50</definedName>
    <definedName name="用途明细" localSheetId="35">[2]定义!$A$1:$A$50</definedName>
    <definedName name="用途明细">定义!$A$1:$A$50</definedName>
    <definedName name="有无电梯" localSheetId="48">'[1]比较法-仓储'!$B$84:$M$84</definedName>
    <definedName name="有无电梯" localSheetId="35">'[2]比较法-仓储'!$B$84:$M$84</definedName>
    <definedName name="有无电梯">'比较法-仓储'!$B$84:$M$84</definedName>
    <definedName name="主用途" localSheetId="48">[1]定义!$F$1:$F$10</definedName>
    <definedName name="主用途" localSheetId="35">[2]定义!$F$1:$F$10</definedName>
    <definedName name="主用途">定义!$F$1:$F$12</definedName>
    <definedName name="住宅朝向" localSheetId="48">'[1]比较法-住宅'!$B$88:$M$88</definedName>
    <definedName name="住宅朝向" localSheetId="35">'[2]比较法-住宅'!$B$88:$M$88</definedName>
    <definedName name="住宅朝向">'比较法-住宅'!$B$88:$M$88</definedName>
    <definedName name="住宅房型" localSheetId="48">'[1]比较法-住宅'!$B$118:$M$118</definedName>
    <definedName name="住宅房型" localSheetId="35">'[2]比较法-住宅'!$B$118:$M$118</definedName>
    <definedName name="住宅房型">'比较法-住宅'!$B$118:$M$118</definedName>
    <definedName name="住宅公共部分装修" localSheetId="48">'[1]比较法-住宅'!$B$109:$M$109</definedName>
    <definedName name="住宅公共部分装修" localSheetId="35">'[2]比较法-住宅'!$B$109:$M$109</definedName>
    <definedName name="住宅公共部分装修">'比较法-住宅'!$B$109:$M$109</definedName>
    <definedName name="住宅基础设施水平" localSheetId="48">'[1]比较法-住宅'!$B$116:$M$116</definedName>
    <definedName name="住宅基础设施水平" localSheetId="35">'[2]比较法-住宅'!$B$116:$M$116</definedName>
    <definedName name="住宅基础设施水平">'比较法-住宅'!$B$116:$M$116</definedName>
    <definedName name="住宅建筑结构" localSheetId="48">'[1]比较法-住宅'!$B$105:$M$105</definedName>
    <definedName name="住宅建筑结构" localSheetId="35">'[2]比较法-住宅'!$B$105:$M$105</definedName>
    <definedName name="住宅建筑结构">'比较法-住宅'!$B$105:$M$105</definedName>
    <definedName name="住宅建筑类型" localSheetId="48">'[1]比较法-住宅'!$B$100:$M$100</definedName>
    <definedName name="住宅建筑类型" localSheetId="35">'[2]比较法-住宅'!$B$100:$M$100</definedName>
    <definedName name="住宅建筑类型">'比较法-住宅'!$B$100:$M$100</definedName>
    <definedName name="住宅建筑品质" localSheetId="48">'[1]比较法-住宅'!$B$107:$M$107</definedName>
    <definedName name="住宅建筑品质" localSheetId="35">'[2]比较法-住宅'!$B$107:$M$107</definedName>
    <definedName name="住宅建筑品质">'比较法-住宅'!$B$107:$M$107</definedName>
    <definedName name="住宅交易情况" localSheetId="48">'[1]比较法-住宅'!$A$61:$M$61</definedName>
    <definedName name="住宅交易情况" localSheetId="35">'[2]比较法-住宅'!$A$61:$M$61</definedName>
    <definedName name="住宅交易情况">'比较法-住宅'!$A$61:$M$61</definedName>
    <definedName name="住宅楼层" localSheetId="48">'[1]比较法-住宅'!$B$86:$M$86</definedName>
    <definedName name="住宅楼层" localSheetId="35">'[2]比较法-住宅'!$B$86:$M$86</definedName>
    <definedName name="住宅楼层">'比较法-住宅'!$B$86:$M$86</definedName>
    <definedName name="住宅内部装修" localSheetId="48">'[1]比较法-住宅'!$B$122:$M$122</definedName>
    <definedName name="住宅内部装修" localSheetId="35">'[2]比较法-住宅'!$B$122:$M$122</definedName>
    <definedName name="住宅内部装修">'比较法-住宅'!$B$122:$M$122</definedName>
    <definedName name="住宅物业管理" localSheetId="48">'[1]比较法-住宅'!$B$114:$M$114</definedName>
    <definedName name="住宅物业管理" localSheetId="35">'[2]比较法-住宅'!$B$114:$M$114</definedName>
    <definedName name="住宅物业管理">'比较法-住宅'!$B$114:$M$114</definedName>
    <definedName name="住宅用途" localSheetId="48">'[1]比较法-住宅'!$B$63:$M$63</definedName>
    <definedName name="住宅用途" localSheetId="35">'[2]比较法-住宅'!$B$63:$M$63</definedName>
    <definedName name="住宅用途">'比较法-住宅'!$B$63:$M$63</definedName>
    <definedName name="住宅主力户型面积">'比较法-住宅'!$B$120:$M$120</definedName>
    <definedName name="注册房地产估价师" localSheetId="48">[1]估价师及机构信息!$A$3:$A$16</definedName>
    <definedName name="注册房地产估价师" localSheetId="35">[2]估价师及机构信息!$A$3:$A$24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E10" i="74" l="1"/>
  <c r="E47" i="33"/>
  <c r="E33" i="33"/>
  <c r="G20" i="84"/>
  <c r="G21" i="84"/>
  <c r="N16" i="84" l="1"/>
  <c r="L16" i="84"/>
  <c r="K16" i="84"/>
  <c r="J16" i="84"/>
  <c r="I16" i="84"/>
  <c r="I47" i="33" l="1"/>
  <c r="I5" i="33"/>
  <c r="H2" i="84"/>
  <c r="I33" i="33"/>
  <c r="I7" i="33"/>
  <c r="G7" i="33"/>
  <c r="E7" i="33"/>
  <c r="H6" i="84"/>
  <c r="D6" i="84"/>
  <c r="C6" i="84"/>
  <c r="AY11" i="84"/>
  <c r="AT11" i="84"/>
  <c r="AY10" i="84"/>
  <c r="AT10" i="84"/>
  <c r="K2" i="84" l="1"/>
  <c r="D3" i="84"/>
  <c r="H3" i="84" l="1"/>
  <c r="G47" i="33" s="1"/>
  <c r="G33" i="33"/>
  <c r="T22" i="81" l="1"/>
  <c r="S21" i="81"/>
  <c r="N27" i="81"/>
  <c r="M26" i="81"/>
  <c r="M28" i="81" s="1"/>
  <c r="M47" i="85"/>
  <c r="D66" i="85" l="1"/>
  <c r="E66" i="85" s="1"/>
  <c r="I47" i="85"/>
  <c r="G47" i="85"/>
  <c r="T47" i="85" s="1"/>
  <c r="E47" i="85"/>
  <c r="I33" i="85"/>
  <c r="G33" i="85"/>
  <c r="E33" i="85"/>
  <c r="I5" i="85"/>
  <c r="G5" i="85"/>
  <c r="C5" i="85"/>
  <c r="H3" i="83"/>
  <c r="H4" i="83" s="1"/>
  <c r="I20" i="81"/>
  <c r="H9" i="81"/>
  <c r="I8" i="81"/>
  <c r="B130" i="85"/>
  <c r="J46" i="85" s="1"/>
  <c r="AC46" i="85" s="1"/>
  <c r="B128" i="85"/>
  <c r="B126" i="85"/>
  <c r="J44" i="85" s="1"/>
  <c r="AC44" i="85" s="1"/>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D104" i="85"/>
  <c r="E104" i="85" s="1"/>
  <c r="F104" i="85" s="1"/>
  <c r="G104" i="85" s="1"/>
  <c r="H104" i="85" s="1"/>
  <c r="I104"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H31" i="85" s="1"/>
  <c r="AB31" i="85" s="1"/>
  <c r="B96" i="85"/>
  <c r="B94" i="85"/>
  <c r="H29" i="85" s="1"/>
  <c r="AB29" i="85" s="1"/>
  <c r="B92" i="85"/>
  <c r="E91" i="85"/>
  <c r="F91" i="85" s="1"/>
  <c r="G91" i="85" s="1"/>
  <c r="H91" i="85" s="1"/>
  <c r="I91" i="85" s="1"/>
  <c r="J91" i="85" s="1"/>
  <c r="K91" i="85" s="1"/>
  <c r="L91" i="85" s="1"/>
  <c r="M91" i="85" s="1"/>
  <c r="D91" i="85"/>
  <c r="B90" i="85"/>
  <c r="H27" i="85" s="1"/>
  <c r="AB27" i="85" s="1"/>
  <c r="B88" i="85"/>
  <c r="E87" i="85"/>
  <c r="F87" i="85" s="1"/>
  <c r="G87" i="85" s="1"/>
  <c r="H87" i="85" s="1"/>
  <c r="I87" i="85" s="1"/>
  <c r="J87" i="85" s="1"/>
  <c r="K87" i="85" s="1"/>
  <c r="L87" i="85" s="1"/>
  <c r="M87" i="85" s="1"/>
  <c r="D87" i="85"/>
  <c r="E85" i="85"/>
  <c r="F85" i="85" s="1"/>
  <c r="G85" i="85" s="1"/>
  <c r="D85" i="85"/>
  <c r="E83" i="85"/>
  <c r="F83" i="85" s="1"/>
  <c r="G83" i="85" s="1"/>
  <c r="D83" i="85"/>
  <c r="E81" i="85"/>
  <c r="F81" i="85" s="1"/>
  <c r="G81" i="85" s="1"/>
  <c r="D81" i="85"/>
  <c r="D79" i="85"/>
  <c r="E79" i="85" s="1"/>
  <c r="F79" i="85" s="1"/>
  <c r="G79" i="85" s="1"/>
  <c r="D77" i="85"/>
  <c r="E77" i="85" s="1"/>
  <c r="F77" i="85" s="1"/>
  <c r="G77" i="85" s="1"/>
  <c r="B74" i="85"/>
  <c r="J14" i="85" s="1"/>
  <c r="AC14" i="85" s="1"/>
  <c r="B72" i="85"/>
  <c r="B70" i="85"/>
  <c r="J12" i="85" s="1"/>
  <c r="AC12" i="85" s="1"/>
  <c r="D69" i="85"/>
  <c r="E69" i="85" s="1"/>
  <c r="F69" i="85" s="1"/>
  <c r="G69" i="85" s="1"/>
  <c r="H69" i="85" s="1"/>
  <c r="I69" i="85" s="1"/>
  <c r="J69" i="85" s="1"/>
  <c r="K69" i="85" s="1"/>
  <c r="L69" i="85" s="1"/>
  <c r="M69" i="85" s="1"/>
  <c r="M67" i="85"/>
  <c r="L67" i="85"/>
  <c r="K67" i="85"/>
  <c r="J67" i="85"/>
  <c r="I67" i="85"/>
  <c r="H67" i="85"/>
  <c r="G67" i="85"/>
  <c r="F67" i="85"/>
  <c r="E67" i="85"/>
  <c r="D67" i="85"/>
  <c r="C67" i="85"/>
  <c r="C63" i="85"/>
  <c r="P49" i="85"/>
  <c r="P48" i="85"/>
  <c r="K48" i="85"/>
  <c r="P47" i="85"/>
  <c r="I54" i="85"/>
  <c r="J54" i="85" s="1"/>
  <c r="Q46" i="85"/>
  <c r="Z46" i="85" s="1"/>
  <c r="H46" i="85"/>
  <c r="AB46" i="85" s="1"/>
  <c r="Q45" i="85"/>
  <c r="Z45" i="85" s="1"/>
  <c r="J45" i="85"/>
  <c r="AC45" i="85" s="1"/>
  <c r="H45" i="85"/>
  <c r="AB45" i="85" s="1"/>
  <c r="F45" i="85"/>
  <c r="Q44" i="85"/>
  <c r="Z44" i="85" s="1"/>
  <c r="H44" i="85"/>
  <c r="AB44" i="85" s="1"/>
  <c r="Q43" i="85"/>
  <c r="Z43" i="85" s="1"/>
  <c r="H43" i="85"/>
  <c r="AB43" i="85" s="1"/>
  <c r="Q42" i="85"/>
  <c r="Z42" i="85" s="1"/>
  <c r="H42" i="85"/>
  <c r="AB42" i="85" s="1"/>
  <c r="Q41" i="85"/>
  <c r="Z41" i="85" s="1"/>
  <c r="J41" i="85"/>
  <c r="AC41" i="85" s="1"/>
  <c r="H41" i="85"/>
  <c r="AB41" i="85" s="1"/>
  <c r="F41" i="85"/>
  <c r="AA41" i="85" s="1"/>
  <c r="Q40" i="85"/>
  <c r="Z40" i="85" s="1"/>
  <c r="J40" i="85"/>
  <c r="AC40" i="85" s="1"/>
  <c r="H40" i="85"/>
  <c r="AB40" i="85" s="1"/>
  <c r="F40" i="85"/>
  <c r="AA40" i="85" s="1"/>
  <c r="Q39" i="85"/>
  <c r="Z39" i="85" s="1"/>
  <c r="H39" i="85"/>
  <c r="AB39" i="85" s="1"/>
  <c r="Q38" i="85"/>
  <c r="Z38" i="85" s="1"/>
  <c r="J38" i="85"/>
  <c r="AC38" i="85" s="1"/>
  <c r="H38" i="85"/>
  <c r="AB38" i="85" s="1"/>
  <c r="F38" i="85"/>
  <c r="AA38" i="85" s="1"/>
  <c r="Q37" i="85"/>
  <c r="Z37" i="85" s="1"/>
  <c r="J37" i="85"/>
  <c r="AC37" i="85" s="1"/>
  <c r="H37" i="85"/>
  <c r="AB37" i="85" s="1"/>
  <c r="F37" i="85"/>
  <c r="AA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Q32" i="85"/>
  <c r="Z32" i="85" s="1"/>
  <c r="J32" i="85"/>
  <c r="AC32" i="85" s="1"/>
  <c r="H32" i="85"/>
  <c r="AB32" i="85" s="1"/>
  <c r="F32" i="85"/>
  <c r="AA32" i="85" s="1"/>
  <c r="Q31" i="85"/>
  <c r="Z31" i="85" s="1"/>
  <c r="F31" i="85"/>
  <c r="AA31" i="85" s="1"/>
  <c r="Q30" i="85"/>
  <c r="Z30" i="85" s="1"/>
  <c r="J30" i="85"/>
  <c r="AC30" i="85" s="1"/>
  <c r="H30" i="85"/>
  <c r="AB30" i="85" s="1"/>
  <c r="F30" i="85"/>
  <c r="AA30" i="85" s="1"/>
  <c r="Q29" i="85"/>
  <c r="Z29" i="85" s="1"/>
  <c r="J29" i="85"/>
  <c r="AC29" i="85" s="1"/>
  <c r="Q28" i="85"/>
  <c r="Z28" i="85" s="1"/>
  <c r="J28" i="85"/>
  <c r="AC28" i="85" s="1"/>
  <c r="H28" i="85"/>
  <c r="AB28" i="85" s="1"/>
  <c r="F28" i="85"/>
  <c r="AA28" i="85" s="1"/>
  <c r="Q27" i="85"/>
  <c r="Z27" i="85" s="1"/>
  <c r="F27" i="85"/>
  <c r="AA27" i="85" s="1"/>
  <c r="Q26" i="85"/>
  <c r="Z26" i="85" s="1"/>
  <c r="J26" i="85"/>
  <c r="AC26" i="85" s="1"/>
  <c r="H26" i="85"/>
  <c r="AB26" i="85" s="1"/>
  <c r="F26" i="85"/>
  <c r="AA26" i="85" s="1"/>
  <c r="Q25" i="85"/>
  <c r="Z25" i="85" s="1"/>
  <c r="J25" i="85"/>
  <c r="AC25" i="85" s="1"/>
  <c r="H25" i="85"/>
  <c r="AB25" i="85" s="1"/>
  <c r="F25" i="85"/>
  <c r="AA25" i="85" s="1"/>
  <c r="Q23" i="85"/>
  <c r="Z23" i="85" s="1"/>
  <c r="J23" i="85"/>
  <c r="AC23" i="85" s="1"/>
  <c r="H23" i="85"/>
  <c r="AB23" i="85" s="1"/>
  <c r="F23" i="85"/>
  <c r="AA23" i="85" s="1"/>
  <c r="C23" i="85"/>
  <c r="Q21" i="85"/>
  <c r="Z21" i="85" s="1"/>
  <c r="J21" i="85"/>
  <c r="AC21" i="85" s="1"/>
  <c r="H21" i="85"/>
  <c r="AB21" i="85" s="1"/>
  <c r="F21" i="85"/>
  <c r="AA21" i="85" s="1"/>
  <c r="C21" i="85"/>
  <c r="Q19" i="85"/>
  <c r="Z19" i="85" s="1"/>
  <c r="J19" i="85"/>
  <c r="H19" i="85"/>
  <c r="AB19" i="85" s="1"/>
  <c r="F19" i="85"/>
  <c r="C19" i="85"/>
  <c r="Q17" i="85"/>
  <c r="Z17" i="85" s="1"/>
  <c r="H17" i="85"/>
  <c r="AB17" i="85" s="1"/>
  <c r="C17" i="85"/>
  <c r="Q15" i="85"/>
  <c r="Z15" i="85" s="1"/>
  <c r="J15" i="85"/>
  <c r="AC15" i="85" s="1"/>
  <c r="H15" i="85"/>
  <c r="AB15" i="85" s="1"/>
  <c r="F15" i="85"/>
  <c r="AA15" i="85" s="1"/>
  <c r="C15" i="85"/>
  <c r="Q14" i="85"/>
  <c r="Z14" i="85" s="1"/>
  <c r="H14" i="85"/>
  <c r="AB14" i="85" s="1"/>
  <c r="Q13" i="85"/>
  <c r="Z13" i="85" s="1"/>
  <c r="J13" i="85"/>
  <c r="AC13" i="85" s="1"/>
  <c r="H13" i="85"/>
  <c r="AB13" i="85" s="1"/>
  <c r="F13" i="85"/>
  <c r="AA13" i="85" s="1"/>
  <c r="Q12" i="85"/>
  <c r="Z12" i="85" s="1"/>
  <c r="H12" i="85"/>
  <c r="AB12" i="85" s="1"/>
  <c r="Q11" i="85"/>
  <c r="Z11" i="85" s="1"/>
  <c r="J11" i="85"/>
  <c r="AC11" i="85" s="1"/>
  <c r="H11" i="85"/>
  <c r="AB11" i="85" s="1"/>
  <c r="F11" i="85"/>
  <c r="AA11" i="85" s="1"/>
  <c r="Q10" i="85"/>
  <c r="Z10" i="85" s="1"/>
  <c r="Q9" i="85"/>
  <c r="Z9" i="85" s="1"/>
  <c r="J9" i="85"/>
  <c r="AC9" i="85" s="1"/>
  <c r="H9" i="85"/>
  <c r="AB9" i="85" s="1"/>
  <c r="F9" i="85"/>
  <c r="AA9" i="85" s="1"/>
  <c r="J8" i="85"/>
  <c r="W8" i="85" s="1"/>
  <c r="H8" i="85"/>
  <c r="AB8" i="85" s="1"/>
  <c r="F8" i="85"/>
  <c r="S8" i="85" s="1"/>
  <c r="I7" i="85"/>
  <c r="H26" i="81"/>
  <c r="E26" i="81" s="1"/>
  <c r="D2" i="85"/>
  <c r="J27" i="85" l="1"/>
  <c r="AC27" i="85" s="1"/>
  <c r="F29" i="85"/>
  <c r="AA29" i="85" s="1"/>
  <c r="J31" i="85"/>
  <c r="AC31" i="85" s="1"/>
  <c r="F10" i="85"/>
  <c r="AA10" i="85" s="1"/>
  <c r="F66" i="85"/>
  <c r="H10" i="85"/>
  <c r="AB10" i="85" s="1"/>
  <c r="J10" i="85"/>
  <c r="AC10" i="85" s="1"/>
  <c r="F12" i="85"/>
  <c r="AA12" i="85" s="1"/>
  <c r="F14" i="85"/>
  <c r="AA14" i="85" s="1"/>
  <c r="F17" i="85"/>
  <c r="AA17" i="85" s="1"/>
  <c r="J17" i="85"/>
  <c r="AC17" i="85" s="1"/>
  <c r="F39" i="85"/>
  <c r="AA39" i="85" s="1"/>
  <c r="J39" i="85"/>
  <c r="AC39" i="85" s="1"/>
  <c r="F42" i="85"/>
  <c r="AA42" i="85" s="1"/>
  <c r="J42" i="85"/>
  <c r="AC42" i="85" s="1"/>
  <c r="F43" i="85"/>
  <c r="AA43" i="85" s="1"/>
  <c r="J43" i="85"/>
  <c r="AC43" i="85" s="1"/>
  <c r="F44" i="85"/>
  <c r="AA44" i="85" s="1"/>
  <c r="F46" i="85"/>
  <c r="AA46" i="85" s="1"/>
  <c r="E54" i="85"/>
  <c r="F54" i="85" s="1"/>
  <c r="U45" i="85"/>
  <c r="U8" i="85"/>
  <c r="U9" i="85"/>
  <c r="S10" i="85"/>
  <c r="W10" i="85"/>
  <c r="U11" i="85"/>
  <c r="W12" i="85"/>
  <c r="U13" i="85"/>
  <c r="S14" i="85"/>
  <c r="W14" i="85"/>
  <c r="S15" i="85"/>
  <c r="W15" i="85"/>
  <c r="S17" i="85"/>
  <c r="W17" i="85"/>
  <c r="AA19" i="85"/>
  <c r="S19" i="85"/>
  <c r="AC19" i="85"/>
  <c r="W19" i="85"/>
  <c r="AA8" i="85"/>
  <c r="AC8" i="85"/>
  <c r="S9" i="85"/>
  <c r="W9" i="85"/>
  <c r="U10" i="85"/>
  <c r="S11" i="85"/>
  <c r="W11" i="85"/>
  <c r="U12" i="85"/>
  <c r="S13" i="85"/>
  <c r="W13" i="85"/>
  <c r="U14" i="85"/>
  <c r="U15" i="85"/>
  <c r="U17" i="85"/>
  <c r="U19" i="85"/>
  <c r="U21" i="85"/>
  <c r="U23" i="85"/>
  <c r="S25" i="85"/>
  <c r="W25" i="85"/>
  <c r="U26" i="85"/>
  <c r="S27" i="85"/>
  <c r="W27" i="85"/>
  <c r="U28" i="85"/>
  <c r="S29" i="85"/>
  <c r="W29" i="85"/>
  <c r="U30" i="85"/>
  <c r="S31" i="85"/>
  <c r="W31" i="85"/>
  <c r="U32" i="85"/>
  <c r="U34" i="85"/>
  <c r="S35" i="85"/>
  <c r="W35" i="85"/>
  <c r="U36" i="85"/>
  <c r="S37" i="85"/>
  <c r="W37" i="85"/>
  <c r="U38" i="85"/>
  <c r="W39" i="85"/>
  <c r="U40" i="85"/>
  <c r="S41" i="85"/>
  <c r="W41" i="85"/>
  <c r="U42" i="85"/>
  <c r="W43" i="85"/>
  <c r="U44" i="85"/>
  <c r="AA45" i="85"/>
  <c r="S45" i="85"/>
  <c r="S21" i="85"/>
  <c r="W21" i="85"/>
  <c r="S23" i="85"/>
  <c r="W23" i="85"/>
  <c r="U25" i="85"/>
  <c r="S26" i="85"/>
  <c r="W26" i="85"/>
  <c r="U27" i="85"/>
  <c r="S28" i="85"/>
  <c r="W28" i="85"/>
  <c r="U29" i="85"/>
  <c r="S30" i="85"/>
  <c r="W30" i="85"/>
  <c r="U31" i="85"/>
  <c r="S32" i="85"/>
  <c r="W32" i="85"/>
  <c r="S34" i="85"/>
  <c r="W34" i="85"/>
  <c r="U35" i="85"/>
  <c r="S36" i="85"/>
  <c r="W36" i="85"/>
  <c r="U37" i="85"/>
  <c r="S38" i="85"/>
  <c r="W38" i="85"/>
  <c r="U39" i="85"/>
  <c r="S40" i="85"/>
  <c r="W40" i="85"/>
  <c r="U41" i="85"/>
  <c r="W42" i="85"/>
  <c r="U43" i="85"/>
  <c r="W44" i="85"/>
  <c r="S46" i="85"/>
  <c r="W46" i="85"/>
  <c r="R47" i="85"/>
  <c r="V47" i="85"/>
  <c r="W45" i="85"/>
  <c r="U46" i="85"/>
  <c r="G54" i="85"/>
  <c r="H54" i="85" s="1"/>
  <c r="S42" i="85" l="1"/>
  <c r="S44" i="85"/>
  <c r="S43" i="85"/>
  <c r="S39" i="85"/>
  <c r="S12" i="85"/>
  <c r="G13" i="73" l="1"/>
  <c r="F13" i="73"/>
  <c r="E13" i="73"/>
  <c r="J38" i="81" l="1"/>
  <c r="D104" i="33" l="1"/>
  <c r="E104" i="33" s="1"/>
  <c r="F104" i="33" s="1"/>
  <c r="G104" i="33" s="1"/>
  <c r="H104" i="33" s="1"/>
  <c r="I104" i="33" s="1"/>
  <c r="B35" i="1"/>
  <c r="B21" i="1"/>
  <c r="N18" i="1"/>
  <c r="N20" i="1" s="1"/>
  <c r="N6" i="1" s="1"/>
  <c r="D3" i="4"/>
  <c r="H40" i="81"/>
  <c r="C37" i="81"/>
  <c r="E29" i="81"/>
  <c r="F19" i="81"/>
  <c r="I17" i="81"/>
  <c r="F16" i="81"/>
  <c r="E15" i="81"/>
  <c r="C15" i="81"/>
  <c r="H12" i="81"/>
  <c r="I11" i="81"/>
  <c r="M10" i="81"/>
  <c r="P9" i="81"/>
  <c r="O10" i="81" s="1"/>
  <c r="M4" i="81"/>
  <c r="Y6" i="1" l="1"/>
  <c r="I7" i="81"/>
  <c r="N11" i="81"/>
  <c r="C21" i="81"/>
  <c r="E19" i="81" s="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Z29" i="79"/>
  <c r="N29" i="79"/>
  <c r="M29" i="79"/>
  <c r="L29" i="79"/>
  <c r="I29" i="79"/>
  <c r="AB25" i="79"/>
  <c r="AB23" i="79" s="1"/>
  <c r="AA25" i="79"/>
  <c r="Z25" i="79"/>
  <c r="N25" i="79"/>
  <c r="M25" i="79"/>
  <c r="L25" i="79"/>
  <c r="I25" i="79"/>
  <c r="AD25" i="79" s="1"/>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U3" i="79" s="1"/>
  <c r="M9" i="79"/>
  <c r="L9" i="79"/>
  <c r="K9" i="79"/>
  <c r="I9" i="79"/>
  <c r="AC5" i="79"/>
  <c r="AB5" i="79"/>
  <c r="AA5" i="79"/>
  <c r="AD5" i="79" s="1"/>
  <c r="Z5" i="79"/>
  <c r="Y5" i="79"/>
  <c r="O5" i="79"/>
  <c r="N5" i="79"/>
  <c r="M5" i="79"/>
  <c r="L5" i="79"/>
  <c r="K5" i="79"/>
  <c r="I5" i="79"/>
  <c r="AA3" i="79"/>
  <c r="AD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N3" i="79" l="1"/>
  <c r="S3" i="79"/>
  <c r="Y3" i="79"/>
  <c r="AC3" i="79"/>
  <c r="Z3" i="79"/>
  <c r="AB3" i="79"/>
  <c r="S10" i="79"/>
  <c r="U10" i="79"/>
  <c r="R11" i="79"/>
  <c r="V11" i="79"/>
  <c r="S12" i="79"/>
  <c r="U12" i="79"/>
  <c r="S14" i="79"/>
  <c r="U14" i="79"/>
  <c r="L23" i="79"/>
  <c r="U23" i="79"/>
  <c r="AA23" i="79"/>
  <c r="AD23" i="79" s="1"/>
  <c r="AD29" i="79"/>
  <c r="S30" i="79"/>
  <c r="U30" i="79"/>
  <c r="AD31" i="79"/>
  <c r="T31" i="79"/>
  <c r="W31" i="79" s="1"/>
  <c r="S32" i="79"/>
  <c r="U32" i="79"/>
  <c r="AD33" i="79"/>
  <c r="T33" i="79"/>
  <c r="W33" i="79" s="1"/>
  <c r="S34" i="79"/>
  <c r="U34" i="79"/>
  <c r="AD35" i="79"/>
  <c r="F10" i="1"/>
  <c r="L3" i="79"/>
  <c r="R5" i="79"/>
  <c r="V5" i="79"/>
  <c r="S13" i="79"/>
  <c r="U13" i="79"/>
  <c r="T5" i="79"/>
  <c r="W5" i="79" s="1"/>
  <c r="R8" i="79"/>
  <c r="R7" i="79"/>
  <c r="R6" i="79"/>
  <c r="P9" i="79"/>
  <c r="T7" i="79"/>
  <c r="W7" i="79" s="1"/>
  <c r="T8" i="79"/>
  <c r="W8" i="79" s="1"/>
  <c r="T6" i="79"/>
  <c r="W6" i="79" s="1"/>
  <c r="V9" i="79"/>
  <c r="V8" i="79"/>
  <c r="V7" i="79"/>
  <c r="V6" i="79"/>
  <c r="T28" i="79"/>
  <c r="W28" i="79" s="1"/>
  <c r="T26" i="79"/>
  <c r="W26" i="79" s="1"/>
  <c r="T27" i="79"/>
  <c r="W27" i="79" s="1"/>
  <c r="K3" i="79"/>
  <c r="M3" i="79"/>
  <c r="P3" i="79" s="1"/>
  <c r="O3" i="79"/>
  <c r="T3" i="79"/>
  <c r="W3" i="79" s="1"/>
  <c r="V3" i="79"/>
  <c r="S5" i="79"/>
  <c r="U5" i="79"/>
  <c r="P5" i="79"/>
  <c r="S9" i="79"/>
  <c r="S8" i="79"/>
  <c r="S7" i="79"/>
  <c r="S6" i="79"/>
  <c r="U9" i="79"/>
  <c r="U8" i="79"/>
  <c r="U7" i="79"/>
  <c r="U6"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E26" i="77"/>
  <c r="E38" i="77"/>
  <c r="E39" i="77" s="1"/>
  <c r="E29" i="77"/>
  <c r="E32" i="77" s="1"/>
  <c r="AH10" i="71"/>
  <c r="AG10" i="71"/>
  <c r="AE10" i="71"/>
  <c r="AF10" i="71" s="1"/>
  <c r="AD10" i="71"/>
  <c r="Q10" i="71"/>
  <c r="P10" i="71"/>
  <c r="O10" i="71"/>
  <c r="N10" i="71"/>
  <c r="C40" i="77" l="1"/>
  <c r="B2" i="77" s="1"/>
  <c r="R5" i="77"/>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s="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A12" i="62"/>
  <c r="B58" i="72" s="1"/>
  <c r="A120" i="9"/>
  <c r="H2" i="52"/>
  <c r="A1" i="52"/>
  <c r="A3" i="53"/>
  <c r="Q26" i="71"/>
  <c r="P26" i="71"/>
  <c r="O26" i="71"/>
  <c r="N26"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s="1"/>
  <c r="Q38" i="71"/>
  <c r="AB38" i="71" s="1"/>
  <c r="P38" i="71"/>
  <c r="AA38" i="71" s="1"/>
  <c r="O38" i="71"/>
  <c r="Y38" i="71" s="1"/>
  <c r="Z38" i="71" s="1"/>
  <c r="N38" i="71"/>
  <c r="Q37" i="71"/>
  <c r="F38" i="71" s="1"/>
  <c r="P37" i="71"/>
  <c r="E38" i="71" s="1"/>
  <c r="E39" i="71" s="1"/>
  <c r="E40" i="71" s="1"/>
  <c r="U40" i="71" s="1"/>
  <c r="O37" i="71"/>
  <c r="N37" i="71"/>
  <c r="B38" i="71" s="1"/>
  <c r="B39" i="71" s="1"/>
  <c r="B40" i="71" s="1"/>
  <c r="S40" i="71" s="1"/>
  <c r="D37" i="71"/>
  <c r="Q36" i="71"/>
  <c r="AB36" i="71" s="1"/>
  <c r="P36" i="71"/>
  <c r="O36" i="71"/>
  <c r="Y36" i="71" s="1"/>
  <c r="Z36" i="71" s="1"/>
  <c r="N36" i="71"/>
  <c r="X36" i="71" s="1"/>
  <c r="Q35" i="71"/>
  <c r="P35" i="71"/>
  <c r="O35" i="71"/>
  <c r="Y35" i="71" s="1"/>
  <c r="Z35" i="71" s="1"/>
  <c r="N35" i="71"/>
  <c r="X35" i="71" s="1"/>
  <c r="Q34" i="71"/>
  <c r="P34" i="71"/>
  <c r="AA34" i="71" s="1"/>
  <c r="O34" i="71"/>
  <c r="N34" i="71"/>
  <c r="X34" i="71" s="1"/>
  <c r="Q33" i="71"/>
  <c r="F34" i="71" s="1"/>
  <c r="P33" i="71"/>
  <c r="O33" i="71"/>
  <c r="C34" i="71" s="1"/>
  <c r="N33" i="71"/>
  <c r="B34" i="71" s="1"/>
  <c r="B35" i="71" s="1"/>
  <c r="B36" i="71" s="1"/>
  <c r="S36" i="71" s="1"/>
  <c r="D33" i="71"/>
  <c r="Q32" i="71"/>
  <c r="AB32" i="71" s="1"/>
  <c r="P32" i="71"/>
  <c r="O32" i="71"/>
  <c r="N32" i="71"/>
  <c r="Q31" i="71"/>
  <c r="P31" i="71"/>
  <c r="O31" i="71"/>
  <c r="N31" i="71"/>
  <c r="Q30" i="71"/>
  <c r="P30" i="71"/>
  <c r="O30" i="71"/>
  <c r="Y30" i="71" s="1"/>
  <c r="Z30" i="71" s="1"/>
  <c r="N30" i="71"/>
  <c r="Q29" i="71"/>
  <c r="P29" i="71"/>
  <c r="O29" i="71"/>
  <c r="C30" i="71" s="1"/>
  <c r="N29" i="71"/>
  <c r="D29" i="71"/>
  <c r="O28" i="71"/>
  <c r="N28" i="71"/>
  <c r="B28" i="71" s="1"/>
  <c r="B30" i="71"/>
  <c r="B31" i="71"/>
  <c r="B32" i="71" s="1"/>
  <c r="S32" i="71" s="1"/>
  <c r="E30" i="71"/>
  <c r="E31" i="71" s="1"/>
  <c r="X33" i="71"/>
  <c r="X37" i="71"/>
  <c r="N68" i="71"/>
  <c r="AA32" i="71"/>
  <c r="AA35" i="71"/>
  <c r="AA36" i="71"/>
  <c r="X38" i="71"/>
  <c r="C28" i="71"/>
  <c r="Y25" i="71"/>
  <c r="Z25" i="71" s="1"/>
  <c r="C51" i="71"/>
  <c r="C52" i="71" s="1"/>
  <c r="P28" i="71"/>
  <c r="E28" i="71" s="1"/>
  <c r="E60" i="71"/>
  <c r="U60" i="71" s="1"/>
  <c r="U68" i="71"/>
  <c r="E67" i="71"/>
  <c r="P67" i="71" s="1"/>
  <c r="Q28" i="71"/>
  <c r="D58" i="71"/>
  <c r="N67" i="71"/>
  <c r="B66" i="71"/>
  <c r="N66" i="71" s="1"/>
  <c r="D68" i="71"/>
  <c r="C71" i="71"/>
  <c r="D71" i="71" s="1"/>
  <c r="E71" i="71"/>
  <c r="E70" i="71" s="1"/>
  <c r="D72" i="71"/>
  <c r="E75" i="71"/>
  <c r="E74" i="71" s="1"/>
  <c r="C79" i="71"/>
  <c r="D79" i="71" s="1"/>
  <c r="E79" i="71"/>
  <c r="E78" i="71" s="1"/>
  <c r="D80" i="71"/>
  <c r="C83" i="71"/>
  <c r="D83" i="71" s="1"/>
  <c r="C87" i="71"/>
  <c r="C86" i="71" s="1"/>
  <c r="D86" i="71" s="1"/>
  <c r="T28" i="71"/>
  <c r="C27" i="71"/>
  <c r="C26" i="71" s="1"/>
  <c r="D26" i="71" s="1"/>
  <c r="F28" i="71"/>
  <c r="F27" i="71" s="1"/>
  <c r="F26" i="71" s="1"/>
  <c r="AB28" i="71"/>
  <c r="D28" i="71"/>
  <c r="U28" i="71" s="1"/>
  <c r="C82" i="71"/>
  <c r="D82" i="71" s="1"/>
  <c r="N65" i="71"/>
  <c r="C78" i="71"/>
  <c r="D78" i="71" s="1"/>
  <c r="E66" i="71"/>
  <c r="D51" i="71"/>
  <c r="D2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B100" i="43" s="1"/>
  <c r="B57" i="43"/>
  <c r="S25" i="40"/>
  <c r="S18" i="36"/>
  <c r="S21" i="34"/>
  <c r="H25" i="40"/>
  <c r="AB25" i="40" s="1"/>
  <c r="J25" i="40"/>
  <c r="H29" i="39"/>
  <c r="AB29" i="39" s="1"/>
  <c r="J29" i="39"/>
  <c r="J18" i="36"/>
  <c r="AC18" i="36" s="1"/>
  <c r="H18" i="35"/>
  <c r="J18" i="35"/>
  <c r="W18" i="35" s="1"/>
  <c r="H21" i="37"/>
  <c r="F21" i="37"/>
  <c r="H21" i="34"/>
  <c r="AB21" i="34" s="1"/>
  <c r="H21" i="33"/>
  <c r="U21" i="33" s="1"/>
  <c r="F21" i="33"/>
  <c r="AA21" i="33" s="1"/>
  <c r="E83" i="21"/>
  <c r="F83" i="21" s="1"/>
  <c r="G83" i="21" s="1"/>
  <c r="H1" i="69"/>
  <c r="U25" i="40"/>
  <c r="U29" i="39"/>
  <c r="W18" i="36"/>
  <c r="AB21" i="37"/>
  <c r="U21" i="37"/>
  <c r="S21" i="33"/>
  <c r="AC18" i="35"/>
  <c r="J21" i="37"/>
  <c r="W21" i="37" s="1"/>
  <c r="J21" i="34"/>
  <c r="J21" i="33"/>
  <c r="W21" i="33" s="1"/>
  <c r="H21" i="21"/>
  <c r="U21" i="21" s="1"/>
  <c r="F38" i="69"/>
  <c r="E37" i="69"/>
  <c r="F36" i="69"/>
  <c r="F35" i="69"/>
  <c r="F21" i="69"/>
  <c r="F40" i="69" s="1"/>
  <c r="F20" i="69"/>
  <c r="F39" i="69" s="1"/>
  <c r="E10" i="69"/>
  <c r="E9" i="69"/>
  <c r="J21" i="21"/>
  <c r="W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M54" i="43"/>
  <c r="N54" i="43" s="1"/>
  <c r="K54" i="43"/>
  <c r="J54" i="43" s="1"/>
  <c r="D54" i="43"/>
  <c r="M53" i="43"/>
  <c r="N53" i="43" s="1"/>
  <c r="K53" i="43"/>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s="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5" s="1"/>
  <c r="C58" i="85" s="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C33" i="85"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AB36" i="39" s="1"/>
  <c r="J30" i="36"/>
  <c r="AC30" i="36" s="1"/>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F37" i="33"/>
  <c r="D111" i="33"/>
  <c r="E111" i="33" s="1"/>
  <c r="F111" i="33" s="1"/>
  <c r="G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J23" i="39"/>
  <c r="AC23" i="39" s="1"/>
  <c r="D94" i="39"/>
  <c r="E94" i="39" s="1"/>
  <c r="F94" i="39" s="1"/>
  <c r="D92" i="39"/>
  <c r="E92" i="39" s="1"/>
  <c r="F92" i="39" s="1"/>
  <c r="G92" i="39" s="1"/>
  <c r="D90" i="39"/>
  <c r="E90" i="39" s="1"/>
  <c r="F90" i="39" s="1"/>
  <c r="G90" i="39"/>
  <c r="D88" i="39"/>
  <c r="E88" i="39"/>
  <c r="F88" i="39" s="1"/>
  <c r="G88" i="39" s="1"/>
  <c r="B85" i="39"/>
  <c r="B83" i="39"/>
  <c r="F13" i="39" s="1"/>
  <c r="B81" i="39"/>
  <c r="J12" i="39"/>
  <c r="AC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J38" i="37" s="1"/>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H26" i="37" s="1"/>
  <c r="AB26" i="37" s="1"/>
  <c r="D79" i="37"/>
  <c r="E79" i="37" s="1"/>
  <c r="D75" i="37"/>
  <c r="E75" i="37" s="1"/>
  <c r="D73" i="37"/>
  <c r="E73" i="37" s="1"/>
  <c r="F73" i="37" s="1"/>
  <c r="D71" i="37"/>
  <c r="H15" i="37"/>
  <c r="AB15" i="37" s="1"/>
  <c r="B68" i="37"/>
  <c r="H14" i="37" s="1"/>
  <c r="AB14" i="37" s="1"/>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B99" i="35"/>
  <c r="B97" i="35"/>
  <c r="B77" i="35"/>
  <c r="B75" i="35"/>
  <c r="J24" i="35" s="1"/>
  <c r="AC24" i="35" s="1"/>
  <c r="B73" i="35"/>
  <c r="B57" i="35"/>
  <c r="J11" i="35" s="1"/>
  <c r="B61" i="35"/>
  <c r="B59" i="35"/>
  <c r="H12" i="35" s="1"/>
  <c r="U12" i="35" s="1"/>
  <c r="B131" i="34"/>
  <c r="B129" i="34"/>
  <c r="H46" i="34" s="1"/>
  <c r="B127" i="34"/>
  <c r="B99" i="34"/>
  <c r="F32" i="34" s="1"/>
  <c r="B97" i="34"/>
  <c r="B95" i="34"/>
  <c r="H30" i="34" s="1"/>
  <c r="B93" i="34"/>
  <c r="B75" i="34"/>
  <c r="F14" i="34" s="1"/>
  <c r="B73" i="34"/>
  <c r="B71" i="34"/>
  <c r="B130" i="33"/>
  <c r="J46" i="33" s="1"/>
  <c r="B128" i="33"/>
  <c r="H45" i="33" s="1"/>
  <c r="U45" i="33" s="1"/>
  <c r="B126" i="33"/>
  <c r="J44" i="33" s="1"/>
  <c r="B98" i="33"/>
  <c r="H31" i="33" s="1"/>
  <c r="B96" i="33"/>
  <c r="J30" i="33" s="1"/>
  <c r="B94" i="33"/>
  <c r="J29" i="33" s="1"/>
  <c r="AC29" i="33" s="1"/>
  <c r="B74" i="33"/>
  <c r="F14" i="33" s="1"/>
  <c r="S14" i="33" s="1"/>
  <c r="B72" i="33"/>
  <c r="H13" i="33" s="1"/>
  <c r="U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H46" i="21" s="1"/>
  <c r="U46" i="21" s="1"/>
  <c r="B128" i="21"/>
  <c r="J45" i="21" s="1"/>
  <c r="B126" i="21"/>
  <c r="H44" i="21" s="1"/>
  <c r="U44" i="21" s="1"/>
  <c r="B98" i="21"/>
  <c r="H31" i="21" s="1"/>
  <c r="U31" i="21" s="1"/>
  <c r="B96" i="21"/>
  <c r="H30" i="21" s="1"/>
  <c r="U30" i="21" s="1"/>
  <c r="B94" i="21"/>
  <c r="J29" i="21" s="1"/>
  <c r="B92" i="21"/>
  <c r="F28" i="21" s="1"/>
  <c r="AA28" i="21" s="1"/>
  <c r="B90" i="21"/>
  <c r="J27" i="21" s="1"/>
  <c r="W27" i="21" s="1"/>
  <c r="B74" i="21"/>
  <c r="J14" i="21" s="1"/>
  <c r="W14" i="21" s="1"/>
  <c r="B72" i="21"/>
  <c r="H13" i="21" s="1"/>
  <c r="AB13" i="21" s="1"/>
  <c r="B70" i="21"/>
  <c r="J12" i="21" s="1"/>
  <c r="AC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AA41" i="21"/>
  <c r="F45" i="39"/>
  <c r="S45" i="39" s="1"/>
  <c r="J45" i="39"/>
  <c r="W45" i="39" s="1"/>
  <c r="J35" i="39"/>
  <c r="AC35" i="39" s="1"/>
  <c r="F35" i="39"/>
  <c r="AA35" i="39" s="1"/>
  <c r="J36" i="39"/>
  <c r="AC36" i="39" s="1"/>
  <c r="U9" i="39"/>
  <c r="W40" i="39"/>
  <c r="U30" i="37"/>
  <c r="E103" i="37"/>
  <c r="F103" i="37" s="1"/>
  <c r="G103" i="37" s="1"/>
  <c r="H103" i="37" s="1"/>
  <c r="I103" i="37" s="1"/>
  <c r="J103" i="37" s="1"/>
  <c r="K103" i="37" s="1"/>
  <c r="L103" i="37" s="1"/>
  <c r="M103" i="37" s="1"/>
  <c r="F39" i="37"/>
  <c r="S39" i="37" s="1"/>
  <c r="U14" i="37"/>
  <c r="F29" i="36"/>
  <c r="AA29" i="36" s="1"/>
  <c r="F16" i="36"/>
  <c r="AA16" i="36" s="1"/>
  <c r="W28" i="36"/>
  <c r="J33" i="36"/>
  <c r="AC33" i="36" s="1"/>
  <c r="H22" i="35"/>
  <c r="AB22" i="35" s="1"/>
  <c r="W28" i="35"/>
  <c r="S31" i="35"/>
  <c r="F36" i="34"/>
  <c r="J35" i="34"/>
  <c r="W35" i="34" s="1"/>
  <c r="U34" i="34"/>
  <c r="F26" i="33"/>
  <c r="AA26" i="33" s="1"/>
  <c r="H39" i="37"/>
  <c r="AB39" i="37" s="1"/>
  <c r="F11" i="40"/>
  <c r="AA11" i="40" s="1"/>
  <c r="H11" i="40"/>
  <c r="AB11" i="40" s="1"/>
  <c r="W8" i="40"/>
  <c r="AA9" i="40"/>
  <c r="U9" i="40"/>
  <c r="S40" i="40"/>
  <c r="U34" i="40"/>
  <c r="F42" i="39"/>
  <c r="AA42" i="39" s="1"/>
  <c r="F41" i="39"/>
  <c r="S41" i="39" s="1"/>
  <c r="H40" i="39"/>
  <c r="AB40" i="39" s="1"/>
  <c r="H39" i="39"/>
  <c r="U39" i="39" s="1"/>
  <c r="H34" i="39"/>
  <c r="U34" i="39" s="1"/>
  <c r="E108" i="39"/>
  <c r="E100" i="39"/>
  <c r="F100" i="39" s="1"/>
  <c r="G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s="1"/>
  <c r="F27" i="39"/>
  <c r="AA27" i="39" s="1"/>
  <c r="F11" i="21"/>
  <c r="S11" i="21" s="1"/>
  <c r="S40" i="21"/>
  <c r="C27" i="39"/>
  <c r="H11" i="39"/>
  <c r="AB11" i="39" s="1"/>
  <c r="C15" i="39"/>
  <c r="H11" i="21"/>
  <c r="U11" i="21" s="1"/>
  <c r="J11" i="21"/>
  <c r="W11" i="21" s="1"/>
  <c r="H37" i="40"/>
  <c r="U37" i="40" s="1"/>
  <c r="H36" i="40"/>
  <c r="AB36" i="40" s="1"/>
  <c r="F35" i="40"/>
  <c r="AA35" i="40" s="1"/>
  <c r="H23" i="40"/>
  <c r="AB23" i="40" s="1"/>
  <c r="H17" i="40"/>
  <c r="U17" i="40" s="1"/>
  <c r="J15" i="40"/>
  <c r="W15" i="40" s="1"/>
  <c r="J11" i="40"/>
  <c r="W11" i="40" s="1"/>
  <c r="W32" i="40"/>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AC23" i="34" s="1"/>
  <c r="F19" i="34"/>
  <c r="H17" i="34"/>
  <c r="U17" i="34" s="1"/>
  <c r="F15" i="34"/>
  <c r="AA15" i="34" s="1"/>
  <c r="J15" i="34"/>
  <c r="AC15" i="34" s="1"/>
  <c r="H15" i="34"/>
  <c r="AB15" i="34" s="1"/>
  <c r="W8" i="34"/>
  <c r="F41" i="33"/>
  <c r="AA41" i="33" s="1"/>
  <c r="E113" i="33"/>
  <c r="F113" i="33" s="1"/>
  <c r="G113" i="33" s="1"/>
  <c r="H113" i="33" s="1"/>
  <c r="I113" i="33" s="1"/>
  <c r="J113" i="33" s="1"/>
  <c r="K113" i="33" s="1"/>
  <c r="L113" i="33" s="1"/>
  <c r="M113" i="33" s="1"/>
  <c r="F32" i="33"/>
  <c r="AA32" i="33" s="1"/>
  <c r="J19" i="33"/>
  <c r="AC19" i="33" s="1"/>
  <c r="F11" i="33"/>
  <c r="AA11" i="33" s="1"/>
  <c r="F37" i="40"/>
  <c r="AA37" i="40" s="1"/>
  <c r="F36" i="40"/>
  <c r="AA36" i="40" s="1"/>
  <c r="H28" i="40"/>
  <c r="U28" i="40" s="1"/>
  <c r="F23" i="40"/>
  <c r="AA23" i="40" s="1"/>
  <c r="F17" i="40"/>
  <c r="AA17" i="40" s="1"/>
  <c r="J17" i="40"/>
  <c r="W17" i="40" s="1"/>
  <c r="F15" i="40"/>
  <c r="S15" i="40" s="1"/>
  <c r="H15" i="40"/>
  <c r="AB15" i="40" s="1"/>
  <c r="S12" i="36"/>
  <c r="U33" i="35"/>
  <c r="F29" i="35"/>
  <c r="S29" i="35" s="1"/>
  <c r="H29" i="35"/>
  <c r="AB29" i="35" s="1"/>
  <c r="H33" i="37"/>
  <c r="AB33" i="37" s="1"/>
  <c r="F33" i="37"/>
  <c r="AA33" i="37" s="1"/>
  <c r="U34" i="37"/>
  <c r="S34" i="37"/>
  <c r="AA34" i="37"/>
  <c r="J43" i="34"/>
  <c r="W43" i="34" s="1"/>
  <c r="AB42" i="34"/>
  <c r="J40" i="34"/>
  <c r="W40" i="34" s="1"/>
  <c r="H38" i="34"/>
  <c r="AB38" i="34" s="1"/>
  <c r="J36" i="34"/>
  <c r="W36" i="34" s="1"/>
  <c r="H37" i="34"/>
  <c r="U37" i="34" s="1"/>
  <c r="H25" i="34"/>
  <c r="AB25" i="34" s="1"/>
  <c r="J25" i="34"/>
  <c r="AC25" i="34" s="1"/>
  <c r="AB23" i="34"/>
  <c r="F23" i="34"/>
  <c r="AA23" i="34" s="1"/>
  <c r="J19" i="34"/>
  <c r="AC19" i="34" s="1"/>
  <c r="F17" i="34"/>
  <c r="AA17" i="34" s="1"/>
  <c r="J17" i="34"/>
  <c r="S15" i="34"/>
  <c r="H37" i="33"/>
  <c r="AB37" i="33" s="1"/>
  <c r="H11" i="33"/>
  <c r="AB11" i="33" s="1"/>
  <c r="F28" i="40"/>
  <c r="AA28" i="40" s="1"/>
  <c r="AA42" i="34"/>
  <c r="S42" i="34"/>
  <c r="AC38" i="34"/>
  <c r="AA38" i="34"/>
  <c r="J37" i="34"/>
  <c r="AC37" i="34" s="1"/>
  <c r="J11" i="33"/>
  <c r="W11" i="33" s="1"/>
  <c r="U23" i="40"/>
  <c r="J42" i="21"/>
  <c r="AC42" i="21" s="1"/>
  <c r="H42" i="21"/>
  <c r="U42" i="21" s="1"/>
  <c r="J44" i="34"/>
  <c r="F44" i="34"/>
  <c r="AA44" i="34" s="1"/>
  <c r="J10" i="35"/>
  <c r="AC10" i="35" s="1"/>
  <c r="BL587" i="3"/>
  <c r="F14" i="21"/>
  <c r="S14" i="21" s="1"/>
  <c r="H28" i="21"/>
  <c r="AB28" i="21" s="1"/>
  <c r="J28" i="21"/>
  <c r="W28" i="21" s="1"/>
  <c r="F30" i="21"/>
  <c r="S30" i="21" s="1"/>
  <c r="J44" i="21"/>
  <c r="AC44" i="21" s="1"/>
  <c r="F44" i="21"/>
  <c r="AA44" i="21" s="1"/>
  <c r="J46" i="21"/>
  <c r="W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J13" i="33"/>
  <c r="AC13" i="33" s="1"/>
  <c r="F13" i="33"/>
  <c r="S13" i="33" s="1"/>
  <c r="H29" i="33"/>
  <c r="U29" i="33" s="1"/>
  <c r="J31" i="33"/>
  <c r="W31" i="33" s="1"/>
  <c r="F31" i="33"/>
  <c r="AA31" i="33" s="1"/>
  <c r="J45" i="33"/>
  <c r="W45" i="33" s="1"/>
  <c r="J14" i="34"/>
  <c r="W14" i="34" s="1"/>
  <c r="H14" i="34"/>
  <c r="AB14" i="34" s="1"/>
  <c r="F30" i="34"/>
  <c r="S30" i="34" s="1"/>
  <c r="H32" i="34"/>
  <c r="AB32" i="34" s="1"/>
  <c r="J32" i="34"/>
  <c r="W32" i="34" s="1"/>
  <c r="F46" i="34"/>
  <c r="AA46" i="34" s="1"/>
  <c r="H11" i="35"/>
  <c r="AB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J37" i="37"/>
  <c r="H37" i="37"/>
  <c r="U37" i="37" s="1"/>
  <c r="H40" i="37"/>
  <c r="U40" i="37" s="1"/>
  <c r="J40" i="37"/>
  <c r="AC40" i="37" s="1"/>
  <c r="F40" i="37"/>
  <c r="AA40" i="37" s="1"/>
  <c r="AC12" i="40"/>
  <c r="W12" i="40"/>
  <c r="H14" i="33"/>
  <c r="U14" i="33" s="1"/>
  <c r="J14" i="33"/>
  <c r="W14" i="33" s="1"/>
  <c r="H30" i="33"/>
  <c r="AB30" i="33" s="1"/>
  <c r="H44" i="33"/>
  <c r="AB44" i="33" s="1"/>
  <c r="F44" i="33"/>
  <c r="S44" i="33" s="1"/>
  <c r="F46" i="33"/>
  <c r="AA46" i="33" s="1"/>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F13" i="37"/>
  <c r="S13" i="37" s="1"/>
  <c r="J13" i="37"/>
  <c r="W13" i="37" s="1"/>
  <c r="J28" i="37"/>
  <c r="AC28" i="37" s="1"/>
  <c r="H38" i="37"/>
  <c r="AB38" i="37" s="1"/>
  <c r="F38" i="37"/>
  <c r="S38" i="37" s="1"/>
  <c r="F43" i="39"/>
  <c r="AA43" i="39" s="1"/>
  <c r="H43" i="39"/>
  <c r="U43" i="39" s="1"/>
  <c r="J14" i="39"/>
  <c r="AC14" i="39" s="1"/>
  <c r="F14" i="39"/>
  <c r="S14" i="39" s="1"/>
  <c r="H14" i="39"/>
  <c r="AB14" i="39" s="1"/>
  <c r="F12" i="40"/>
  <c r="H12" i="40"/>
  <c r="AB12" i="40" s="1"/>
  <c r="H30" i="40"/>
  <c r="AB30" i="40" s="1"/>
  <c r="F33" i="40"/>
  <c r="AA33" i="40" s="1"/>
  <c r="H33" i="40"/>
  <c r="U33" i="40" s="1"/>
  <c r="J35" i="40"/>
  <c r="AC35" i="40" s="1"/>
  <c r="J37" i="40"/>
  <c r="AC37" i="40" s="1"/>
  <c r="H13" i="40"/>
  <c r="U13" i="40" s="1"/>
  <c r="J13" i="40"/>
  <c r="F13" i="40"/>
  <c r="AA13" i="40" s="1"/>
  <c r="F27" i="37"/>
  <c r="AA27" i="37" s="1"/>
  <c r="J13" i="39"/>
  <c r="W13" i="39" s="1"/>
  <c r="H14" i="40"/>
  <c r="AB14" i="40" s="1"/>
  <c r="J14" i="40"/>
  <c r="W14" i="40" s="1"/>
  <c r="F14" i="40"/>
  <c r="AA14" i="40" s="1"/>
  <c r="J27" i="37"/>
  <c r="AC27" i="37" s="1"/>
  <c r="J36" i="37"/>
  <c r="AC36" i="37" s="1"/>
  <c r="J10" i="36"/>
  <c r="AC10" i="36" s="1"/>
  <c r="F17" i="21"/>
  <c r="AA17" i="21" s="1"/>
  <c r="H17" i="21"/>
  <c r="AB17" i="21" s="1"/>
  <c r="F15" i="21"/>
  <c r="S15" i="21" s="1"/>
  <c r="J41" i="39"/>
  <c r="W41" i="39" s="1"/>
  <c r="AC45" i="39"/>
  <c r="U36" i="39"/>
  <c r="S35" i="39"/>
  <c r="G544" i="3"/>
  <c r="G540" i="3"/>
  <c r="G536" i="3"/>
  <c r="G535" i="3"/>
  <c r="G532" i="3"/>
  <c r="G531" i="3"/>
  <c r="G528" i="3"/>
  <c r="G527" i="3"/>
  <c r="G523" i="3"/>
  <c r="G514" i="3"/>
  <c r="G508" i="3"/>
  <c r="G500" i="3"/>
  <c r="G584" i="3"/>
  <c r="G576" i="3"/>
  <c r="G568" i="3"/>
  <c r="G560" i="3"/>
  <c r="G554" i="3"/>
  <c r="G550" i="3"/>
  <c r="BL580" i="3"/>
  <c r="BL572" i="3"/>
  <c r="BL564" i="3"/>
  <c r="BL554" i="3"/>
  <c r="BL546" i="3"/>
  <c r="BL542" i="3"/>
  <c r="BL538" i="3"/>
  <c r="BL534" i="3"/>
  <c r="BL530" i="3"/>
  <c r="BL526" i="3"/>
  <c r="BL516" i="3"/>
  <c r="BL506" i="3"/>
  <c r="BL498" i="3"/>
  <c r="BL582" i="3"/>
  <c r="BL574" i="3"/>
  <c r="BL566" i="3"/>
  <c r="BL556" i="3"/>
  <c r="BL552" i="3"/>
  <c r="BL544" i="3"/>
  <c r="BL540" i="3"/>
  <c r="BL536" i="3"/>
  <c r="G533" i="3"/>
  <c r="BL532" i="3"/>
  <c r="G529" i="3"/>
  <c r="BL528" i="3"/>
  <c r="BL524" i="3"/>
  <c r="BL514" i="3"/>
  <c r="BL504" i="3"/>
  <c r="BL496" i="3"/>
  <c r="BA584" i="3"/>
  <c r="BA580" i="3"/>
  <c r="AZ580" i="3" s="1"/>
  <c r="BA576" i="3"/>
  <c r="BA572" i="3"/>
  <c r="AZ572" i="3" s="1"/>
  <c r="BA568" i="3"/>
  <c r="BA564" i="3"/>
  <c r="AZ564" i="3" s="1"/>
  <c r="BA560" i="3"/>
  <c r="BA554" i="3"/>
  <c r="AZ554" i="3" s="1"/>
  <c r="BA552" i="3"/>
  <c r="AZ552" i="3" s="1"/>
  <c r="BA548" i="3"/>
  <c r="BA546" i="3"/>
  <c r="BA544" i="3"/>
  <c r="AZ544" i="3" s="1"/>
  <c r="BA542" i="3"/>
  <c r="AZ542" i="3" s="1"/>
  <c r="BA540" i="3"/>
  <c r="AZ540" i="3" s="1"/>
  <c r="BA538" i="3"/>
  <c r="BA536" i="3"/>
  <c r="AZ536" i="3" s="1"/>
  <c r="BA534" i="3"/>
  <c r="AZ534" i="3" s="1"/>
  <c r="BA532" i="3"/>
  <c r="AZ532" i="3" s="1"/>
  <c r="BA530" i="3"/>
  <c r="BA528" i="3"/>
  <c r="BA526" i="3"/>
  <c r="BA524" i="3"/>
  <c r="AZ524" i="3" s="1"/>
  <c r="BA520" i="3"/>
  <c r="BA516" i="3"/>
  <c r="BA512" i="3"/>
  <c r="BA508" i="3"/>
  <c r="BA504" i="3"/>
  <c r="AZ504" i="3" s="1"/>
  <c r="BA500" i="3"/>
  <c r="BA496" i="3"/>
  <c r="BA587" i="3"/>
  <c r="BA581" i="3"/>
  <c r="BA577" i="3"/>
  <c r="BA573" i="3"/>
  <c r="BA569" i="3"/>
  <c r="BA565" i="3"/>
  <c r="BA561" i="3"/>
  <c r="BA555" i="3"/>
  <c r="BA553" i="3"/>
  <c r="BA549" i="3"/>
  <c r="BA547" i="3"/>
  <c r="BA545" i="3"/>
  <c r="BA543" i="3"/>
  <c r="BA541" i="3"/>
  <c r="BA539" i="3"/>
  <c r="BA537" i="3"/>
  <c r="BA535" i="3"/>
  <c r="BA533" i="3"/>
  <c r="BA531" i="3"/>
  <c r="BA529" i="3"/>
  <c r="BA527" i="3"/>
  <c r="BA525" i="3"/>
  <c r="BA519" i="3"/>
  <c r="BA515" i="3"/>
  <c r="BA511" i="3"/>
  <c r="BA505" i="3"/>
  <c r="BA501" i="3"/>
  <c r="BA497" i="3"/>
  <c r="BA493" i="3"/>
  <c r="G583" i="3"/>
  <c r="G579" i="3"/>
  <c r="G575" i="3"/>
  <c r="G571" i="3"/>
  <c r="G567" i="3"/>
  <c r="G563" i="3"/>
  <c r="BL558" i="3"/>
  <c r="AC557" i="3"/>
  <c r="G557" i="3" s="1"/>
  <c r="BQ557" i="3"/>
  <c r="BQ583" i="3"/>
  <c r="BL583" i="3" s="1"/>
  <c r="BQ581" i="3"/>
  <c r="BQ579" i="3"/>
  <c r="BL579" i="3" s="1"/>
  <c r="BQ577" i="3"/>
  <c r="BQ575" i="3"/>
  <c r="BQ573" i="3"/>
  <c r="BL573" i="3" s="1"/>
  <c r="AZ573" i="3" s="1"/>
  <c r="BQ571" i="3"/>
  <c r="BQ569" i="3"/>
  <c r="BL569" i="3" s="1"/>
  <c r="AZ569" i="3" s="1"/>
  <c r="BQ567" i="3"/>
  <c r="BL567" i="3"/>
  <c r="BQ565" i="3"/>
  <c r="BQ563" i="3"/>
  <c r="BL563" i="3" s="1"/>
  <c r="BQ561" i="3"/>
  <c r="BQ559" i="3"/>
  <c r="BL559" i="3" s="1"/>
  <c r="G555" i="3"/>
  <c r="G553" i="3"/>
  <c r="G549" i="3"/>
  <c r="G547" i="3"/>
  <c r="G545" i="3"/>
  <c r="G543" i="3"/>
  <c r="G541" i="3"/>
  <c r="G539" i="3"/>
  <c r="G537" i="3"/>
  <c r="BQ555" i="3"/>
  <c r="BL555" i="3" s="1"/>
  <c r="AZ555" i="3" s="1"/>
  <c r="BQ553" i="3"/>
  <c r="BL553" i="3" s="1"/>
  <c r="BQ551" i="3"/>
  <c r="BL551" i="3" s="1"/>
  <c r="BQ549" i="3"/>
  <c r="BL549" i="3" s="1"/>
  <c r="BQ547" i="3"/>
  <c r="BL547" i="3" s="1"/>
  <c r="BQ545" i="3"/>
  <c r="BL545" i="3" s="1"/>
  <c r="BQ543" i="3"/>
  <c r="BL543" i="3" s="1"/>
  <c r="AZ543" i="3" s="1"/>
  <c r="BQ541" i="3"/>
  <c r="BL541" i="3" s="1"/>
  <c r="AZ541" i="3" s="1"/>
  <c r="BQ539" i="3"/>
  <c r="BL539" i="3" s="1"/>
  <c r="BQ537" i="3"/>
  <c r="BL537" i="3" s="1"/>
  <c r="BQ535" i="3"/>
  <c r="BL535" i="3" s="1"/>
  <c r="AZ535" i="3" s="1"/>
  <c r="BQ533" i="3"/>
  <c r="BL533" i="3" s="1"/>
  <c r="BQ531" i="3"/>
  <c r="BL531" i="3" s="1"/>
  <c r="BQ529" i="3"/>
  <c r="BL529" i="3" s="1"/>
  <c r="BQ527" i="3"/>
  <c r="BL527" i="3" s="1"/>
  <c r="AZ527" i="3" s="1"/>
  <c r="BQ525" i="3"/>
  <c r="BL525" i="3"/>
  <c r="AZ525" i="3" s="1"/>
  <c r="BQ523" i="3"/>
  <c r="BA521" i="3"/>
  <c r="AC521" i="3"/>
  <c r="G521" i="3"/>
  <c r="BQ521" i="3"/>
  <c r="BL521" i="3"/>
  <c r="AZ521" i="3" s="1"/>
  <c r="G517" i="3"/>
  <c r="G513" i="3"/>
  <c r="BQ519" i="3"/>
  <c r="BL519" i="3" s="1"/>
  <c r="AZ519" i="3" s="1"/>
  <c r="BQ517" i="3"/>
  <c r="BL517" i="3" s="1"/>
  <c r="BQ515" i="3"/>
  <c r="BQ513" i="3"/>
  <c r="BL513" i="3" s="1"/>
  <c r="BQ511" i="3"/>
  <c r="BA509" i="3"/>
  <c r="AC509" i="3"/>
  <c r="BQ509" i="3"/>
  <c r="BL508" i="3"/>
  <c r="G507" i="3"/>
  <c r="G503" i="3"/>
  <c r="G499" i="3"/>
  <c r="G495" i="3"/>
  <c r="BQ507" i="3"/>
  <c r="BQ505" i="3"/>
  <c r="BQ503" i="3"/>
  <c r="BL503" i="3" s="1"/>
  <c r="BQ501" i="3"/>
  <c r="BQ499" i="3"/>
  <c r="BL499" i="3" s="1"/>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AB43" i="33" s="1"/>
  <c r="H17" i="37"/>
  <c r="U17" i="37" s="1"/>
  <c r="AB27" i="37"/>
  <c r="F39" i="33"/>
  <c r="AA39" i="33" s="1"/>
  <c r="E123" i="33"/>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J43" i="33"/>
  <c r="AC43" i="33" s="1"/>
  <c r="S28" i="31"/>
  <c r="S27" i="31"/>
  <c r="S26" i="31"/>
  <c r="U33" i="37"/>
  <c r="U39" i="37"/>
  <c r="U26" i="37"/>
  <c r="AB13" i="34"/>
  <c r="AC45" i="33"/>
  <c r="U19" i="21"/>
  <c r="W44" i="21"/>
  <c r="U26" i="21"/>
  <c r="AC46" i="21"/>
  <c r="AB38" i="21"/>
  <c r="F43" i="33"/>
  <c r="AA43" i="33" s="1"/>
  <c r="W16" i="35"/>
  <c r="W40" i="37"/>
  <c r="H37" i="21"/>
  <c r="U37" i="21" s="1"/>
  <c r="H19" i="34"/>
  <c r="AB19" i="34" s="1"/>
  <c r="F36" i="35"/>
  <c r="S36" i="35" s="1"/>
  <c r="J9" i="37"/>
  <c r="W9" i="37" s="1"/>
  <c r="H9" i="37"/>
  <c r="U9" i="37" s="1"/>
  <c r="F9" i="37"/>
  <c r="S9" i="37" s="1"/>
  <c r="H12" i="37"/>
  <c r="AB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19" i="40"/>
  <c r="S19" i="40" s="1"/>
  <c r="AB33" i="40"/>
  <c r="W23" i="39"/>
  <c r="AC43" i="39"/>
  <c r="W43" i="39"/>
  <c r="U45" i="39"/>
  <c r="AB45" i="39"/>
  <c r="W37" i="39"/>
  <c r="H25" i="39"/>
  <c r="AB25" i="39"/>
  <c r="J25" i="39"/>
  <c r="F25" i="39"/>
  <c r="AA25" i="39" s="1"/>
  <c r="F15" i="39"/>
  <c r="AA15" i="39" s="1"/>
  <c r="H15" i="39"/>
  <c r="U15" i="39" s="1"/>
  <c r="J15" i="39"/>
  <c r="W15" i="39" s="1"/>
  <c r="H41" i="39"/>
  <c r="AB41" i="39" s="1"/>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G4" i="4"/>
  <c r="I4" i="4"/>
  <c r="A2" i="9"/>
  <c r="F61" i="43"/>
  <c r="H64" i="43" s="1"/>
  <c r="AZ530" i="3"/>
  <c r="G546" i="3"/>
  <c r="G303" i="3"/>
  <c r="BL304" i="3"/>
  <c r="G305" i="3"/>
  <c r="BL306" i="3"/>
  <c r="BA308" i="3"/>
  <c r="AZ308" i="3" s="1"/>
  <c r="BA309" i="3"/>
  <c r="BL309" i="3"/>
  <c r="AZ309" i="3" s="1"/>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AZ116" i="3" s="1"/>
  <c r="G117" i="3"/>
  <c r="BA119" i="3"/>
  <c r="BL120" i="3"/>
  <c r="G121" i="3"/>
  <c r="BA123" i="3"/>
  <c r="BL124" i="3"/>
  <c r="AZ124" i="3" s="1"/>
  <c r="G125" i="3"/>
  <c r="BA127" i="3"/>
  <c r="AZ127" i="3" s="1"/>
  <c r="BL128" i="3"/>
  <c r="G129" i="3"/>
  <c r="BA131" i="3"/>
  <c r="BL132" i="3"/>
  <c r="G133" i="3"/>
  <c r="BA135" i="3"/>
  <c r="BL136" i="3"/>
  <c r="G137" i="3"/>
  <c r="BA139" i="3"/>
  <c r="BL140" i="3"/>
  <c r="G141" i="3"/>
  <c r="BA143" i="3"/>
  <c r="BL144" i="3"/>
  <c r="G145" i="3"/>
  <c r="BA147" i="3"/>
  <c r="AZ147" i="3" s="1"/>
  <c r="BL148" i="3"/>
  <c r="G149" i="3"/>
  <c r="BA151" i="3"/>
  <c r="BL152" i="3"/>
  <c r="G153" i="3"/>
  <c r="BA155" i="3"/>
  <c r="BL156" i="3"/>
  <c r="G157" i="3"/>
  <c r="BA159" i="3"/>
  <c r="BL160" i="3"/>
  <c r="G161" i="3"/>
  <c r="BA163" i="3"/>
  <c r="AZ163" i="3" s="1"/>
  <c r="BL164" i="3"/>
  <c r="G165" i="3"/>
  <c r="BA167" i="3"/>
  <c r="BL168" i="3"/>
  <c r="G169" i="3"/>
  <c r="BA171" i="3"/>
  <c r="BL172" i="3"/>
  <c r="G173" i="3"/>
  <c r="BA175" i="3"/>
  <c r="AZ175" i="3" s="1"/>
  <c r="BL176" i="3"/>
  <c r="G177" i="3"/>
  <c r="BA179" i="3"/>
  <c r="AZ179" i="3" s="1"/>
  <c r="BL180" i="3"/>
  <c r="AZ180" i="3" s="1"/>
  <c r="G181" i="3"/>
  <c r="BA183" i="3"/>
  <c r="BL184" i="3"/>
  <c r="AZ184" i="3" s="1"/>
  <c r="G185" i="3"/>
  <c r="BA187" i="3"/>
  <c r="BL188" i="3"/>
  <c r="AZ188" i="3" s="1"/>
  <c r="G189" i="3"/>
  <c r="BA191" i="3"/>
  <c r="BL192" i="3"/>
  <c r="G193" i="3"/>
  <c r="BA195" i="3"/>
  <c r="BL196" i="3"/>
  <c r="G197" i="3"/>
  <c r="BA199" i="3"/>
  <c r="BL200" i="3"/>
  <c r="G201" i="3"/>
  <c r="BA203" i="3"/>
  <c r="BL204" i="3"/>
  <c r="AZ67" i="3"/>
  <c r="AZ71" i="3"/>
  <c r="AZ83" i="3"/>
  <c r="AZ85" i="3"/>
  <c r="AZ128" i="3"/>
  <c r="G534" i="3"/>
  <c r="G530" i="3"/>
  <c r="G516" i="3"/>
  <c r="G506" i="3"/>
  <c r="G494" i="3"/>
  <c r="G16" i="3"/>
  <c r="G15" i="3"/>
  <c r="BA304" i="3"/>
  <c r="BA305" i="3"/>
  <c r="AZ305" i="3" s="1"/>
  <c r="BL305" i="3"/>
  <c r="G306" i="3"/>
  <c r="G309" i="3"/>
  <c r="BL310" i="3"/>
  <c r="BA312" i="3"/>
  <c r="BA313" i="3"/>
  <c r="BL313" i="3"/>
  <c r="AZ313" i="3"/>
  <c r="G314" i="3"/>
  <c r="G317" i="3"/>
  <c r="BL318" i="3"/>
  <c r="BA320" i="3"/>
  <c r="AZ320" i="3" s="1"/>
  <c r="BA321" i="3"/>
  <c r="BL321" i="3"/>
  <c r="G322" i="3"/>
  <c r="G325" i="3"/>
  <c r="BL326" i="3"/>
  <c r="BA328" i="3"/>
  <c r="BA329" i="3"/>
  <c r="BL329" i="3"/>
  <c r="AZ329" i="3" s="1"/>
  <c r="G330" i="3"/>
  <c r="G333" i="3"/>
  <c r="BL334" i="3"/>
  <c r="BA336" i="3"/>
  <c r="BA337" i="3"/>
  <c r="BL337" i="3"/>
  <c r="G338" i="3"/>
  <c r="G341" i="3"/>
  <c r="BA342" i="3"/>
  <c r="BL342" i="3"/>
  <c r="BA344" i="3"/>
  <c r="BL344" i="3"/>
  <c r="AZ344" i="3" s="1"/>
  <c r="BA346" i="3"/>
  <c r="BA347" i="3"/>
  <c r="AZ347" i="3" s="1"/>
  <c r="BL347" i="3"/>
  <c r="G350" i="3"/>
  <c r="BA351" i="3"/>
  <c r="BL351" i="3"/>
  <c r="G352" i="3"/>
  <c r="G354" i="3"/>
  <c r="BA355" i="3"/>
  <c r="AZ355" i="3" s="1"/>
  <c r="BA356" i="3"/>
  <c r="AZ356" i="3" s="1"/>
  <c r="BL356" i="3"/>
  <c r="G357" i="3"/>
  <c r="G360" i="3"/>
  <c r="BL361" i="3"/>
  <c r="BA363" i="3"/>
  <c r="AZ363" i="3" s="1"/>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AZ390" i="3" s="1"/>
  <c r="G391" i="3"/>
  <c r="G394" i="3"/>
  <c r="AZ178" i="3"/>
  <c r="BA16" i="3"/>
  <c r="BL303" i="3"/>
  <c r="AZ303" i="3" s="1"/>
  <c r="G304" i="3"/>
  <c r="BA306" i="3"/>
  <c r="AZ306" i="3" s="1"/>
  <c r="BL307" i="3"/>
  <c r="AZ307" i="3" s="1"/>
  <c r="G308" i="3"/>
  <c r="BA310" i="3"/>
  <c r="BL311" i="3"/>
  <c r="G312" i="3"/>
  <c r="BA314" i="3"/>
  <c r="BL315" i="3"/>
  <c r="G316" i="3"/>
  <c r="BA318" i="3"/>
  <c r="AZ318" i="3" s="1"/>
  <c r="BL319" i="3"/>
  <c r="AZ319" i="3" s="1"/>
  <c r="G320" i="3"/>
  <c r="BA322" i="3"/>
  <c r="BL323" i="3"/>
  <c r="AZ323" i="3" s="1"/>
  <c r="G324" i="3"/>
  <c r="BA326" i="3"/>
  <c r="AZ326" i="3" s="1"/>
  <c r="BL327" i="3"/>
  <c r="G328" i="3"/>
  <c r="BA330" i="3"/>
  <c r="BL331" i="3"/>
  <c r="G332" i="3"/>
  <c r="BA334" i="3"/>
  <c r="AZ334" i="3" s="1"/>
  <c r="BL335" i="3"/>
  <c r="G336" i="3"/>
  <c r="BA338" i="3"/>
  <c r="AZ338" i="3" s="1"/>
  <c r="BL339" i="3"/>
  <c r="AZ339" i="3" s="1"/>
  <c r="G340" i="3"/>
  <c r="BL343" i="3"/>
  <c r="G344" i="3"/>
  <c r="G348" i="3"/>
  <c r="G355" i="3"/>
  <c r="AZ335" i="3"/>
  <c r="G342" i="3"/>
  <c r="BL345" i="3"/>
  <c r="AZ345" i="3" s="1"/>
  <c r="G346" i="3"/>
  <c r="BL349" i="3"/>
  <c r="BL352" i="3"/>
  <c r="G353" i="3"/>
  <c r="BA357" i="3"/>
  <c r="AZ357" i="3" s="1"/>
  <c r="BL358" i="3"/>
  <c r="G359" i="3"/>
  <c r="BA361" i="3"/>
  <c r="AZ361" i="3" s="1"/>
  <c r="BL362" i="3"/>
  <c r="G363" i="3"/>
  <c r="BA365" i="3"/>
  <c r="BL366" i="3"/>
  <c r="G367" i="3"/>
  <c r="BA369" i="3"/>
  <c r="AZ369" i="3" s="1"/>
  <c r="BL370" i="3"/>
  <c r="AZ370" i="3" s="1"/>
  <c r="G371" i="3"/>
  <c r="BA373" i="3"/>
  <c r="BL374" i="3"/>
  <c r="AZ374" i="3" s="1"/>
  <c r="G375" i="3"/>
  <c r="BA377" i="3"/>
  <c r="AZ377" i="3" s="1"/>
  <c r="BA379" i="3"/>
  <c r="AZ379" i="3" s="1"/>
  <c r="BL380" i="3"/>
  <c r="G381" i="3"/>
  <c r="BA383" i="3"/>
  <c r="BL384" i="3"/>
  <c r="G385" i="3"/>
  <c r="BA387" i="3"/>
  <c r="AZ387" i="3" s="1"/>
  <c r="BL388" i="3"/>
  <c r="G389" i="3"/>
  <c r="BA391" i="3"/>
  <c r="BL392" i="3"/>
  <c r="G393" i="3"/>
  <c r="AZ279" i="3"/>
  <c r="AZ283" i="3"/>
  <c r="AZ291" i="3"/>
  <c r="BM5" i="3"/>
  <c r="BH5" i="3"/>
  <c r="BD5" i="3"/>
  <c r="AZ325" i="3"/>
  <c r="G548" i="3"/>
  <c r="G538" i="3"/>
  <c r="G520" i="3"/>
  <c r="BS5" i="3"/>
  <c r="BN5" i="3"/>
  <c r="BI5" i="3"/>
  <c r="BE5" i="3"/>
  <c r="G17" i="3"/>
  <c r="BA17" i="3"/>
  <c r="BT5" i="3"/>
  <c r="AZ350" i="3"/>
  <c r="BA15" i="3"/>
  <c r="BB5" i="3"/>
  <c r="AZ380" i="3"/>
  <c r="AZ491" i="3"/>
  <c r="F83" i="43"/>
  <c r="H85" i="43" s="1"/>
  <c r="F50" i="43"/>
  <c r="H54" i="43" s="1"/>
  <c r="F72" i="43"/>
  <c r="H75" i="43" s="1"/>
  <c r="S14" i="35"/>
  <c r="U43" i="21"/>
  <c r="U35" i="21"/>
  <c r="AC35" i="21"/>
  <c r="G8" i="1"/>
  <c r="G10" i="1"/>
  <c r="W44" i="34"/>
  <c r="AC44" i="34"/>
  <c r="S15" i="37"/>
  <c r="U12" i="40"/>
  <c r="J37" i="33"/>
  <c r="W37"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F10" i="33"/>
  <c r="S10" i="33" s="1"/>
  <c r="F34" i="33"/>
  <c r="S34" i="33" s="1"/>
  <c r="H34" i="33"/>
  <c r="U34" i="33" s="1"/>
  <c r="F35" i="33"/>
  <c r="S35" i="33" s="1"/>
  <c r="F39" i="34"/>
  <c r="J39" i="34"/>
  <c r="W39" i="34" s="1"/>
  <c r="F40" i="34"/>
  <c r="S40" i="34" s="1"/>
  <c r="F43" i="34"/>
  <c r="AA43" i="34" s="1"/>
  <c r="H44" i="34"/>
  <c r="AB44" i="34" s="1"/>
  <c r="F39" i="39"/>
  <c r="S39" i="39" s="1"/>
  <c r="J39" i="39"/>
  <c r="AC39" i="39" s="1"/>
  <c r="E96" i="39"/>
  <c r="F96" i="39" s="1"/>
  <c r="G96" i="39" s="1"/>
  <c r="AZ353" i="3"/>
  <c r="C40" i="11"/>
  <c r="AZ280" i="3"/>
  <c r="AZ288" i="3"/>
  <c r="AZ66" i="3"/>
  <c r="AZ69" i="3"/>
  <c r="AZ72" i="3"/>
  <c r="AZ74" i="3"/>
  <c r="AZ82" i="3"/>
  <c r="AZ86" i="3"/>
  <c r="F23" i="39"/>
  <c r="AA23" i="39" s="1"/>
  <c r="H27" i="36"/>
  <c r="U27" i="36" s="1"/>
  <c r="F27" i="36"/>
  <c r="AA27" i="36" s="1"/>
  <c r="H33" i="34"/>
  <c r="U33" i="34" s="1"/>
  <c r="F32" i="37"/>
  <c r="AA32" i="37" s="1"/>
  <c r="F20" i="36"/>
  <c r="AA20" i="36" s="1"/>
  <c r="J33" i="34"/>
  <c r="AC33" i="34" s="1"/>
  <c r="H23" i="39"/>
  <c r="U23" i="39" s="1"/>
  <c r="D48" i="9"/>
  <c r="M52" i="9" s="1"/>
  <c r="K9" i="1"/>
  <c r="M9" i="1" s="1"/>
  <c r="D93" i="9"/>
  <c r="AC26" i="33"/>
  <c r="W26" i="33"/>
  <c r="AC27" i="34"/>
  <c r="AB34" i="36"/>
  <c r="U34" i="36"/>
  <c r="AB33" i="36"/>
  <c r="U33" i="36"/>
  <c r="W12" i="39"/>
  <c r="AA32" i="36"/>
  <c r="S32" i="36"/>
  <c r="BL14" i="3"/>
  <c r="AA47" i="34"/>
  <c r="S19" i="39"/>
  <c r="F12" i="33"/>
  <c r="S12" i="33" s="1"/>
  <c r="H12" i="39"/>
  <c r="AB12" i="39" s="1"/>
  <c r="F39" i="40"/>
  <c r="AA39" i="40" s="1"/>
  <c r="BA14" i="3"/>
  <c r="AZ14" i="3" s="1"/>
  <c r="AZ281" i="3"/>
  <c r="AZ286" i="3"/>
  <c r="AZ173" i="3"/>
  <c r="B12" i="1"/>
  <c r="E12" i="1" s="1"/>
  <c r="B10" i="1"/>
  <c r="E10" i="1" s="1"/>
  <c r="AZ80" i="3"/>
  <c r="AZ84" i="3"/>
  <c r="AZ88" i="3"/>
  <c r="K12" i="1"/>
  <c r="M12" i="1" s="1"/>
  <c r="S13" i="1"/>
  <c r="AR13" i="1" s="1"/>
  <c r="R13" i="1"/>
  <c r="J51" i="67"/>
  <c r="C42" i="1"/>
  <c r="C24" i="12" s="1"/>
  <c r="AC34" i="33"/>
  <c r="B41" i="1"/>
  <c r="AB37" i="40"/>
  <c r="S35" i="40"/>
  <c r="W38" i="40"/>
  <c r="S17" i="40"/>
  <c r="S23" i="40"/>
  <c r="AC17" i="40"/>
  <c r="S30" i="40"/>
  <c r="S28" i="40"/>
  <c r="AB19" i="40"/>
  <c r="S43" i="39"/>
  <c r="U35" i="39"/>
  <c r="F32" i="39"/>
  <c r="S32" i="39" s="1"/>
  <c r="F106" i="39"/>
  <c r="G106" i="39" s="1"/>
  <c r="H106" i="39" s="1"/>
  <c r="I106" i="39" s="1"/>
  <c r="J106" i="39" s="1"/>
  <c r="K106" i="39" s="1"/>
  <c r="L106" i="39" s="1"/>
  <c r="M106" i="39" s="1"/>
  <c r="U25" i="39"/>
  <c r="AB27" i="39"/>
  <c r="J21" i="39"/>
  <c r="W21" i="39" s="1"/>
  <c r="F21" i="39"/>
  <c r="S21" i="39" s="1"/>
  <c r="G94" i="39"/>
  <c r="H21" i="39"/>
  <c r="U21" i="39" s="1"/>
  <c r="W19" i="39"/>
  <c r="S17" i="39"/>
  <c r="S15" i="39"/>
  <c r="AA12" i="39"/>
  <c r="U14" i="39"/>
  <c r="U13" i="36"/>
  <c r="U26" i="36"/>
  <c r="S33" i="36"/>
  <c r="AA26" i="36"/>
  <c r="AA34" i="36"/>
  <c r="AA22" i="36"/>
  <c r="AB14" i="36"/>
  <c r="S16" i="36"/>
  <c r="S24" i="36"/>
  <c r="U16" i="36"/>
  <c r="S14" i="36"/>
  <c r="AA25" i="35"/>
  <c r="S23" i="35"/>
  <c r="W24" i="35"/>
  <c r="U29" i="35"/>
  <c r="U28" i="35"/>
  <c r="AB27" i="35"/>
  <c r="U32" i="35"/>
  <c r="AA33" i="35"/>
  <c r="AC30" i="35"/>
  <c r="S32" i="35"/>
  <c r="AA36" i="35"/>
  <c r="S28" i="35"/>
  <c r="AB16" i="35"/>
  <c r="U22" i="35"/>
  <c r="AC20" i="35"/>
  <c r="S22" i="35"/>
  <c r="U14" i="35"/>
  <c r="AC9" i="35"/>
  <c r="W9" i="35"/>
  <c r="W13" i="35"/>
  <c r="F9" i="35"/>
  <c r="S9" i="35" s="1"/>
  <c r="H9" i="35"/>
  <c r="U9" i="35" s="1"/>
  <c r="AB40" i="37"/>
  <c r="AC29" i="37"/>
  <c r="U29" i="37"/>
  <c r="AB31" i="37"/>
  <c r="S36" i="37"/>
  <c r="AC35" i="37"/>
  <c r="W39" i="37"/>
  <c r="S37" i="37"/>
  <c r="AC15" i="37"/>
  <c r="J17" i="37"/>
  <c r="W17" i="37" s="1"/>
  <c r="G73" i="37"/>
  <c r="F17" i="37"/>
  <c r="AA17" i="37" s="1"/>
  <c r="F75" i="37"/>
  <c r="F19" i="37"/>
  <c r="S19" i="37" s="1"/>
  <c r="F79" i="37"/>
  <c r="G79" i="37" s="1"/>
  <c r="F23" i="37"/>
  <c r="S23" i="37" s="1"/>
  <c r="U23" i="37"/>
  <c r="U15" i="37"/>
  <c r="AC13" i="37"/>
  <c r="AA13" i="37"/>
  <c r="H10" i="37"/>
  <c r="AB10" i="37" s="1"/>
  <c r="F63" i="37"/>
  <c r="G63" i="37" s="1"/>
  <c r="F11" i="37"/>
  <c r="S11" i="37" s="1"/>
  <c r="W25" i="34"/>
  <c r="AB8" i="34"/>
  <c r="AA33" i="34"/>
  <c r="U43" i="34"/>
  <c r="AC39" i="34"/>
  <c r="W41" i="34"/>
  <c r="AC42" i="34"/>
  <c r="AB35" i="34"/>
  <c r="S43" i="34"/>
  <c r="AB41" i="34"/>
  <c r="AA45" i="34"/>
  <c r="U28" i="34"/>
  <c r="AA29" i="34"/>
  <c r="S23" i="34"/>
  <c r="U15" i="34"/>
  <c r="S13" i="34"/>
  <c r="H10" i="34"/>
  <c r="AB10" i="34" s="1"/>
  <c r="F11" i="34"/>
  <c r="S11" i="34" s="1"/>
  <c r="W38" i="33"/>
  <c r="H41" i="33"/>
  <c r="U41" i="33" s="1"/>
  <c r="F121" i="33"/>
  <c r="G121" i="33"/>
  <c r="H121" i="33" s="1"/>
  <c r="I121" i="33" s="1"/>
  <c r="J121" i="33" s="1"/>
  <c r="K121" i="33" s="1"/>
  <c r="L121" i="33" s="1"/>
  <c r="M121" i="33" s="1"/>
  <c r="J35" i="33"/>
  <c r="AC35" i="33" s="1"/>
  <c r="S37" i="33"/>
  <c r="AA37" i="33"/>
  <c r="S46" i="33"/>
  <c r="W43" i="33"/>
  <c r="H25" i="33"/>
  <c r="U25" i="33" s="1"/>
  <c r="F25" i="33"/>
  <c r="S25" i="33" s="1"/>
  <c r="J23" i="33"/>
  <c r="AC23" i="33" s="1"/>
  <c r="F19" i="33"/>
  <c r="S19" i="33" s="1"/>
  <c r="J17" i="33"/>
  <c r="W17" i="33" s="1"/>
  <c r="U9" i="33"/>
  <c r="J10" i="33"/>
  <c r="W10" i="33" s="1"/>
  <c r="H10" i="33"/>
  <c r="U10" i="33" s="1"/>
  <c r="W43" i="21"/>
  <c r="W36" i="21"/>
  <c r="W41" i="21"/>
  <c r="AB39" i="21"/>
  <c r="AA43" i="21"/>
  <c r="S39" i="21"/>
  <c r="AA36" i="21"/>
  <c r="AC40" i="21"/>
  <c r="J15" i="21"/>
  <c r="W15" i="21" s="1"/>
  <c r="F23" i="21"/>
  <c r="S23" i="21" s="1"/>
  <c r="E85" i="21"/>
  <c r="F85" i="21" s="1"/>
  <c r="AA14" i="21"/>
  <c r="C18" i="9"/>
  <c r="D18" i="9" s="1"/>
  <c r="F34" i="67"/>
  <c r="F62" i="67" s="1"/>
  <c r="M20" i="67"/>
  <c r="F34" i="15"/>
  <c r="F62" i="15" s="1"/>
  <c r="G13" i="3"/>
  <c r="BA13" i="3"/>
  <c r="BL17" i="3"/>
  <c r="AZ17" i="3" s="1"/>
  <c r="BL13" i="3"/>
  <c r="J56" i="9"/>
  <c r="J57" i="9" s="1"/>
  <c r="J59" i="9" s="1"/>
  <c r="J61" i="9" s="1"/>
  <c r="A24" i="51"/>
  <c r="B18" i="72" s="1"/>
  <c r="E5" i="6"/>
  <c r="E32" i="6"/>
  <c r="G1" i="68"/>
  <c r="K1" i="12"/>
  <c r="E19" i="68"/>
  <c r="E1" i="73"/>
  <c r="G22" i="69"/>
  <c r="G22" i="68"/>
  <c r="G26" i="12"/>
  <c r="G22" i="11"/>
  <c r="C6" i="43"/>
  <c r="B19" i="53"/>
  <c r="B37" i="72" s="1"/>
  <c r="C7" i="39"/>
  <c r="C67" i="39" s="1"/>
  <c r="C7" i="35"/>
  <c r="C48" i="35" s="1"/>
  <c r="D48" i="35" s="1"/>
  <c r="C7" i="33"/>
  <c r="C7" i="21"/>
  <c r="C7" i="40"/>
  <c r="C63" i="40" s="1"/>
  <c r="M47" i="9"/>
  <c r="G23" i="43"/>
  <c r="C52" i="37"/>
  <c r="D52" i="37" s="1"/>
  <c r="A4" i="51"/>
  <c r="B6" i="72" s="1"/>
  <c r="H67" i="43"/>
  <c r="L20" i="6"/>
  <c r="B6" i="1"/>
  <c r="E6" i="1" s="1"/>
  <c r="K11" i="1"/>
  <c r="M11" i="1" s="1"/>
  <c r="O11" i="1" s="1"/>
  <c r="B9" i="1"/>
  <c r="E9" i="1" s="1"/>
  <c r="K7" i="1"/>
  <c r="M7" i="1" s="1"/>
  <c r="O7" i="1" s="1"/>
  <c r="P7" i="1" s="1"/>
  <c r="G1" i="15"/>
  <c r="G1" i="69"/>
  <c r="G1" i="67"/>
  <c r="U32" i="40"/>
  <c r="S37" i="40"/>
  <c r="W28" i="40"/>
  <c r="W19" i="40"/>
  <c r="S36" i="40"/>
  <c r="W37" i="40"/>
  <c r="AC14" i="40"/>
  <c r="S13" i="40"/>
  <c r="S33" i="40"/>
  <c r="U11" i="40"/>
  <c r="AB13" i="40"/>
  <c r="U15" i="40"/>
  <c r="AB17" i="40"/>
  <c r="S8" i="40"/>
  <c r="AC41" i="39"/>
  <c r="U42" i="39"/>
  <c r="U41" i="39"/>
  <c r="W25" i="39"/>
  <c r="AC25" i="39"/>
  <c r="AA14" i="39"/>
  <c r="AB43" i="39"/>
  <c r="U11" i="39"/>
  <c r="S27" i="39"/>
  <c r="W17" i="39"/>
  <c r="AC17" i="39"/>
  <c r="AA45" i="39"/>
  <c r="AB39" i="39"/>
  <c r="W34" i="39"/>
  <c r="U38" i="39"/>
  <c r="S8" i="39"/>
  <c r="S20" i="36"/>
  <c r="AC25" i="36"/>
  <c r="W29" i="36"/>
  <c r="U25" i="36"/>
  <c r="AB28" i="36"/>
  <c r="AA13" i="36"/>
  <c r="W22" i="36"/>
  <c r="S9" i="36"/>
  <c r="AB20" i="35"/>
  <c r="AC25" i="35"/>
  <c r="U25" i="35"/>
  <c r="U24" i="35"/>
  <c r="S35" i="35"/>
  <c r="W35" i="35"/>
  <c r="AA16" i="35"/>
  <c r="AA35" i="37"/>
  <c r="S27" i="37"/>
  <c r="W32" i="37"/>
  <c r="S40" i="37"/>
  <c r="AB37" i="37"/>
  <c r="AB35" i="37"/>
  <c r="AA31" i="37"/>
  <c r="U19" i="37"/>
  <c r="U8" i="37"/>
  <c r="AA40" i="34"/>
  <c r="AB40" i="34"/>
  <c r="W19" i="34"/>
  <c r="AB33" i="34"/>
  <c r="AC45" i="34"/>
  <c r="AA31" i="34"/>
  <c r="AA30" i="34"/>
  <c r="AB47" i="34"/>
  <c r="U25" i="34"/>
  <c r="AB36" i="34"/>
  <c r="AC14" i="34"/>
  <c r="AC29" i="34"/>
  <c r="S37" i="34"/>
  <c r="AC40" i="34"/>
  <c r="AA19" i="34"/>
  <c r="S19" i="34"/>
  <c r="AA36" i="34"/>
  <c r="S36" i="34"/>
  <c r="AA8" i="34"/>
  <c r="S8" i="34"/>
  <c r="S46" i="34"/>
  <c r="U32" i="34"/>
  <c r="U14" i="34"/>
  <c r="AC43" i="34"/>
  <c r="W23" i="34"/>
  <c r="AC35" i="34"/>
  <c r="AC37" i="33"/>
  <c r="U38" i="33"/>
  <c r="U44" i="33"/>
  <c r="S31" i="33"/>
  <c r="W13" i="33"/>
  <c r="U37" i="33"/>
  <c r="S28" i="33"/>
  <c r="AB42" i="21"/>
  <c r="F33" i="21"/>
  <c r="AA33" i="21" s="1"/>
  <c r="J33" i="21"/>
  <c r="AC33" i="21" s="1"/>
  <c r="H33" i="21"/>
  <c r="AB33" i="21" s="1"/>
  <c r="F37" i="21"/>
  <c r="AA37" i="21" s="1"/>
  <c r="AA26" i="21"/>
  <c r="AB46" i="21"/>
  <c r="U40" i="21"/>
  <c r="AB31" i="21"/>
  <c r="U13" i="21"/>
  <c r="S35" i="21"/>
  <c r="J37" i="21"/>
  <c r="W37" i="21" s="1"/>
  <c r="H15" i="21"/>
  <c r="J17" i="21"/>
  <c r="AC19" i="21"/>
  <c r="W39" i="21"/>
  <c r="AC14" i="21"/>
  <c r="H45" i="21"/>
  <c r="U45" i="21" s="1"/>
  <c r="F29" i="21"/>
  <c r="S29" i="21" s="1"/>
  <c r="F13" i="21"/>
  <c r="AA13" i="21" s="1"/>
  <c r="AC38" i="21"/>
  <c r="H32" i="21"/>
  <c r="U32" i="21" s="1"/>
  <c r="H9" i="21"/>
  <c r="U9" i="21" s="1"/>
  <c r="J9" i="21"/>
  <c r="AC9" i="21" s="1"/>
  <c r="J32" i="21"/>
  <c r="W32" i="21" s="1"/>
  <c r="F32" i="21"/>
  <c r="S32" i="21" s="1"/>
  <c r="U17" i="21"/>
  <c r="AA9" i="21"/>
  <c r="K141" i="21"/>
  <c r="K144" i="21"/>
  <c r="K143" i="21"/>
  <c r="U27" i="21"/>
  <c r="AB25" i="21"/>
  <c r="AB44" i="21"/>
  <c r="W13" i="21"/>
  <c r="W42" i="21"/>
  <c r="F10" i="21"/>
  <c r="AA10" i="21" s="1"/>
  <c r="K145" i="21"/>
  <c r="W25" i="21"/>
  <c r="S27" i="21"/>
  <c r="AA15" i="21"/>
  <c r="AC27" i="21"/>
  <c r="AC26" i="21"/>
  <c r="S28" i="21"/>
  <c r="AC34" i="21"/>
  <c r="W12" i="21"/>
  <c r="W30" i="40"/>
  <c r="C15" i="40"/>
  <c r="C23" i="40"/>
  <c r="U30" i="40"/>
  <c r="B56" i="43"/>
  <c r="B67" i="43"/>
  <c r="B51" i="43"/>
  <c r="B54" i="43"/>
  <c r="B62" i="43"/>
  <c r="B69" i="43"/>
  <c r="D23" i="15"/>
  <c r="D22" i="15"/>
  <c r="E4" i="4"/>
  <c r="B5" i="62" s="1"/>
  <c r="B73" i="72" s="1"/>
  <c r="C4" i="4"/>
  <c r="F28" i="67"/>
  <c r="F32" i="67"/>
  <c r="F60" i="67" s="1"/>
  <c r="F28" i="15"/>
  <c r="S39" i="40"/>
  <c r="D68" i="9"/>
  <c r="J32" i="39"/>
  <c r="W32" i="39" s="1"/>
  <c r="H32" i="39"/>
  <c r="AB32" i="39" s="1"/>
  <c r="AA32" i="39"/>
  <c r="AB21" i="39"/>
  <c r="AA21" i="39"/>
  <c r="S17" i="37"/>
  <c r="J19" i="37"/>
  <c r="G75" i="37"/>
  <c r="AA19" i="37"/>
  <c r="J23" i="37"/>
  <c r="AC23" i="37" s="1"/>
  <c r="J10" i="37"/>
  <c r="W10" i="37" s="1"/>
  <c r="H11" i="37"/>
  <c r="AB11" i="37" s="1"/>
  <c r="H11" i="34"/>
  <c r="U11" i="34" s="1"/>
  <c r="J10" i="34"/>
  <c r="AC10" i="34" s="1"/>
  <c r="H87" i="33"/>
  <c r="I87" i="33" s="1"/>
  <c r="J87" i="33" s="1"/>
  <c r="K87" i="33" s="1"/>
  <c r="L87" i="33" s="1"/>
  <c r="M87" i="33" s="1"/>
  <c r="J25" i="33"/>
  <c r="AC25" i="33" s="1"/>
  <c r="F23" i="33"/>
  <c r="AA23" i="33" s="1"/>
  <c r="H19" i="33"/>
  <c r="U19" i="33" s="1"/>
  <c r="H17" i="33"/>
  <c r="AB17" i="33" s="1"/>
  <c r="AC17" i="33"/>
  <c r="J23" i="21"/>
  <c r="W23" i="21" s="1"/>
  <c r="G85" i="21"/>
  <c r="H23" i="21"/>
  <c r="AB23" i="21" s="1"/>
  <c r="AP7" i="1"/>
  <c r="AA32" i="21"/>
  <c r="W9" i="21"/>
  <c r="AB32" i="21"/>
  <c r="A18" i="62"/>
  <c r="B64" i="72" s="1"/>
  <c r="AC32" i="39"/>
  <c r="W19" i="37"/>
  <c r="AC19" i="37"/>
  <c r="H63" i="37"/>
  <c r="I63" i="37" s="1"/>
  <c r="J63" i="37" s="1"/>
  <c r="K63" i="37" s="1"/>
  <c r="L63" i="37" s="1"/>
  <c r="M63" i="37" s="1"/>
  <c r="J11" i="37"/>
  <c r="AC11" i="37" s="1"/>
  <c r="J11" i="34"/>
  <c r="W11" i="34" s="1"/>
  <c r="U23" i="21"/>
  <c r="AC23" i="21"/>
  <c r="H109" i="9"/>
  <c r="M49" i="9" s="1"/>
  <c r="H112" i="9"/>
  <c r="D21" i="53" s="1"/>
  <c r="B39" i="72" s="1"/>
  <c r="H111" i="9"/>
  <c r="D126" i="9" s="1"/>
  <c r="AD3" i="71"/>
  <c r="J1" i="73"/>
  <c r="H69" i="43"/>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J15" i="15"/>
  <c r="C19" i="9"/>
  <c r="D35" i="9"/>
  <c r="B11" i="76"/>
  <c r="M23" i="15"/>
  <c r="E11" i="76"/>
  <c r="F4" i="73"/>
  <c r="F38" i="15"/>
  <c r="B10" i="76"/>
  <c r="F7" i="73"/>
  <c r="F3" i="73"/>
  <c r="C20" i="9"/>
  <c r="F5" i="73"/>
  <c r="D19" i="9"/>
  <c r="B12" i="76"/>
  <c r="M23" i="67"/>
  <c r="E13" i="76"/>
  <c r="E10" i="76"/>
  <c r="D3" i="73"/>
  <c r="B13" i="76"/>
  <c r="B8" i="76"/>
  <c r="F20" i="31"/>
  <c r="B9" i="76"/>
  <c r="AO13" i="1"/>
  <c r="M22" i="67"/>
  <c r="F6" i="73"/>
  <c r="D34" i="9"/>
  <c r="E7" i="76"/>
  <c r="F7" i="15"/>
  <c r="E9" i="76"/>
  <c r="E8" i="76"/>
  <c r="F26" i="15"/>
  <c r="D5" i="73"/>
  <c r="F8" i="15"/>
  <c r="D20" i="9"/>
  <c r="F40" i="67"/>
  <c r="M29" i="15"/>
  <c r="E2" i="68"/>
  <c r="M6" i="15"/>
  <c r="M6" i="67"/>
  <c r="F36" i="67"/>
  <c r="L48" i="15"/>
  <c r="E2" i="69"/>
  <c r="F13" i="15"/>
  <c r="E12" i="76"/>
  <c r="B7" i="76"/>
  <c r="S32" i="33" l="1"/>
  <c r="AB29" i="33"/>
  <c r="AC30" i="33"/>
  <c r="W30" i="33"/>
  <c r="F30" i="33"/>
  <c r="U30" i="33"/>
  <c r="H50" i="43"/>
  <c r="S39" i="34"/>
  <c r="AA39" i="34"/>
  <c r="BQ5" i="3"/>
  <c r="BL493" i="3"/>
  <c r="AZ493" i="3" s="1"/>
  <c r="AB13" i="37"/>
  <c r="U13" i="37"/>
  <c r="AC37" i="37"/>
  <c r="W37" i="37"/>
  <c r="AB9" i="21"/>
  <c r="U44" i="34"/>
  <c r="AZ331" i="3"/>
  <c r="AZ328" i="3"/>
  <c r="AA11" i="39"/>
  <c r="S11" i="39"/>
  <c r="J42" i="33"/>
  <c r="AC42" i="33" s="1"/>
  <c r="H42" i="33"/>
  <c r="AB42" i="33" s="1"/>
  <c r="AZ496" i="3"/>
  <c r="AZ538" i="3"/>
  <c r="W13" i="40"/>
  <c r="AC13" i="40"/>
  <c r="S12" i="40"/>
  <c r="AA12" i="40"/>
  <c r="W17" i="34"/>
  <c r="AC17" i="34"/>
  <c r="AZ391" i="3"/>
  <c r="AZ330" i="3"/>
  <c r="AZ310" i="3"/>
  <c r="AZ351" i="3"/>
  <c r="AZ139" i="3"/>
  <c r="AZ378" i="3"/>
  <c r="W15" i="34"/>
  <c r="AC36" i="34"/>
  <c r="S21" i="40"/>
  <c r="AZ533" i="3"/>
  <c r="AZ537" i="3"/>
  <c r="AZ587" i="3"/>
  <c r="AZ508" i="3"/>
  <c r="AZ516" i="3"/>
  <c r="AZ528" i="3"/>
  <c r="AZ546" i="3"/>
  <c r="W36" i="39"/>
  <c r="F46" i="21"/>
  <c r="J30" i="21"/>
  <c r="H14" i="21"/>
  <c r="H15" i="33"/>
  <c r="AB15" i="33" s="1"/>
  <c r="AB17" i="34"/>
  <c r="AC11" i="40"/>
  <c r="W40" i="33"/>
  <c r="J15" i="33"/>
  <c r="S38" i="33"/>
  <c r="J28" i="34"/>
  <c r="F37" i="39"/>
  <c r="AA37" i="39" s="1"/>
  <c r="AB8" i="39"/>
  <c r="C21" i="39"/>
  <c r="S34" i="21"/>
  <c r="J31" i="39"/>
  <c r="H31" i="39"/>
  <c r="AB31" i="39" s="1"/>
  <c r="W31" i="40"/>
  <c r="AC40" i="40"/>
  <c r="S27" i="35"/>
  <c r="H39" i="33"/>
  <c r="AB39" i="33" s="1"/>
  <c r="AC27" i="35"/>
  <c r="U9" i="36"/>
  <c r="BA585" i="3"/>
  <c r="F12" i="35"/>
  <c r="J9" i="36"/>
  <c r="G570" i="3"/>
  <c r="G569" i="3"/>
  <c r="BL568" i="3"/>
  <c r="BA567" i="3"/>
  <c r="BA566" i="3"/>
  <c r="G565" i="3"/>
  <c r="G564" i="3"/>
  <c r="BA563" i="3"/>
  <c r="AZ563" i="3" s="1"/>
  <c r="BL562" i="3"/>
  <c r="BA562" i="3"/>
  <c r="AZ562" i="3" s="1"/>
  <c r="G561" i="3"/>
  <c r="BL560" i="3"/>
  <c r="AZ560" i="3" s="1"/>
  <c r="BA559" i="3"/>
  <c r="G559" i="3"/>
  <c r="BA558" i="3"/>
  <c r="AZ558" i="3" s="1"/>
  <c r="BA557" i="3"/>
  <c r="BA556" i="3"/>
  <c r="AZ556" i="3" s="1"/>
  <c r="G526" i="3"/>
  <c r="G525" i="3"/>
  <c r="G524" i="3"/>
  <c r="BA523" i="3"/>
  <c r="BL522" i="3"/>
  <c r="AZ522" i="3" s="1"/>
  <c r="BA522" i="3"/>
  <c r="G522" i="3"/>
  <c r="BL520" i="3"/>
  <c r="AZ520" i="3" s="1"/>
  <c r="G519" i="3"/>
  <c r="BL518" i="3"/>
  <c r="BA518" i="3"/>
  <c r="AZ518" i="3" s="1"/>
  <c r="G518" i="3"/>
  <c r="BA517" i="3"/>
  <c r="AZ517" i="3" s="1"/>
  <c r="G515" i="3"/>
  <c r="BA514" i="3"/>
  <c r="AZ514" i="3" s="1"/>
  <c r="BA513" i="3"/>
  <c r="BL512" i="3"/>
  <c r="AZ512" i="3" s="1"/>
  <c r="G512" i="3"/>
  <c r="G511" i="3"/>
  <c r="BL510" i="3"/>
  <c r="BA510" i="3"/>
  <c r="G510" i="3"/>
  <c r="BL509" i="3"/>
  <c r="AZ509" i="3" s="1"/>
  <c r="G509" i="3"/>
  <c r="BA507" i="3"/>
  <c r="BA506" i="3"/>
  <c r="AZ506" i="3" s="1"/>
  <c r="BL505" i="3"/>
  <c r="AZ505" i="3" s="1"/>
  <c r="G505" i="3"/>
  <c r="G504" i="3"/>
  <c r="BA503" i="3"/>
  <c r="BL502" i="3"/>
  <c r="AZ502" i="3" s="1"/>
  <c r="BA502" i="3"/>
  <c r="G502" i="3"/>
  <c r="G501" i="3"/>
  <c r="BL500" i="3"/>
  <c r="AZ500" i="3" s="1"/>
  <c r="BA499" i="3"/>
  <c r="BA498" i="3"/>
  <c r="AZ498" i="3" s="1"/>
  <c r="G498" i="3"/>
  <c r="G497" i="3"/>
  <c r="G496" i="3"/>
  <c r="BA495" i="3"/>
  <c r="AZ495" i="3" s="1"/>
  <c r="BP5" i="3"/>
  <c r="BL494" i="3"/>
  <c r="AZ494" i="3" s="1"/>
  <c r="BK5" i="3"/>
  <c r="BG5" i="3"/>
  <c r="BA494" i="3"/>
  <c r="AC5" i="3"/>
  <c r="BR5" i="3"/>
  <c r="BO5" i="3"/>
  <c r="BJ5" i="3"/>
  <c r="BF5" i="3"/>
  <c r="E14" i="6" s="1"/>
  <c r="G493" i="3"/>
  <c r="F6" i="1"/>
  <c r="BA398" i="3"/>
  <c r="AZ398" i="3" s="1"/>
  <c r="BL400" i="3"/>
  <c r="G401" i="3"/>
  <c r="G403" i="3"/>
  <c r="BA404" i="3"/>
  <c r="G405" i="3"/>
  <c r="G407" i="3"/>
  <c r="BL408" i="3"/>
  <c r="G409" i="3"/>
  <c r="BL410" i="3"/>
  <c r="G413" i="3"/>
  <c r="BA414" i="3"/>
  <c r="AZ414" i="3" s="1"/>
  <c r="G415" i="3"/>
  <c r="BA416" i="3"/>
  <c r="AZ416" i="3" s="1"/>
  <c r="BL416" i="3"/>
  <c r="BA418" i="3"/>
  <c r="AZ418" i="3" s="1"/>
  <c r="BA419" i="3"/>
  <c r="BL419" i="3"/>
  <c r="BA420" i="3"/>
  <c r="AZ420" i="3" s="1"/>
  <c r="BA422" i="3"/>
  <c r="AZ422" i="3" s="1"/>
  <c r="BL424" i="3"/>
  <c r="G425" i="3"/>
  <c r="BL426" i="3"/>
  <c r="G429" i="3"/>
  <c r="BA430" i="3"/>
  <c r="G431" i="3"/>
  <c r="BA432" i="3"/>
  <c r="BL432" i="3"/>
  <c r="G435" i="3"/>
  <c r="BA436" i="3"/>
  <c r="AZ436" i="3" s="1"/>
  <c r="G437" i="3"/>
  <c r="BA438" i="3"/>
  <c r="AZ438" i="3" s="1"/>
  <c r="BL438" i="3"/>
  <c r="G439" i="3"/>
  <c r="G449" i="3"/>
  <c r="G451" i="3"/>
  <c r="BA452" i="3"/>
  <c r="G453" i="3"/>
  <c r="G455" i="3"/>
  <c r="BA456" i="3"/>
  <c r="AZ456" i="3" s="1"/>
  <c r="BL456" i="3"/>
  <c r="BA458" i="3"/>
  <c r="AZ458" i="3" s="1"/>
  <c r="BA459" i="3"/>
  <c r="BL459" i="3"/>
  <c r="BA460" i="3"/>
  <c r="AZ460" i="3" s="1"/>
  <c r="BA462" i="3"/>
  <c r="AZ462" i="3" s="1"/>
  <c r="BL464" i="3"/>
  <c r="G465" i="3"/>
  <c r="BA466" i="3"/>
  <c r="BL466" i="3"/>
  <c r="BA467" i="3"/>
  <c r="AZ467" i="3" s="1"/>
  <c r="BA469" i="3"/>
  <c r="AZ469" i="3" s="1"/>
  <c r="BL471" i="3"/>
  <c r="G472" i="3"/>
  <c r="BA473" i="3"/>
  <c r="G474" i="3"/>
  <c r="BA475" i="3"/>
  <c r="BL475" i="3"/>
  <c r="BA476" i="3"/>
  <c r="AZ476" i="3" s="1"/>
  <c r="BA477" i="3"/>
  <c r="AZ477" i="3" s="1"/>
  <c r="BL477" i="3"/>
  <c r="BA478" i="3"/>
  <c r="AZ478" i="3" s="1"/>
  <c r="BL480" i="3"/>
  <c r="G481" i="3"/>
  <c r="BL482" i="3"/>
  <c r="G483" i="3"/>
  <c r="BL484" i="3"/>
  <c r="BL314" i="3"/>
  <c r="AZ314" i="3" s="1"/>
  <c r="BA316" i="3"/>
  <c r="BL316" i="3"/>
  <c r="G323" i="3"/>
  <c r="BL324" i="3"/>
  <c r="AZ324" i="3" s="1"/>
  <c r="BL328" i="3"/>
  <c r="G329" i="3"/>
  <c r="BA331" i="3"/>
  <c r="BL333" i="3"/>
  <c r="G334" i="3"/>
  <c r="BL367" i="3"/>
  <c r="BL381" i="3"/>
  <c r="AZ381" i="3" s="1"/>
  <c r="BL383" i="3"/>
  <c r="AZ383" i="3" s="1"/>
  <c r="G384" i="3"/>
  <c r="BA386" i="3"/>
  <c r="AZ386" i="3" s="1"/>
  <c r="G392" i="3"/>
  <c r="BL393" i="3"/>
  <c r="AZ393" i="3" s="1"/>
  <c r="BL395" i="3"/>
  <c r="G396" i="3"/>
  <c r="BA397" i="3"/>
  <c r="BL397" i="3"/>
  <c r="BA208" i="3"/>
  <c r="AZ208" i="3" s="1"/>
  <c r="BA209" i="3"/>
  <c r="AZ209" i="3" s="1"/>
  <c r="BL584" i="3"/>
  <c r="BA583" i="3"/>
  <c r="AZ583" i="3" s="1"/>
  <c r="BA582" i="3"/>
  <c r="BA579" i="3"/>
  <c r="AZ579" i="3" s="1"/>
  <c r="BL578" i="3"/>
  <c r="BA578" i="3"/>
  <c r="AZ578" i="3" s="1"/>
  <c r="BL576" i="3"/>
  <c r="BL575" i="3"/>
  <c r="BA575" i="3"/>
  <c r="BA574" i="3"/>
  <c r="AZ574" i="3" s="1"/>
  <c r="BA571" i="3"/>
  <c r="BL570" i="3"/>
  <c r="BA570" i="3"/>
  <c r="BL211" i="3"/>
  <c r="G212" i="3"/>
  <c r="BA213" i="3"/>
  <c r="G214" i="3"/>
  <c r="BA215" i="3"/>
  <c r="G216" i="3"/>
  <c r="BA217" i="3"/>
  <c r="AZ217" i="3" s="1"/>
  <c r="BL217" i="3"/>
  <c r="BL219" i="3"/>
  <c r="G220" i="3"/>
  <c r="BL221" i="3"/>
  <c r="BL223" i="3"/>
  <c r="BA225" i="3"/>
  <c r="AZ225" i="3" s="1"/>
  <c r="G226" i="3"/>
  <c r="BL227" i="3"/>
  <c r="G228" i="3"/>
  <c r="BA229" i="3"/>
  <c r="G230" i="3"/>
  <c r="BA231" i="3"/>
  <c r="BL231" i="3"/>
  <c r="BA233" i="3"/>
  <c r="AZ233" i="3" s="1"/>
  <c r="BL233" i="3"/>
  <c r="BA235" i="3"/>
  <c r="AZ235" i="3" s="1"/>
  <c r="BL235" i="3"/>
  <c r="BA236" i="3"/>
  <c r="AZ236" i="3" s="1"/>
  <c r="BA237" i="3"/>
  <c r="AZ237" i="3" s="1"/>
  <c r="BA238" i="3"/>
  <c r="AZ238" i="3" s="1"/>
  <c r="BA240" i="3"/>
  <c r="BL240" i="3"/>
  <c r="BL242" i="3"/>
  <c r="G243" i="3"/>
  <c r="BA245" i="3"/>
  <c r="BL245" i="3"/>
  <c r="BA246" i="3"/>
  <c r="AZ246" i="3" s="1"/>
  <c r="BA248" i="3"/>
  <c r="AZ248" i="3" s="1"/>
  <c r="BL248" i="3"/>
  <c r="BA250" i="3"/>
  <c r="AZ250" i="3" s="1"/>
  <c r="BL250" i="3"/>
  <c r="BL252" i="3"/>
  <c r="G253" i="3"/>
  <c r="BL254" i="3"/>
  <c r="G255" i="3"/>
  <c r="BA256" i="3"/>
  <c r="G257" i="3"/>
  <c r="BL258" i="3"/>
  <c r="BA260" i="3"/>
  <c r="G261" i="3"/>
  <c r="BL262" i="3"/>
  <c r="BA264" i="3"/>
  <c r="G265" i="3"/>
  <c r="BA266" i="3"/>
  <c r="G267" i="3"/>
  <c r="BL268" i="3"/>
  <c r="G269" i="3"/>
  <c r="BA270" i="3"/>
  <c r="AZ270" i="3" s="1"/>
  <c r="BL270" i="3"/>
  <c r="BL272" i="3"/>
  <c r="G273" i="3"/>
  <c r="BA274" i="3"/>
  <c r="AZ274" i="3" s="1"/>
  <c r="BL274" i="3"/>
  <c r="G302" i="3"/>
  <c r="BL113" i="3"/>
  <c r="G116" i="3"/>
  <c r="BA117" i="3"/>
  <c r="G118" i="3"/>
  <c r="G120" i="3"/>
  <c r="BL121" i="3"/>
  <c r="G122" i="3"/>
  <c r="G124" i="3"/>
  <c r="G130" i="3"/>
  <c r="BL133" i="3"/>
  <c r="BA137" i="3"/>
  <c r="G138" i="3"/>
  <c r="BL139" i="3"/>
  <c r="BA141" i="3"/>
  <c r="AZ141" i="3" s="1"/>
  <c r="BL141" i="3"/>
  <c r="BL143" i="3"/>
  <c r="AZ143" i="3" s="1"/>
  <c r="G144" i="3"/>
  <c r="BA146" i="3"/>
  <c r="AZ146" i="3" s="1"/>
  <c r="BL146" i="3"/>
  <c r="BA148" i="3"/>
  <c r="AZ148" i="3" s="1"/>
  <c r="BL150" i="3"/>
  <c r="G151" i="3"/>
  <c r="BA152" i="3"/>
  <c r="AZ152" i="3" s="1"/>
  <c r="BL154" i="3"/>
  <c r="G155" i="3"/>
  <c r="BA156" i="3"/>
  <c r="AZ156" i="3" s="1"/>
  <c r="BA158" i="3"/>
  <c r="G159" i="3"/>
  <c r="G163" i="3"/>
  <c r="G190" i="3"/>
  <c r="BA193" i="3"/>
  <c r="G194" i="3"/>
  <c r="BL195" i="3"/>
  <c r="AZ195" i="3" s="1"/>
  <c r="BL197" i="3"/>
  <c r="G198" i="3"/>
  <c r="G200" i="3"/>
  <c r="BL201" i="3"/>
  <c r="G202" i="3"/>
  <c r="G204" i="3"/>
  <c r="BA205" i="3"/>
  <c r="BL205" i="3"/>
  <c r="BL207" i="3"/>
  <c r="G18" i="3"/>
  <c r="BA19" i="3"/>
  <c r="G20" i="3"/>
  <c r="BA21" i="3"/>
  <c r="G22" i="3"/>
  <c r="BA23" i="3"/>
  <c r="BL23" i="3"/>
  <c r="BL25" i="3"/>
  <c r="G26" i="3"/>
  <c r="BA27" i="3"/>
  <c r="AZ27" i="3" s="1"/>
  <c r="BL27" i="3"/>
  <c r="BA29" i="3"/>
  <c r="AZ29" i="3" s="1"/>
  <c r="BL29" i="3"/>
  <c r="BA30" i="3"/>
  <c r="AZ30" i="3" s="1"/>
  <c r="BA31" i="3"/>
  <c r="AZ31" i="3" s="1"/>
  <c r="BA32" i="3"/>
  <c r="AZ32" i="3" s="1"/>
  <c r="BA33" i="3"/>
  <c r="AZ33" i="3" s="1"/>
  <c r="BA35" i="3"/>
  <c r="AZ35" i="3" s="1"/>
  <c r="BL35" i="3"/>
  <c r="BA36" i="3"/>
  <c r="AZ36" i="3" s="1"/>
  <c r="BA37" i="3"/>
  <c r="AZ37" i="3" s="1"/>
  <c r="D52" i="71"/>
  <c r="T52" i="71"/>
  <c r="E27" i="71"/>
  <c r="E26" i="71" s="1"/>
  <c r="V28" i="71"/>
  <c r="BA39" i="3"/>
  <c r="AZ39" i="3" s="1"/>
  <c r="BL39" i="3"/>
  <c r="BA40" i="3"/>
  <c r="AZ40" i="3" s="1"/>
  <c r="BA41" i="3"/>
  <c r="AZ41" i="3" s="1"/>
  <c r="BA42" i="3"/>
  <c r="AZ42" i="3" s="1"/>
  <c r="BA43" i="3"/>
  <c r="AZ43" i="3" s="1"/>
  <c r="BA45" i="3"/>
  <c r="AZ45" i="3" s="1"/>
  <c r="BL45" i="3"/>
  <c r="BA46" i="3"/>
  <c r="AZ46" i="3" s="1"/>
  <c r="BA47" i="3"/>
  <c r="AZ47" i="3" s="1"/>
  <c r="BL49" i="3"/>
  <c r="G50" i="3"/>
  <c r="BL51" i="3"/>
  <c r="G52" i="3"/>
  <c r="BA53" i="3"/>
  <c r="G54" i="3"/>
  <c r="BL55" i="3"/>
  <c r="BA91" i="3"/>
  <c r="BL91" i="3"/>
  <c r="BA92" i="3"/>
  <c r="AZ92" i="3" s="1"/>
  <c r="BA93" i="3"/>
  <c r="AZ93" i="3" s="1"/>
  <c r="BA94" i="3"/>
  <c r="AZ94" i="3" s="1"/>
  <c r="BL96" i="3"/>
  <c r="G97" i="3"/>
  <c r="BA98" i="3"/>
  <c r="AZ98" i="3" s="1"/>
  <c r="BL98" i="3"/>
  <c r="BA99" i="3"/>
  <c r="AZ99" i="3" s="1"/>
  <c r="BA101" i="3"/>
  <c r="BL101" i="3"/>
  <c r="BL103" i="3"/>
  <c r="G104" i="3"/>
  <c r="BA105" i="3"/>
  <c r="G106" i="3"/>
  <c r="BL107" i="3"/>
  <c r="G110" i="3"/>
  <c r="G112" i="3"/>
  <c r="AC21" i="21"/>
  <c r="C70" i="71"/>
  <c r="D70" i="71" s="1"/>
  <c r="D87" i="71"/>
  <c r="AA27" i="71"/>
  <c r="Y28" i="71"/>
  <c r="Z28" i="71" s="1"/>
  <c r="AB37" i="71"/>
  <c r="AA37" i="71"/>
  <c r="AB34" i="71"/>
  <c r="AB35" i="71"/>
  <c r="F39" i="71"/>
  <c r="F40" i="71" s="1"/>
  <c r="V40" i="71" s="1"/>
  <c r="C59" i="71"/>
  <c r="D59" i="71" s="1"/>
  <c r="AZ510" i="3"/>
  <c r="AB31" i="33"/>
  <c r="U31" i="33"/>
  <c r="S14" i="34"/>
  <c r="AA14" i="34"/>
  <c r="AB30" i="34"/>
  <c r="U30" i="34"/>
  <c r="AA32" i="34"/>
  <c r="S32" i="34"/>
  <c r="U46" i="34"/>
  <c r="AB46" i="34"/>
  <c r="W11" i="35"/>
  <c r="AC11" i="35"/>
  <c r="AA28" i="37"/>
  <c r="S28" i="37"/>
  <c r="AC38" i="37"/>
  <c r="W38" i="37"/>
  <c r="AC25" i="37"/>
  <c r="W25" i="37"/>
  <c r="AA13" i="39"/>
  <c r="S13" i="39"/>
  <c r="AZ570" i="3"/>
  <c r="G29" i="6"/>
  <c r="AZ499" i="3"/>
  <c r="AZ568" i="3"/>
  <c r="AZ576" i="3"/>
  <c r="AA34" i="39"/>
  <c r="S34" i="39"/>
  <c r="AA34" i="40"/>
  <c r="S34" i="40"/>
  <c r="F30" i="11"/>
  <c r="C48" i="11" s="1"/>
  <c r="H22" i="81"/>
  <c r="H25" i="81"/>
  <c r="AZ559" i="3"/>
  <c r="J12" i="34"/>
  <c r="H12" i="34"/>
  <c r="AC31" i="37"/>
  <c r="W31" i="37"/>
  <c r="H44" i="39"/>
  <c r="J44" i="39"/>
  <c r="W9" i="40"/>
  <c r="AC9" i="40"/>
  <c r="C21" i="71"/>
  <c r="D21" i="71" s="1"/>
  <c r="D19" i="53"/>
  <c r="B38" i="72" s="1"/>
  <c r="D16" i="53"/>
  <c r="B34" i="72" s="1"/>
  <c r="W23" i="37"/>
  <c r="U32" i="39"/>
  <c r="S13" i="21"/>
  <c r="AA23" i="21"/>
  <c r="F17" i="33"/>
  <c r="AB25" i="33"/>
  <c r="F32" i="15"/>
  <c r="F60" i="15" s="1"/>
  <c r="F52" i="9"/>
  <c r="F30" i="68"/>
  <c r="F48" i="68" s="1"/>
  <c r="B65" i="43"/>
  <c r="B58" i="43"/>
  <c r="C21" i="40"/>
  <c r="C17" i="40"/>
  <c r="C19" i="39"/>
  <c r="AB36" i="21"/>
  <c r="AB29" i="21"/>
  <c r="S17" i="21"/>
  <c r="AA30" i="21"/>
  <c r="S19" i="21"/>
  <c r="AA31" i="21"/>
  <c r="U28" i="21"/>
  <c r="S44" i="21"/>
  <c r="AC28" i="33"/>
  <c r="S11" i="33"/>
  <c r="AC14" i="33"/>
  <c r="U38" i="34"/>
  <c r="AC32" i="34"/>
  <c r="W33" i="34"/>
  <c r="AB45" i="34"/>
  <c r="U19" i="34"/>
  <c r="AA29" i="37"/>
  <c r="AC34" i="37"/>
  <c r="U38" i="37"/>
  <c r="U36" i="37"/>
  <c r="W36" i="37"/>
  <c r="S24" i="35"/>
  <c r="AC20" i="36"/>
  <c r="U32" i="36"/>
  <c r="S23" i="39"/>
  <c r="AA39" i="39"/>
  <c r="U8" i="40"/>
  <c r="S31" i="40"/>
  <c r="AA15" i="40"/>
  <c r="W27" i="40"/>
  <c r="W34" i="40"/>
  <c r="AB28" i="40"/>
  <c r="AB31" i="40"/>
  <c r="W23" i="40"/>
  <c r="U29" i="34"/>
  <c r="D120" i="9"/>
  <c r="AA38" i="21"/>
  <c r="W19" i="33"/>
  <c r="H23" i="33"/>
  <c r="U23" i="33" s="1"/>
  <c r="J32" i="33"/>
  <c r="AC32" i="33" s="1"/>
  <c r="U27" i="34"/>
  <c r="S17" i="34"/>
  <c r="AA25" i="34"/>
  <c r="U39" i="34"/>
  <c r="AB17" i="37"/>
  <c r="S30" i="37"/>
  <c r="AA38" i="37"/>
  <c r="W30" i="37"/>
  <c r="S32" i="37"/>
  <c r="W27" i="37"/>
  <c r="AB13" i="35"/>
  <c r="U24" i="36"/>
  <c r="AA25" i="36"/>
  <c r="U22" i="36"/>
  <c r="W14" i="36"/>
  <c r="AC26" i="36"/>
  <c r="AC13" i="39"/>
  <c r="S9" i="39"/>
  <c r="U19" i="39"/>
  <c r="U31" i="39"/>
  <c r="U21" i="40"/>
  <c r="AA19" i="40"/>
  <c r="AC15" i="40"/>
  <c r="AA32" i="40"/>
  <c r="AC36" i="40"/>
  <c r="W28" i="37"/>
  <c r="AC13" i="34"/>
  <c r="AC38" i="39"/>
  <c r="S31" i="39"/>
  <c r="U17" i="39"/>
  <c r="U36" i="40"/>
  <c r="BC5" i="3"/>
  <c r="AZ322" i="3"/>
  <c r="AZ311" i="3"/>
  <c r="AZ337" i="3"/>
  <c r="AZ376" i="3"/>
  <c r="AZ362" i="3"/>
  <c r="AZ360" i="3"/>
  <c r="AZ343" i="3"/>
  <c r="AZ327" i="3"/>
  <c r="AZ549" i="3"/>
  <c r="W27" i="39"/>
  <c r="H37" i="39"/>
  <c r="S14" i="40"/>
  <c r="H5" i="3"/>
  <c r="F12" i="37"/>
  <c r="S12" i="37" s="1"/>
  <c r="S42" i="21"/>
  <c r="AC31" i="33"/>
  <c r="W26" i="37"/>
  <c r="U35" i="35"/>
  <c r="F123" i="33"/>
  <c r="G123" i="33" s="1"/>
  <c r="H123" i="33" s="1"/>
  <c r="I123" i="33" s="1"/>
  <c r="J123" i="33" s="1"/>
  <c r="K123" i="33" s="1"/>
  <c r="L123" i="33" s="1"/>
  <c r="M123" i="33" s="1"/>
  <c r="F42" i="33"/>
  <c r="BL497" i="3"/>
  <c r="AZ497" i="3" s="1"/>
  <c r="BL501" i="3"/>
  <c r="AZ501" i="3" s="1"/>
  <c r="BL507" i="3"/>
  <c r="BL511" i="3"/>
  <c r="AZ511" i="3" s="1"/>
  <c r="BL515" i="3"/>
  <c r="AZ515" i="3" s="1"/>
  <c r="BL523" i="3"/>
  <c r="AZ529" i="3"/>
  <c r="AZ545" i="3"/>
  <c r="BL561" i="3"/>
  <c r="AZ561" i="3" s="1"/>
  <c r="BL565" i="3"/>
  <c r="AZ565" i="3" s="1"/>
  <c r="BL571" i="3"/>
  <c r="BL577" i="3"/>
  <c r="AZ577" i="3" s="1"/>
  <c r="BL581" i="3"/>
  <c r="BL557" i="3"/>
  <c r="W35" i="39"/>
  <c r="AC28" i="21"/>
  <c r="W13" i="36"/>
  <c r="U31" i="34"/>
  <c r="J14" i="37"/>
  <c r="AC14" i="37" s="1"/>
  <c r="H13" i="39"/>
  <c r="F14" i="37"/>
  <c r="H28" i="37"/>
  <c r="F11" i="35"/>
  <c r="J46" i="34"/>
  <c r="J30" i="34"/>
  <c r="W30" i="34" s="1"/>
  <c r="F45" i="33"/>
  <c r="AA45" i="33" s="1"/>
  <c r="F29" i="33"/>
  <c r="F45" i="21"/>
  <c r="J31" i="21"/>
  <c r="S28" i="34"/>
  <c r="U40" i="33"/>
  <c r="F27" i="34"/>
  <c r="S44" i="39"/>
  <c r="AB12" i="35"/>
  <c r="S40" i="39"/>
  <c r="C25" i="39"/>
  <c r="U34" i="21"/>
  <c r="S38" i="39"/>
  <c r="U31" i="35"/>
  <c r="F36" i="39"/>
  <c r="F12" i="21"/>
  <c r="H12" i="21"/>
  <c r="H23" i="35"/>
  <c r="J23" i="35"/>
  <c r="AC22" i="35"/>
  <c r="W22" i="35"/>
  <c r="AB31" i="36"/>
  <c r="U31" i="36"/>
  <c r="F26" i="37"/>
  <c r="AB40" i="40"/>
  <c r="U40" i="40"/>
  <c r="J39" i="40"/>
  <c r="H39" i="40"/>
  <c r="BL16" i="3"/>
  <c r="AZ16" i="3" s="1"/>
  <c r="AB18" i="35"/>
  <c r="U18" i="35"/>
  <c r="AC29" i="39"/>
  <c r="W29" i="39"/>
  <c r="AC25" i="40"/>
  <c r="W25" i="40"/>
  <c r="BL585" i="3"/>
  <c r="G562" i="3"/>
  <c r="G558" i="3"/>
  <c r="G542" i="3"/>
  <c r="G400" i="3"/>
  <c r="BL401" i="3"/>
  <c r="G402" i="3"/>
  <c r="BA403" i="3"/>
  <c r="AZ403" i="3" s="1"/>
  <c r="BL405" i="3"/>
  <c r="G406" i="3"/>
  <c r="BL407" i="3"/>
  <c r="G408" i="3"/>
  <c r="BA409" i="3"/>
  <c r="BL409" i="3"/>
  <c r="BA410" i="3"/>
  <c r="BA412" i="3"/>
  <c r="BL412" i="3"/>
  <c r="BA413" i="3"/>
  <c r="AZ413" i="3" s="1"/>
  <c r="BL415" i="3"/>
  <c r="G416" i="3"/>
  <c r="G418" i="3"/>
  <c r="G422" i="3"/>
  <c r="G424" i="3"/>
  <c r="BA425" i="3"/>
  <c r="BL425" i="3"/>
  <c r="BA426" i="3"/>
  <c r="AZ426" i="3" s="1"/>
  <c r="BA428" i="3"/>
  <c r="BL428" i="3"/>
  <c r="BA429" i="3"/>
  <c r="AZ429" i="3" s="1"/>
  <c r="BL431" i="3"/>
  <c r="G432" i="3"/>
  <c r="G434" i="3"/>
  <c r="BA435" i="3"/>
  <c r="BA437" i="3"/>
  <c r="BL437" i="3"/>
  <c r="BA439" i="3"/>
  <c r="BL439" i="3"/>
  <c r="BL440" i="3"/>
  <c r="G441" i="3"/>
  <c r="G443" i="3"/>
  <c r="G445" i="3"/>
  <c r="BA448" i="3"/>
  <c r="BL448" i="3"/>
  <c r="BL449" i="3"/>
  <c r="G450" i="3"/>
  <c r="BA451" i="3"/>
  <c r="AZ451" i="3" s="1"/>
  <c r="BL453" i="3"/>
  <c r="G454" i="3"/>
  <c r="BL455" i="3"/>
  <c r="G456" i="3"/>
  <c r="G458" i="3"/>
  <c r="G462" i="3"/>
  <c r="G464" i="3"/>
  <c r="BL465" i="3"/>
  <c r="G466" i="3"/>
  <c r="G469" i="3"/>
  <c r="G471" i="3"/>
  <c r="BA472" i="3"/>
  <c r="BL472" i="3"/>
  <c r="BL474" i="3"/>
  <c r="G475" i="3"/>
  <c r="G480" i="3"/>
  <c r="G482" i="3"/>
  <c r="BA483" i="3"/>
  <c r="BL483" i="3"/>
  <c r="BA484" i="3"/>
  <c r="AZ484" i="3" s="1"/>
  <c r="BL486" i="3"/>
  <c r="G487" i="3"/>
  <c r="BL488" i="3"/>
  <c r="G489" i="3"/>
  <c r="G491" i="3"/>
  <c r="BL312" i="3"/>
  <c r="AZ312" i="3" s="1"/>
  <c r="G313" i="3"/>
  <c r="BA315" i="3"/>
  <c r="AZ315" i="3" s="1"/>
  <c r="BL317" i="3"/>
  <c r="G318" i="3"/>
  <c r="BA332" i="3"/>
  <c r="BL332" i="3"/>
  <c r="G345" i="3"/>
  <c r="BL346" i="3"/>
  <c r="AZ346" i="3" s="1"/>
  <c r="BA352" i="3"/>
  <c r="AZ352" i="3" s="1"/>
  <c r="BL354" i="3"/>
  <c r="BA358" i="3"/>
  <c r="AZ358" i="3" s="1"/>
  <c r="BL365" i="3"/>
  <c r="AZ365" i="3" s="1"/>
  <c r="G366" i="3"/>
  <c r="BA367" i="3"/>
  <c r="G378" i="3"/>
  <c r="G380" i="3"/>
  <c r="BA388" i="3"/>
  <c r="AZ388" i="3" s="1"/>
  <c r="BA392" i="3"/>
  <c r="AZ392" i="3" s="1"/>
  <c r="G395" i="3"/>
  <c r="BL396" i="3"/>
  <c r="G397" i="3"/>
  <c r="G211" i="3"/>
  <c r="BA212" i="3"/>
  <c r="BL212" i="3"/>
  <c r="BA214" i="3"/>
  <c r="BL214" i="3"/>
  <c r="BL216" i="3"/>
  <c r="G217" i="3"/>
  <c r="G219" i="3"/>
  <c r="BA220" i="3"/>
  <c r="BL220" i="3"/>
  <c r="BA221" i="3"/>
  <c r="BA222" i="3"/>
  <c r="AZ222" i="3" s="1"/>
  <c r="BA223" i="3"/>
  <c r="AZ223" i="3" s="1"/>
  <c r="BA224" i="3"/>
  <c r="AZ224" i="3" s="1"/>
  <c r="BL226" i="3"/>
  <c r="G227" i="3"/>
  <c r="BA228" i="3"/>
  <c r="BL228" i="3"/>
  <c r="BL230" i="3"/>
  <c r="G231" i="3"/>
  <c r="G233" i="3"/>
  <c r="G235" i="3"/>
  <c r="G240" i="3"/>
  <c r="G242" i="3"/>
  <c r="BL243" i="3"/>
  <c r="G244" i="3"/>
  <c r="G245" i="3"/>
  <c r="G248" i="3"/>
  <c r="G250" i="3"/>
  <c r="G252" i="3"/>
  <c r="BL253" i="3"/>
  <c r="G254" i="3"/>
  <c r="BA255" i="3"/>
  <c r="BL255" i="3"/>
  <c r="BA257" i="3"/>
  <c r="BL257" i="3"/>
  <c r="BA258" i="3"/>
  <c r="BA259" i="3"/>
  <c r="AZ259" i="3" s="1"/>
  <c r="BA261" i="3"/>
  <c r="BL261" i="3"/>
  <c r="BA262" i="3"/>
  <c r="AZ262" i="3" s="1"/>
  <c r="BA263" i="3"/>
  <c r="AZ263" i="3" s="1"/>
  <c r="BA265" i="3"/>
  <c r="BL265" i="3"/>
  <c r="BL267" i="3"/>
  <c r="G268" i="3"/>
  <c r="BL269" i="3"/>
  <c r="G270" i="3"/>
  <c r="G272" i="3"/>
  <c r="BL273" i="3"/>
  <c r="G274" i="3"/>
  <c r="G276" i="3"/>
  <c r="D58" i="85"/>
  <c r="J55" i="43"/>
  <c r="D55" i="43"/>
  <c r="W21" i="34"/>
  <c r="AC21" i="34"/>
  <c r="P65" i="71"/>
  <c r="P66" i="71"/>
  <c r="D30" i="71"/>
  <c r="C31" i="71"/>
  <c r="E34" i="71"/>
  <c r="E35" i="71" s="1"/>
  <c r="E36" i="71" s="1"/>
  <c r="U36" i="71" s="1"/>
  <c r="AA33" i="71"/>
  <c r="O68" i="71"/>
  <c r="C67" i="71"/>
  <c r="M56" i="9"/>
  <c r="K56" i="9"/>
  <c r="AA26" i="71"/>
  <c r="X25" i="71"/>
  <c r="AA3" i="71"/>
  <c r="BL276" i="3"/>
  <c r="G277" i="3"/>
  <c r="G283" i="3"/>
  <c r="G286" i="3"/>
  <c r="G288" i="3"/>
  <c r="G291" i="3"/>
  <c r="G294" i="3"/>
  <c r="BL295" i="3"/>
  <c r="G296" i="3"/>
  <c r="BL297" i="3"/>
  <c r="G298" i="3"/>
  <c r="G300" i="3"/>
  <c r="BA301" i="3"/>
  <c r="BL301" i="3"/>
  <c r="AZ301" i="3" s="1"/>
  <c r="BA302" i="3"/>
  <c r="AZ302" i="3" s="1"/>
  <c r="BA113" i="3"/>
  <c r="AZ113" i="3" s="1"/>
  <c r="BA114" i="3"/>
  <c r="AZ114" i="3" s="1"/>
  <c r="BL115" i="3"/>
  <c r="AZ115" i="3" s="1"/>
  <c r="BL118" i="3"/>
  <c r="G119" i="3"/>
  <c r="BA120" i="3"/>
  <c r="AZ120" i="3" s="1"/>
  <c r="BA122" i="3"/>
  <c r="BL122" i="3"/>
  <c r="BL123" i="3"/>
  <c r="AZ123" i="3" s="1"/>
  <c r="BL125" i="3"/>
  <c r="G126" i="3"/>
  <c r="BA129" i="3"/>
  <c r="BL129" i="3"/>
  <c r="BL131" i="3"/>
  <c r="AZ131" i="3" s="1"/>
  <c r="G132" i="3"/>
  <c r="BA133" i="3"/>
  <c r="BL135" i="3"/>
  <c r="AZ135" i="3" s="1"/>
  <c r="G136" i="3"/>
  <c r="BA138" i="3"/>
  <c r="BL138" i="3"/>
  <c r="BA140" i="3"/>
  <c r="AZ140" i="3" s="1"/>
  <c r="G143" i="3"/>
  <c r="G146" i="3"/>
  <c r="BL149" i="3"/>
  <c r="G150" i="3"/>
  <c r="G152" i="3"/>
  <c r="BL153" i="3"/>
  <c r="G154" i="3"/>
  <c r="G156" i="3"/>
  <c r="BA157" i="3"/>
  <c r="BL157" i="3"/>
  <c r="BL159" i="3"/>
  <c r="AZ159" i="3" s="1"/>
  <c r="G160" i="3"/>
  <c r="BA162" i="3"/>
  <c r="BL162" i="3"/>
  <c r="BA164" i="3"/>
  <c r="AZ164" i="3" s="1"/>
  <c r="BL166" i="3"/>
  <c r="G167" i="3"/>
  <c r="BA168" i="3"/>
  <c r="AZ168" i="3" s="1"/>
  <c r="BL170" i="3"/>
  <c r="G171" i="3"/>
  <c r="BA172" i="3"/>
  <c r="AZ172" i="3" s="1"/>
  <c r="G175" i="3"/>
  <c r="G178" i="3"/>
  <c r="BL181" i="3"/>
  <c r="G182" i="3"/>
  <c r="G184" i="3"/>
  <c r="BL185" i="3"/>
  <c r="G186" i="3"/>
  <c r="G188" i="3"/>
  <c r="BA189" i="3"/>
  <c r="BL189" i="3"/>
  <c r="BL191" i="3"/>
  <c r="AZ191" i="3" s="1"/>
  <c r="G192" i="3"/>
  <c r="BA194" i="3"/>
  <c r="BL194" i="3"/>
  <c r="BA196" i="3"/>
  <c r="AZ196" i="3" s="1"/>
  <c r="BL198" i="3"/>
  <c r="G199" i="3"/>
  <c r="BA200" i="3"/>
  <c r="AZ200" i="3" s="1"/>
  <c r="BL202" i="3"/>
  <c r="G203" i="3"/>
  <c r="BA204" i="3"/>
  <c r="AZ204" i="3" s="1"/>
  <c r="G205" i="3"/>
  <c r="G207" i="3"/>
  <c r="BA18" i="3"/>
  <c r="BL18" i="3"/>
  <c r="AZ18" i="3" s="1"/>
  <c r="BA20" i="3"/>
  <c r="BL20" i="3"/>
  <c r="BL22" i="3"/>
  <c r="G23" i="3"/>
  <c r="G25" i="3"/>
  <c r="BL26" i="3"/>
  <c r="G27" i="3"/>
  <c r="G29" i="3"/>
  <c r="G35" i="3"/>
  <c r="G39" i="3"/>
  <c r="G45" i="3"/>
  <c r="G49" i="3"/>
  <c r="BL50" i="3"/>
  <c r="G51" i="3"/>
  <c r="BA52" i="3"/>
  <c r="BL52" i="3"/>
  <c r="BA54" i="3"/>
  <c r="AZ54" i="3" s="1"/>
  <c r="BA55" i="3"/>
  <c r="AZ55" i="3" s="1"/>
  <c r="BL57" i="3"/>
  <c r="G58" i="3"/>
  <c r="BL59" i="3"/>
  <c r="G60" i="3"/>
  <c r="G62" i="3"/>
  <c r="BL63" i="3"/>
  <c r="G64" i="3"/>
  <c r="G69" i="3"/>
  <c r="G74" i="3"/>
  <c r="G76" i="3"/>
  <c r="BL77" i="3"/>
  <c r="G78" i="3"/>
  <c r="G80" i="3"/>
  <c r="G88" i="3"/>
  <c r="G90" i="3"/>
  <c r="J53" i="43"/>
  <c r="D53" i="43"/>
  <c r="F40" i="68"/>
  <c r="C40" i="68"/>
  <c r="AA21" i="37"/>
  <c r="S21" i="37"/>
  <c r="B88" i="43"/>
  <c r="C25" i="40"/>
  <c r="AA18" i="35"/>
  <c r="S18" i="35"/>
  <c r="AA25" i="71"/>
  <c r="D76" i="71"/>
  <c r="C75" i="71"/>
  <c r="Q68" i="71"/>
  <c r="T68" i="71"/>
  <c r="X27" i="71"/>
  <c r="AA30" i="71"/>
  <c r="AA29" i="71"/>
  <c r="Y29" i="71"/>
  <c r="Z29" i="71" s="1"/>
  <c r="Y26" i="71"/>
  <c r="Z26" i="71" s="1"/>
  <c r="F30" i="71"/>
  <c r="F31" i="71" s="1"/>
  <c r="F32" i="71" s="1"/>
  <c r="V32" i="71" s="1"/>
  <c r="AB29" i="71"/>
  <c r="AB26" i="71"/>
  <c r="AB30" i="71"/>
  <c r="X29" i="71"/>
  <c r="AA31" i="71"/>
  <c r="AA28" i="71"/>
  <c r="Y37" i="71"/>
  <c r="Z37" i="71" s="1"/>
  <c r="C38" i="71"/>
  <c r="BL90" i="3"/>
  <c r="G91" i="3"/>
  <c r="G96" i="3"/>
  <c r="BL97" i="3"/>
  <c r="G98" i="3"/>
  <c r="G101" i="3"/>
  <c r="G103" i="3"/>
  <c r="BA104" i="3"/>
  <c r="BL104" i="3"/>
  <c r="BA106" i="3"/>
  <c r="AZ106" i="3" s="1"/>
  <c r="BA107" i="3"/>
  <c r="AZ107" i="3" s="1"/>
  <c r="BA109" i="3"/>
  <c r="BL109" i="3"/>
  <c r="BA111" i="3"/>
  <c r="BL111" i="3"/>
  <c r="BA112" i="3"/>
  <c r="AZ112" i="3" s="1"/>
  <c r="P27" i="6"/>
  <c r="AB25" i="71"/>
  <c r="E32" i="71"/>
  <c r="U32" i="71" s="1"/>
  <c r="Y31" i="71"/>
  <c r="Z31" i="71" s="1"/>
  <c r="AB31" i="71"/>
  <c r="Y32" i="71"/>
  <c r="Z32" i="71" s="1"/>
  <c r="F35" i="71"/>
  <c r="F36" i="71" s="1"/>
  <c r="V36" i="71" s="1"/>
  <c r="Y34" i="71"/>
  <c r="Z34" i="71" s="1"/>
  <c r="X32" i="71"/>
  <c r="B23" i="71"/>
  <c r="B22" i="71" s="1"/>
  <c r="B21" i="71" s="1"/>
  <c r="B20" i="71" s="1"/>
  <c r="F33" i="85"/>
  <c r="H33" i="85"/>
  <c r="J33" i="85"/>
  <c r="S43" i="33"/>
  <c r="D50" i="43"/>
  <c r="D52" i="43"/>
  <c r="D56" i="43"/>
  <c r="W45" i="21"/>
  <c r="AC45" i="21"/>
  <c r="AC9" i="33"/>
  <c r="W9" i="33"/>
  <c r="C20" i="71"/>
  <c r="C19" i="71" s="1"/>
  <c r="AB45" i="21"/>
  <c r="S37" i="21"/>
  <c r="AA23" i="37"/>
  <c r="F54" i="9"/>
  <c r="AA12" i="33"/>
  <c r="M18" i="15"/>
  <c r="F30" i="69"/>
  <c r="F48" i="69" s="1"/>
  <c r="M18" i="67"/>
  <c r="F31" i="12"/>
  <c r="AA29" i="21"/>
  <c r="U32" i="37"/>
  <c r="AB20" i="36"/>
  <c r="U35" i="40"/>
  <c r="AA34" i="33"/>
  <c r="AC11" i="39"/>
  <c r="AZ373" i="3"/>
  <c r="AZ382" i="3"/>
  <c r="AZ371" i="3"/>
  <c r="AZ342" i="3"/>
  <c r="AZ336" i="3"/>
  <c r="AZ321" i="3"/>
  <c r="AZ304" i="3"/>
  <c r="AZ394" i="3"/>
  <c r="AC12" i="37"/>
  <c r="AZ503" i="3"/>
  <c r="AZ523" i="3"/>
  <c r="AZ531" i="3"/>
  <c r="AZ539" i="3"/>
  <c r="AZ547" i="3"/>
  <c r="AZ553" i="3"/>
  <c r="AZ581" i="3"/>
  <c r="AZ526" i="3"/>
  <c r="AZ566" i="3"/>
  <c r="AZ582" i="3"/>
  <c r="AZ584" i="3"/>
  <c r="S11" i="36"/>
  <c r="W31" i="34"/>
  <c r="AB30" i="21"/>
  <c r="BL586" i="3"/>
  <c r="AZ586" i="3" s="1"/>
  <c r="F9" i="33"/>
  <c r="AA9" i="33" s="1"/>
  <c r="J9" i="34"/>
  <c r="H9" i="34"/>
  <c r="J12" i="36"/>
  <c r="H12" i="36"/>
  <c r="F38" i="40"/>
  <c r="H38" i="40"/>
  <c r="F48" i="9"/>
  <c r="O52" i="9" s="1"/>
  <c r="C22" i="81"/>
  <c r="AZ513" i="3"/>
  <c r="AZ567" i="3"/>
  <c r="AZ571" i="3"/>
  <c r="AZ575" i="3"/>
  <c r="H25" i="37"/>
  <c r="F25" i="37"/>
  <c r="G582" i="3"/>
  <c r="G566" i="3"/>
  <c r="G552" i="3"/>
  <c r="BA551" i="3"/>
  <c r="AZ551" i="3" s="1"/>
  <c r="G551" i="3"/>
  <c r="BL550" i="3"/>
  <c r="BA550" i="3"/>
  <c r="BL548" i="3"/>
  <c r="AZ548" i="3" s="1"/>
  <c r="B14" i="74"/>
  <c r="C33" i="33"/>
  <c r="D33" i="43"/>
  <c r="D1" i="43" s="1"/>
  <c r="G14" i="3"/>
  <c r="G399" i="3"/>
  <c r="BL399" i="3"/>
  <c r="BA400" i="3"/>
  <c r="BA401" i="3"/>
  <c r="BA402" i="3"/>
  <c r="BL402" i="3"/>
  <c r="G404" i="3"/>
  <c r="BL404" i="3"/>
  <c r="BA405" i="3"/>
  <c r="AZ405" i="3" s="1"/>
  <c r="BA406" i="3"/>
  <c r="BL406" i="3"/>
  <c r="BA407" i="3"/>
  <c r="AZ407" i="3" s="1"/>
  <c r="BA408" i="3"/>
  <c r="G411" i="3"/>
  <c r="BL411" i="3"/>
  <c r="G414" i="3"/>
  <c r="BL414" i="3"/>
  <c r="BA415" i="3"/>
  <c r="AZ415" i="3" s="1"/>
  <c r="BL417" i="3"/>
  <c r="AZ417" i="3" s="1"/>
  <c r="G419" i="3"/>
  <c r="G421" i="3"/>
  <c r="BL421" i="3"/>
  <c r="G423" i="3"/>
  <c r="BL423" i="3"/>
  <c r="BA424" i="3"/>
  <c r="AZ424" i="3" s="1"/>
  <c r="G427" i="3"/>
  <c r="BL427" i="3"/>
  <c r="G430" i="3"/>
  <c r="BL430" i="3"/>
  <c r="BA431" i="3"/>
  <c r="BL433" i="3"/>
  <c r="AZ433" i="3" s="1"/>
  <c r="BA434" i="3"/>
  <c r="BL434" i="3"/>
  <c r="G436" i="3"/>
  <c r="BL436" i="3"/>
  <c r="BA440" i="3"/>
  <c r="BA441" i="3"/>
  <c r="AZ441" i="3" s="1"/>
  <c r="BA442" i="3"/>
  <c r="BL442" i="3"/>
  <c r="G444" i="3"/>
  <c r="BL444" i="3"/>
  <c r="G446" i="3"/>
  <c r="BA447" i="3"/>
  <c r="AZ447" i="3" s="1"/>
  <c r="BA449" i="3"/>
  <c r="BA450" i="3"/>
  <c r="BL450" i="3"/>
  <c r="G452" i="3"/>
  <c r="BL452" i="3"/>
  <c r="BA453" i="3"/>
  <c r="AZ453" i="3" s="1"/>
  <c r="BA454" i="3"/>
  <c r="BL454" i="3"/>
  <c r="BA455" i="3"/>
  <c r="AZ455" i="3" s="1"/>
  <c r="BL457" i="3"/>
  <c r="AZ457" i="3" s="1"/>
  <c r="G459" i="3"/>
  <c r="G461" i="3"/>
  <c r="BL461" i="3"/>
  <c r="G463" i="3"/>
  <c r="BL463" i="3"/>
  <c r="BA464" i="3"/>
  <c r="AZ464" i="3" s="1"/>
  <c r="BA465" i="3"/>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G343" i="3"/>
  <c r="BA348" i="3"/>
  <c r="AZ348" i="3" s="1"/>
  <c r="BA349" i="3"/>
  <c r="AZ349" i="3" s="1"/>
  <c r="G351" i="3"/>
  <c r="BA354" i="3"/>
  <c r="G364" i="3"/>
  <c r="BA366" i="3"/>
  <c r="AZ366" i="3" s="1"/>
  <c r="BL368" i="3"/>
  <c r="AZ368" i="3" s="1"/>
  <c r="G374" i="3"/>
  <c r="BL375" i="3"/>
  <c r="AZ375" i="3" s="1"/>
  <c r="G382" i="3"/>
  <c r="BA384" i="3"/>
  <c r="AZ384" i="3" s="1"/>
  <c r="BL385" i="3"/>
  <c r="G387" i="3"/>
  <c r="BA395" i="3"/>
  <c r="AZ395" i="3" s="1"/>
  <c r="BA396" i="3"/>
  <c r="AZ396" i="3" s="1"/>
  <c r="G209" i="3"/>
  <c r="G210" i="3"/>
  <c r="BL210" i="3"/>
  <c r="BA211" i="3"/>
  <c r="BL213" i="3"/>
  <c r="BL215" i="3"/>
  <c r="BA216" i="3"/>
  <c r="AZ216" i="3" s="1"/>
  <c r="BL218" i="3"/>
  <c r="AZ218" i="3" s="1"/>
  <c r="BA219" i="3"/>
  <c r="G222" i="3"/>
  <c r="G223" i="3"/>
  <c r="G224" i="3"/>
  <c r="G225" i="3"/>
  <c r="BL225" i="3"/>
  <c r="BA226" i="3"/>
  <c r="BA227" i="3"/>
  <c r="BL229" i="3"/>
  <c r="BA230" i="3"/>
  <c r="AZ230" i="3" s="1"/>
  <c r="BL232" i="3"/>
  <c r="AZ232" i="3" s="1"/>
  <c r="BL234" i="3"/>
  <c r="AZ234" i="3" s="1"/>
  <c r="G237" i="3"/>
  <c r="G238" i="3"/>
  <c r="G239" i="3"/>
  <c r="BL239" i="3"/>
  <c r="AZ239" i="3" s="1"/>
  <c r="BL241" i="3"/>
  <c r="AZ241" i="3" s="1"/>
  <c r="BA242" i="3"/>
  <c r="AZ242" i="3" s="1"/>
  <c r="BA243" i="3"/>
  <c r="E19" i="6"/>
  <c r="BL15" i="3"/>
  <c r="AZ15" i="3" s="1"/>
  <c r="AZ427" i="3"/>
  <c r="BL244" i="3"/>
  <c r="AZ244" i="3" s="1"/>
  <c r="G247" i="3"/>
  <c r="BL247" i="3"/>
  <c r="AZ247" i="3" s="1"/>
  <c r="BL249" i="3"/>
  <c r="AZ249" i="3" s="1"/>
  <c r="BL251" i="3"/>
  <c r="AZ251" i="3" s="1"/>
  <c r="BA252" i="3"/>
  <c r="BA253" i="3"/>
  <c r="AZ253" i="3" s="1"/>
  <c r="BA254" i="3"/>
  <c r="BL256" i="3"/>
  <c r="AZ256" i="3" s="1"/>
  <c r="G259" i="3"/>
  <c r="G260" i="3"/>
  <c r="BL260" i="3"/>
  <c r="AZ260" i="3" s="1"/>
  <c r="G263" i="3"/>
  <c r="G264" i="3"/>
  <c r="BL264" i="3"/>
  <c r="BL266" i="3"/>
  <c r="BA267" i="3"/>
  <c r="AZ267" i="3" s="1"/>
  <c r="BA268" i="3"/>
  <c r="BA269" i="3"/>
  <c r="AZ269" i="3" s="1"/>
  <c r="BL271" i="3"/>
  <c r="AZ271" i="3" s="1"/>
  <c r="BA272" i="3"/>
  <c r="AZ272" i="3" s="1"/>
  <c r="BA273" i="3"/>
  <c r="AZ273" i="3" s="1"/>
  <c r="BL275" i="3"/>
  <c r="AZ275" i="3" s="1"/>
  <c r="BA276" i="3"/>
  <c r="AZ276" i="3" s="1"/>
  <c r="G279" i="3"/>
  <c r="G280" i="3"/>
  <c r="G281" i="3"/>
  <c r="G282" i="3"/>
  <c r="BL282" i="3"/>
  <c r="AZ282" i="3" s="1"/>
  <c r="G285" i="3"/>
  <c r="BL285" i="3"/>
  <c r="AZ285" i="3" s="1"/>
  <c r="BL287" i="3"/>
  <c r="AZ287" i="3" s="1"/>
  <c r="G290" i="3"/>
  <c r="BL290" i="3"/>
  <c r="G293" i="3"/>
  <c r="BL293" i="3"/>
  <c r="BA294" i="3"/>
  <c r="AZ294" i="3" s="1"/>
  <c r="BA295" i="3"/>
  <c r="BA296" i="3"/>
  <c r="AZ296" i="3" s="1"/>
  <c r="BA297" i="3"/>
  <c r="BL299" i="3"/>
  <c r="AZ299" i="3" s="1"/>
  <c r="BA300" i="3"/>
  <c r="AZ300" i="3" s="1"/>
  <c r="G114" i="3"/>
  <c r="G115" i="3"/>
  <c r="BL117" i="3"/>
  <c r="AZ117" i="3" s="1"/>
  <c r="BA118" i="3"/>
  <c r="AZ118" i="3" s="1"/>
  <c r="BL119" i="3"/>
  <c r="AZ119" i="3" s="1"/>
  <c r="BA121" i="3"/>
  <c r="BA125" i="3"/>
  <c r="AZ125" i="3" s="1"/>
  <c r="G128" i="3"/>
  <c r="BL130" i="3"/>
  <c r="AZ130" i="3" s="1"/>
  <c r="BA132" i="3"/>
  <c r="AZ132" i="3" s="1"/>
  <c r="G134" i="3"/>
  <c r="BL134" i="3"/>
  <c r="AZ134" i="3" s="1"/>
  <c r="BA136" i="3"/>
  <c r="AZ136" i="3" s="1"/>
  <c r="BL137" i="3"/>
  <c r="AZ137" i="3" s="1"/>
  <c r="G140" i="3"/>
  <c r="BL142" i="3"/>
  <c r="AZ142" i="3" s="1"/>
  <c r="BA144" i="3"/>
  <c r="AZ144" i="3" s="1"/>
  <c r="BL145" i="3"/>
  <c r="AZ145" i="3" s="1"/>
  <c r="G148" i="3"/>
  <c r="BA149" i="3"/>
  <c r="AZ149" i="3" s="1"/>
  <c r="BA150" i="3"/>
  <c r="AZ150" i="3" s="1"/>
  <c r="BL151" i="3"/>
  <c r="AZ151" i="3" s="1"/>
  <c r="BA153" i="3"/>
  <c r="AZ153" i="3" s="1"/>
  <c r="BA154" i="3"/>
  <c r="BL155" i="3"/>
  <c r="AZ155" i="3" s="1"/>
  <c r="BL158" i="3"/>
  <c r="AZ158" i="3" s="1"/>
  <c r="BA160" i="3"/>
  <c r="AZ160" i="3" s="1"/>
  <c r="BL161" i="3"/>
  <c r="AZ161" i="3" s="1"/>
  <c r="G164" i="3"/>
  <c r="BA165" i="3"/>
  <c r="AZ165" i="3" s="1"/>
  <c r="BA166" i="3"/>
  <c r="AZ166" i="3" s="1"/>
  <c r="BL167" i="3"/>
  <c r="AZ167" i="3" s="1"/>
  <c r="BA169" i="3"/>
  <c r="AZ169" i="3" s="1"/>
  <c r="BA170" i="3"/>
  <c r="AZ170" i="3" s="1"/>
  <c r="BL171" i="3"/>
  <c r="AZ171" i="3" s="1"/>
  <c r="BL174" i="3"/>
  <c r="AZ174" i="3" s="1"/>
  <c r="BA176" i="3"/>
  <c r="AZ176" i="3" s="1"/>
  <c r="BL177" i="3"/>
  <c r="AZ177" i="3" s="1"/>
  <c r="G180" i="3"/>
  <c r="BA181" i="3"/>
  <c r="BA182" i="3"/>
  <c r="AZ182" i="3" s="1"/>
  <c r="BL183" i="3"/>
  <c r="AZ183" i="3" s="1"/>
  <c r="BA185" i="3"/>
  <c r="AZ185" i="3" s="1"/>
  <c r="BA186" i="3"/>
  <c r="AZ186" i="3" s="1"/>
  <c r="BL187" i="3"/>
  <c r="AZ187" i="3" s="1"/>
  <c r="BL190" i="3"/>
  <c r="AZ190" i="3" s="1"/>
  <c r="BA192" i="3"/>
  <c r="AZ192" i="3" s="1"/>
  <c r="BL193" i="3"/>
  <c r="G196" i="3"/>
  <c r="BA197" i="3"/>
  <c r="BA198" i="3"/>
  <c r="AZ198" i="3" s="1"/>
  <c r="BL199" i="3"/>
  <c r="AZ199" i="3" s="1"/>
  <c r="BA201" i="3"/>
  <c r="AZ201" i="3" s="1"/>
  <c r="BA202" i="3"/>
  <c r="BL203" i="3"/>
  <c r="AZ203" i="3" s="1"/>
  <c r="BL206" i="3"/>
  <c r="AZ206" i="3" s="1"/>
  <c r="BA207" i="3"/>
  <c r="AZ207" i="3" s="1"/>
  <c r="BL19" i="3"/>
  <c r="BL21" i="3"/>
  <c r="AZ21" i="3" s="1"/>
  <c r="BA22" i="3"/>
  <c r="AZ22" i="3" s="1"/>
  <c r="BL24" i="3"/>
  <c r="AZ24" i="3" s="1"/>
  <c r="BA25" i="3"/>
  <c r="BA26" i="3"/>
  <c r="AZ26" i="3" s="1"/>
  <c r="BL28" i="3"/>
  <c r="AZ28" i="3" s="1"/>
  <c r="G31" i="3"/>
  <c r="G32" i="3"/>
  <c r="G33" i="3"/>
  <c r="G34" i="3"/>
  <c r="BL34" i="3"/>
  <c r="AZ34" i="3" s="1"/>
  <c r="G37" i="3"/>
  <c r="G38" i="3"/>
  <c r="BL38" i="3"/>
  <c r="G41" i="3"/>
  <c r="G42" i="3"/>
  <c r="G43" i="3"/>
  <c r="G44" i="3"/>
  <c r="BL44" i="3"/>
  <c r="AZ44" i="3" s="1"/>
  <c r="G47" i="3"/>
  <c r="G48" i="3"/>
  <c r="BL48" i="3"/>
  <c r="BA49" i="3"/>
  <c r="AZ49" i="3" s="1"/>
  <c r="BA50" i="3"/>
  <c r="AZ50" i="3" s="1"/>
  <c r="BA51" i="3"/>
  <c r="AZ51" i="3" s="1"/>
  <c r="BL53" i="3"/>
  <c r="G55" i="3"/>
  <c r="G56" i="3"/>
  <c r="BL56" i="3"/>
  <c r="BA57" i="3"/>
  <c r="AZ57" i="3" s="1"/>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BL89" i="3"/>
  <c r="AZ89" i="3" s="1"/>
  <c r="BA90" i="3"/>
  <c r="AZ90" i="3" s="1"/>
  <c r="G93" i="3"/>
  <c r="G94" i="3"/>
  <c r="G95" i="3"/>
  <c r="BL95" i="3"/>
  <c r="BA96" i="3"/>
  <c r="AZ96" i="3" s="1"/>
  <c r="BA97" i="3"/>
  <c r="G100" i="3"/>
  <c r="BL100" i="3"/>
  <c r="BL102" i="3"/>
  <c r="AZ102" i="3" s="1"/>
  <c r="BA103" i="3"/>
  <c r="AZ103" i="3" s="1"/>
  <c r="BL105" i="3"/>
  <c r="AZ105" i="3" s="1"/>
  <c r="G107" i="3"/>
  <c r="G108" i="3"/>
  <c r="BL108" i="3"/>
  <c r="B27" i="71"/>
  <c r="B26" i="71" s="1"/>
  <c r="S28" i="71"/>
  <c r="AZ193" i="3"/>
  <c r="AZ38" i="3"/>
  <c r="AZ56" i="3"/>
  <c r="AZ95" i="3"/>
  <c r="AZ100" i="3"/>
  <c r="C35" i="71"/>
  <c r="D34" i="71"/>
  <c r="D62" i="71"/>
  <c r="C63" i="71"/>
  <c r="E23" i="71"/>
  <c r="E22" i="71" s="1"/>
  <c r="E21" i="71" s="1"/>
  <c r="E20" i="71" s="1"/>
  <c r="E19" i="71" s="1"/>
  <c r="E18" i="71" s="1"/>
  <c r="E17" i="71" s="1"/>
  <c r="E16" i="71" s="1"/>
  <c r="V24" i="71"/>
  <c r="BL110" i="3"/>
  <c r="AZ110" i="3" s="1"/>
  <c r="F3" i="35"/>
  <c r="AC21" i="37"/>
  <c r="U21" i="34"/>
  <c r="C29" i="39"/>
  <c r="B68" i="43"/>
  <c r="B77" i="43"/>
  <c r="AB27" i="71"/>
  <c r="X28" i="71"/>
  <c r="X26" i="71"/>
  <c r="Y27" i="71"/>
  <c r="Z27" i="71" s="1"/>
  <c r="AB33" i="71"/>
  <c r="Y33" i="71"/>
  <c r="Z33" i="71" s="1"/>
  <c r="X31" i="71"/>
  <c r="X30" i="71"/>
  <c r="B43" i="71"/>
  <c r="B44" i="71" s="1"/>
  <c r="S44" i="71" s="1"/>
  <c r="B47" i="71"/>
  <c r="B48" i="71" s="1"/>
  <c r="S48" i="71" s="1"/>
  <c r="S15" i="33"/>
  <c r="W42" i="33"/>
  <c r="W41" i="33"/>
  <c r="U35" i="33"/>
  <c r="AB34" i="33"/>
  <c r="H32" i="33"/>
  <c r="F27" i="33"/>
  <c r="AA27" i="33" s="1"/>
  <c r="F91" i="33"/>
  <c r="G91" i="33" s="1"/>
  <c r="H91" i="33" s="1"/>
  <c r="I91" i="33" s="1"/>
  <c r="J91" i="33" s="1"/>
  <c r="K91" i="33" s="1"/>
  <c r="L91" i="33" s="1"/>
  <c r="M91" i="33" s="1"/>
  <c r="H27" i="33"/>
  <c r="U27" i="33" s="1"/>
  <c r="J27" i="33"/>
  <c r="AC27" i="33" s="1"/>
  <c r="W25" i="33"/>
  <c r="S23" i="33"/>
  <c r="AB23" i="33"/>
  <c r="H111" i="33"/>
  <c r="I111" i="33" s="1"/>
  <c r="J111" i="33" s="1"/>
  <c r="K111" i="33" s="1"/>
  <c r="L111" i="33" s="1"/>
  <c r="M111" i="33" s="1"/>
  <c r="J36" i="33"/>
  <c r="W36" i="33" s="1"/>
  <c r="F36" i="33"/>
  <c r="AA36" i="33" s="1"/>
  <c r="H36" i="33"/>
  <c r="U36" i="33" s="1"/>
  <c r="AA35" i="33"/>
  <c r="S41" i="33"/>
  <c r="S26" i="33"/>
  <c r="AC11" i="33"/>
  <c r="U11" i="33"/>
  <c r="W8" i="33"/>
  <c r="U39" i="33"/>
  <c r="S39" i="33"/>
  <c r="W35" i="33"/>
  <c r="AB26" i="33"/>
  <c r="W23" i="33"/>
  <c r="AB19" i="33"/>
  <c r="AA19" i="33"/>
  <c r="U17" i="33"/>
  <c r="AC44" i="33"/>
  <c r="W44" i="33"/>
  <c r="AC46" i="33"/>
  <c r="W46" i="33"/>
  <c r="AB45" i="33"/>
  <c r="H46" i="33"/>
  <c r="AB46" i="33" s="1"/>
  <c r="AC12" i="33"/>
  <c r="W12" i="33"/>
  <c r="AA13" i="33"/>
  <c r="H12" i="33"/>
  <c r="C21" i="68"/>
  <c r="C40" i="69"/>
  <c r="E19" i="11"/>
  <c r="F28" i="6"/>
  <c r="C28" i="67"/>
  <c r="AC21" i="33"/>
  <c r="W39" i="33"/>
  <c r="AB41" i="33"/>
  <c r="AB28" i="33"/>
  <c r="AB14" i="33"/>
  <c r="U42" i="33"/>
  <c r="AB21" i="33"/>
  <c r="AA25" i="33"/>
  <c r="AA14" i="33"/>
  <c r="AA44" i="33"/>
  <c r="T20" i="71"/>
  <c r="V20" i="71"/>
  <c r="AC17" i="21"/>
  <c r="W17" i="21"/>
  <c r="D121" i="9"/>
  <c r="D7" i="52" s="1"/>
  <c r="D6" i="52"/>
  <c r="AZ557" i="3"/>
  <c r="S12" i="21"/>
  <c r="AA12" i="21"/>
  <c r="AC9" i="34"/>
  <c r="W9" i="34"/>
  <c r="W12" i="34"/>
  <c r="AC12" i="34"/>
  <c r="E15" i="71"/>
  <c r="E14" i="71" s="1"/>
  <c r="E13" i="71" s="1"/>
  <c r="E12" i="71" s="1"/>
  <c r="V16" i="71"/>
  <c r="U15" i="21"/>
  <c r="AB15" i="21"/>
  <c r="AC29" i="21"/>
  <c r="W29" i="21"/>
  <c r="AC17" i="37"/>
  <c r="AC15" i="21"/>
  <c r="S20" i="35"/>
  <c r="U12" i="39"/>
  <c r="AA27" i="40"/>
  <c r="AB27" i="40"/>
  <c r="G28" i="6"/>
  <c r="F29" i="6"/>
  <c r="E29" i="6" s="1"/>
  <c r="K15" i="1" s="1"/>
  <c r="AA25" i="21"/>
  <c r="W47" i="34"/>
  <c r="W14" i="37"/>
  <c r="U14" i="40"/>
  <c r="U43" i="33"/>
  <c r="AA41" i="34"/>
  <c r="S44" i="34"/>
  <c r="W29" i="33"/>
  <c r="S45" i="33"/>
  <c r="AC30" i="34"/>
  <c r="AA13" i="35"/>
  <c r="AA29" i="35"/>
  <c r="B73" i="43"/>
  <c r="B79" i="43"/>
  <c r="B76" i="43"/>
  <c r="B75" i="43"/>
  <c r="F9" i="34"/>
  <c r="AA9" i="34" s="1"/>
  <c r="F12" i="34"/>
  <c r="J12" i="35"/>
  <c r="H36" i="35"/>
  <c r="J36" i="35"/>
  <c r="J23" i="36"/>
  <c r="H23" i="36"/>
  <c r="F23" i="36"/>
  <c r="AZ399" i="3"/>
  <c r="AZ404" i="3"/>
  <c r="AZ411" i="3"/>
  <c r="AZ421" i="3"/>
  <c r="AZ423" i="3"/>
  <c r="AZ430" i="3"/>
  <c r="J34" i="35"/>
  <c r="H34" i="35"/>
  <c r="F34" i="35"/>
  <c r="AZ425" i="3"/>
  <c r="AZ461" i="3"/>
  <c r="AZ463" i="3"/>
  <c r="AZ468" i="3"/>
  <c r="AZ470" i="3"/>
  <c r="AZ479" i="3"/>
  <c r="AZ485" i="3"/>
  <c r="AZ385" i="3"/>
  <c r="AZ210" i="3"/>
  <c r="AZ255" i="3"/>
  <c r="AZ277" i="3"/>
  <c r="AZ435" i="3"/>
  <c r="AZ439" i="3"/>
  <c r="AZ444" i="3"/>
  <c r="AZ448" i="3"/>
  <c r="AZ452" i="3"/>
  <c r="AZ489" i="3"/>
  <c r="AZ231" i="3"/>
  <c r="AZ264" i="3"/>
  <c r="AZ290" i="3"/>
  <c r="AZ293" i="3"/>
  <c r="AZ126" i="3"/>
  <c r="AZ129" i="3"/>
  <c r="AZ205" i="3"/>
  <c r="AZ23" i="3"/>
  <c r="AZ48" i="3"/>
  <c r="AZ60" i="3"/>
  <c r="AZ64" i="3"/>
  <c r="AZ87" i="3"/>
  <c r="C43" i="71"/>
  <c r="D42" i="71"/>
  <c r="C47" i="71"/>
  <c r="D47" i="71" s="1"/>
  <c r="D46" i="71"/>
  <c r="D54" i="71"/>
  <c r="C55" i="71"/>
  <c r="AZ108" i="3"/>
  <c r="AB21" i="21"/>
  <c r="S21" i="21"/>
  <c r="U18" i="36"/>
  <c r="Y9" i="71"/>
  <c r="Z9" i="71" s="1"/>
  <c r="Y10" i="71"/>
  <c r="Z10" i="71" s="1"/>
  <c r="AA9" i="71"/>
  <c r="AA10" i="71"/>
  <c r="X22" i="71"/>
  <c r="AA24" i="71"/>
  <c r="AA23"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4" i="71"/>
  <c r="AA13" i="71"/>
  <c r="AB17" i="71"/>
  <c r="F67" i="71"/>
  <c r="X24" i="71"/>
  <c r="Y24" i="71"/>
  <c r="Z24" i="71" s="1"/>
  <c r="AB15" i="71"/>
  <c r="AA12" i="71"/>
  <c r="X11" i="71"/>
  <c r="AB11" i="71"/>
  <c r="AB14" i="71"/>
  <c r="Y12" i="71"/>
  <c r="Z12" i="71" s="1"/>
  <c r="Y13" i="71"/>
  <c r="Z13" i="71" s="1"/>
  <c r="Y23" i="71"/>
  <c r="Z23" i="71" s="1"/>
  <c r="Y22" i="71"/>
  <c r="Z22" i="71" s="1"/>
  <c r="X15" i="71"/>
  <c r="AA15" i="71"/>
  <c r="AA11" i="71"/>
  <c r="AA14" i="71"/>
  <c r="X13" i="71"/>
  <c r="X12" i="71"/>
  <c r="AB12" i="71"/>
  <c r="AB13" i="71"/>
  <c r="Y11" i="71"/>
  <c r="Z11" i="71" s="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8" i="33"/>
  <c r="U8" i="33"/>
  <c r="W8" i="21"/>
  <c r="S8" i="21"/>
  <c r="AA11" i="21"/>
  <c r="AC11" i="21"/>
  <c r="AB11" i="21"/>
  <c r="C30" i="69"/>
  <c r="F53" i="9"/>
  <c r="C5" i="11"/>
  <c r="C4" i="12"/>
  <c r="I4" i="6"/>
  <c r="G3" i="43" s="1"/>
  <c r="H26" i="43" s="1"/>
  <c r="G30" i="6"/>
  <c r="G31" i="6" s="1"/>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0" i="6"/>
  <c r="P6" i="1"/>
  <c r="C13" i="12" s="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J53" i="15"/>
  <c r="L56" i="15" s="1"/>
  <c r="J57" i="15"/>
  <c r="J55" i="15" s="1"/>
  <c r="J58" i="15" s="1"/>
  <c r="Q50" i="15" s="1"/>
  <c r="I54" i="15"/>
  <c r="K1" i="73"/>
  <c r="I1" i="73"/>
  <c r="B39" i="1" s="1"/>
  <c r="M7" i="15"/>
  <c r="F50" i="15"/>
  <c r="F51" i="15"/>
  <c r="F66" i="15"/>
  <c r="D103" i="9"/>
  <c r="C27" i="15"/>
  <c r="G20" i="9"/>
  <c r="C103" i="9"/>
  <c r="B13" i="70"/>
  <c r="F68" i="67"/>
  <c r="F64" i="67"/>
  <c r="C36" i="68"/>
  <c r="D9" i="68"/>
  <c r="M9" i="67"/>
  <c r="F42" i="67"/>
  <c r="L47" i="15"/>
  <c r="F42" i="15"/>
  <c r="C36" i="69"/>
  <c r="C76" i="67"/>
  <c r="M26" i="15"/>
  <c r="D6" i="73"/>
  <c r="D4" i="73"/>
  <c r="F8" i="67"/>
  <c r="M8" i="15"/>
  <c r="F9" i="67"/>
  <c r="M26" i="67"/>
  <c r="F16" i="15"/>
  <c r="F6" i="15"/>
  <c r="C76" i="15"/>
  <c r="F6" i="67"/>
  <c r="M24" i="15"/>
  <c r="F27" i="69"/>
  <c r="F9" i="15"/>
  <c r="G1" i="73"/>
  <c r="M8" i="67"/>
  <c r="D9" i="69"/>
  <c r="M28" i="15"/>
  <c r="F43" i="15"/>
  <c r="D7" i="73"/>
  <c r="F16" i="67"/>
  <c r="F40" i="15"/>
  <c r="M22" i="15"/>
  <c r="F26" i="67"/>
  <c r="M28" i="67"/>
  <c r="F37" i="15"/>
  <c r="L48" i="67"/>
  <c r="L47" i="67"/>
  <c r="J15" i="67"/>
  <c r="M9" i="15"/>
  <c r="F13" i="67"/>
  <c r="M24" i="67"/>
  <c r="F36" i="15"/>
  <c r="F38" i="67"/>
  <c r="F37" i="67"/>
  <c r="W32" i="33" l="1"/>
  <c r="S27" i="33"/>
  <c r="S30" i="33"/>
  <c r="AA30" i="33"/>
  <c r="U46" i="33"/>
  <c r="G26" i="43"/>
  <c r="N94" i="46"/>
  <c r="U15" i="33"/>
  <c r="J57" i="67"/>
  <c r="J55" i="67" s="1"/>
  <c r="J58" i="67" s="1"/>
  <c r="Q50" i="67" s="1"/>
  <c r="I54" i="67"/>
  <c r="J53" i="67"/>
  <c r="Q52" i="67" s="1"/>
  <c r="L56" i="67"/>
  <c r="N59" i="67"/>
  <c r="L58" i="67"/>
  <c r="Q60" i="67" s="1"/>
  <c r="L59" i="67"/>
  <c r="Q61" i="67" s="1"/>
  <c r="M59" i="67"/>
  <c r="F51" i="67"/>
  <c r="F66" i="67"/>
  <c r="E63" i="39"/>
  <c r="E59" i="40"/>
  <c r="I5" i="81"/>
  <c r="I24" i="43"/>
  <c r="C24" i="43" s="1"/>
  <c r="AC9" i="36"/>
  <c r="W9" i="36"/>
  <c r="W31" i="39"/>
  <c r="AC31" i="39"/>
  <c r="U14" i="21"/>
  <c r="AB14" i="21"/>
  <c r="AA46" i="21"/>
  <c r="S46" i="21"/>
  <c r="B20" i="31"/>
  <c r="B21" i="31" s="1"/>
  <c r="N370" i="46"/>
  <c r="F26" i="43"/>
  <c r="E13" i="6"/>
  <c r="E11" i="6"/>
  <c r="E60" i="39" s="1"/>
  <c r="E12" i="6"/>
  <c r="E57" i="40" s="1"/>
  <c r="S9" i="33"/>
  <c r="S9" i="34"/>
  <c r="D20" i="71"/>
  <c r="U20" i="71" s="1"/>
  <c r="W27" i="33"/>
  <c r="G6" i="1"/>
  <c r="AZ227" i="3"/>
  <c r="AZ215" i="3"/>
  <c r="AZ211" i="3"/>
  <c r="AZ333" i="3"/>
  <c r="AZ408" i="3"/>
  <c r="AZ400" i="3"/>
  <c r="C60" i="71"/>
  <c r="E58" i="85"/>
  <c r="AZ258" i="3"/>
  <c r="AZ221" i="3"/>
  <c r="AZ367" i="3"/>
  <c r="S37" i="39"/>
  <c r="AZ97" i="3"/>
  <c r="AZ53" i="3"/>
  <c r="AZ25" i="3"/>
  <c r="AZ19" i="3"/>
  <c r="AZ202" i="3"/>
  <c r="AZ197" i="3"/>
  <c r="AZ181" i="3"/>
  <c r="AZ154" i="3"/>
  <c r="AZ121" i="3"/>
  <c r="AZ297" i="3"/>
  <c r="AZ295" i="3"/>
  <c r="AZ268" i="3"/>
  <c r="AZ266" i="3"/>
  <c r="AZ254" i="3"/>
  <c r="AZ252" i="3"/>
  <c r="AZ243" i="3"/>
  <c r="AZ229" i="3"/>
  <c r="AZ226" i="3"/>
  <c r="AZ219" i="3"/>
  <c r="AZ213" i="3"/>
  <c r="AZ354" i="3"/>
  <c r="AZ487" i="3"/>
  <c r="AZ481" i="3"/>
  <c r="AZ465" i="3"/>
  <c r="AZ454" i="3"/>
  <c r="AZ449" i="3"/>
  <c r="AZ442" i="3"/>
  <c r="AZ440" i="3"/>
  <c r="AZ434" i="3"/>
  <c r="AZ431" i="3"/>
  <c r="AZ406" i="3"/>
  <c r="AZ401" i="3"/>
  <c r="AZ52" i="3"/>
  <c r="AZ20" i="3"/>
  <c r="AZ162" i="3"/>
  <c r="AZ157" i="3"/>
  <c r="AZ133" i="3"/>
  <c r="AZ214" i="3"/>
  <c r="AZ212" i="3"/>
  <c r="AZ332" i="3"/>
  <c r="AZ428" i="3"/>
  <c r="AZ410" i="3"/>
  <c r="AZ409" i="3"/>
  <c r="AZ585" i="3"/>
  <c r="AZ507" i="3"/>
  <c r="AZ101" i="3"/>
  <c r="AZ91" i="3"/>
  <c r="AZ245" i="3"/>
  <c r="AZ240" i="3"/>
  <c r="AZ397" i="3"/>
  <c r="AZ316" i="3"/>
  <c r="AZ475" i="3"/>
  <c r="AZ466" i="3"/>
  <c r="AZ459" i="3"/>
  <c r="AZ432" i="3"/>
  <c r="AZ419" i="3"/>
  <c r="S12" i="35"/>
  <c r="AA12" i="35"/>
  <c r="W28" i="34"/>
  <c r="AC28" i="34"/>
  <c r="AC15" i="33"/>
  <c r="W15" i="33"/>
  <c r="AC30" i="21"/>
  <c r="W30" i="21"/>
  <c r="Q71" i="67"/>
  <c r="F64" i="15"/>
  <c r="F65" i="67"/>
  <c r="F71" i="15"/>
  <c r="N59" i="15"/>
  <c r="L59" i="15"/>
  <c r="Q74" i="15" s="1"/>
  <c r="L58" i="15"/>
  <c r="Q73" i="15" s="1"/>
  <c r="M59" i="15"/>
  <c r="Q71" i="15"/>
  <c r="F68" i="15"/>
  <c r="F65" i="15"/>
  <c r="C27" i="67"/>
  <c r="C6" i="15"/>
  <c r="C32" i="15" s="1"/>
  <c r="J6" i="15"/>
  <c r="J18" i="15" s="1"/>
  <c r="AB36" i="33"/>
  <c r="G5" i="3"/>
  <c r="B3" i="3" s="1"/>
  <c r="E462" i="3" s="1"/>
  <c r="O67" i="71"/>
  <c r="C66" i="71"/>
  <c r="D67" i="71"/>
  <c r="D31" i="71"/>
  <c r="C32" i="71"/>
  <c r="U39" i="40"/>
  <c r="AB39" i="40"/>
  <c r="AA26" i="37"/>
  <c r="S26" i="37"/>
  <c r="U23" i="35"/>
  <c r="AB23" i="35"/>
  <c r="AC31" i="21"/>
  <c r="W31" i="21"/>
  <c r="S29" i="33"/>
  <c r="AA29" i="33"/>
  <c r="S11" i="35"/>
  <c r="AA11" i="35"/>
  <c r="S14" i="37"/>
  <c r="AA14" i="37"/>
  <c r="U37" i="39"/>
  <c r="AB37" i="39"/>
  <c r="S17" i="33"/>
  <c r="AA17" i="33"/>
  <c r="AB44" i="39"/>
  <c r="U44" i="39"/>
  <c r="E25" i="81"/>
  <c r="E24" i="81"/>
  <c r="B19" i="71"/>
  <c r="B18" i="71" s="1"/>
  <c r="B17" i="71" s="1"/>
  <c r="B16" i="71" s="1"/>
  <c r="B15" i="71" s="1"/>
  <c r="B14" i="71" s="1"/>
  <c r="B13" i="71" s="1"/>
  <c r="B12" i="71" s="1"/>
  <c r="S20" i="71"/>
  <c r="AZ111" i="3"/>
  <c r="AZ109" i="3"/>
  <c r="AZ104" i="3"/>
  <c r="C39" i="71"/>
  <c r="D38" i="71"/>
  <c r="D75" i="71"/>
  <c r="C74" i="71"/>
  <c r="D74" i="71" s="1"/>
  <c r="AZ194" i="3"/>
  <c r="AZ189" i="3"/>
  <c r="AZ138" i="3"/>
  <c r="AZ122" i="3"/>
  <c r="D60" i="71"/>
  <c r="T60" i="71"/>
  <c r="AZ265" i="3"/>
  <c r="AZ261" i="3"/>
  <c r="AZ257" i="3"/>
  <c r="AZ228" i="3"/>
  <c r="AZ220" i="3"/>
  <c r="AZ483" i="3"/>
  <c r="AZ472" i="3"/>
  <c r="AZ437" i="3"/>
  <c r="AZ412" i="3"/>
  <c r="AC39" i="40"/>
  <c r="W39" i="40"/>
  <c r="AC23" i="35"/>
  <c r="W23" i="35"/>
  <c r="AB12" i="21"/>
  <c r="U12" i="21"/>
  <c r="S36" i="39"/>
  <c r="AA36" i="39"/>
  <c r="AA27" i="34"/>
  <c r="S27" i="34"/>
  <c r="AA45" i="21"/>
  <c r="S45" i="21"/>
  <c r="AC46" i="34"/>
  <c r="W46" i="34"/>
  <c r="U28" i="37"/>
  <c r="AB28" i="37"/>
  <c r="U13" i="39"/>
  <c r="AB13" i="39"/>
  <c r="AA42" i="33"/>
  <c r="S42" i="33"/>
  <c r="AC44" i="39"/>
  <c r="W44" i="39"/>
  <c r="AB12" i="34"/>
  <c r="U12" i="34"/>
  <c r="AB33" i="85"/>
  <c r="U33" i="85"/>
  <c r="K6" i="1"/>
  <c r="D3" i="85"/>
  <c r="W33" i="85"/>
  <c r="AC33" i="85"/>
  <c r="AA33" i="85"/>
  <c r="S33" i="85"/>
  <c r="F7" i="36"/>
  <c r="S7" i="36" s="1"/>
  <c r="J7" i="37"/>
  <c r="H7" i="36"/>
  <c r="AB7" i="36" s="1"/>
  <c r="T36" i="36" s="1"/>
  <c r="G36" i="36" s="1"/>
  <c r="E359" i="3"/>
  <c r="E312" i="3"/>
  <c r="E85" i="3"/>
  <c r="E458" i="3"/>
  <c r="E111" i="3"/>
  <c r="E269" i="3"/>
  <c r="E505" i="3"/>
  <c r="E186" i="3"/>
  <c r="E441" i="3"/>
  <c r="D63" i="71"/>
  <c r="C64" i="71"/>
  <c r="E82" i="3"/>
  <c r="AP6" i="1"/>
  <c r="AZ450" i="3"/>
  <c r="AZ402" i="3"/>
  <c r="AZ550" i="3"/>
  <c r="U25" i="37"/>
  <c r="AB25" i="37"/>
  <c r="AB38" i="40"/>
  <c r="U38" i="40"/>
  <c r="U12" i="36"/>
  <c r="AB12" i="36"/>
  <c r="U9" i="34"/>
  <c r="AB9" i="34"/>
  <c r="BL5" i="3"/>
  <c r="F30" i="6"/>
  <c r="C36" i="71"/>
  <c r="D35" i="71"/>
  <c r="E48" i="3"/>
  <c r="E223" i="3"/>
  <c r="J33" i="33"/>
  <c r="F33" i="33"/>
  <c r="H33" i="33"/>
  <c r="AA25" i="37"/>
  <c r="S25" i="37"/>
  <c r="AA38" i="40"/>
  <c r="S38" i="40"/>
  <c r="W12" i="36"/>
  <c r="AC12" i="36"/>
  <c r="BA5" i="3"/>
  <c r="E27" i="6" s="1"/>
  <c r="C18" i="71"/>
  <c r="D19" i="71"/>
  <c r="AB32" i="33"/>
  <c r="U32" i="33"/>
  <c r="AB27" i="33"/>
  <c r="S36" i="33"/>
  <c r="U12" i="33"/>
  <c r="AB12" i="33"/>
  <c r="E26" i="43"/>
  <c r="J26" i="43"/>
  <c r="E28" i="6"/>
  <c r="K14" i="1" s="1"/>
  <c r="K16" i="1" s="1"/>
  <c r="D43" i="71"/>
  <c r="C44" i="71"/>
  <c r="AA34" i="35"/>
  <c r="S34" i="35"/>
  <c r="W34" i="35"/>
  <c r="AC34" i="35"/>
  <c r="S23" i="36"/>
  <c r="AA23" i="36"/>
  <c r="AC23" i="36"/>
  <c r="W23" i="36"/>
  <c r="AB36" i="35"/>
  <c r="U36" i="35"/>
  <c r="S12" i="34"/>
  <c r="AA12" i="34"/>
  <c r="E11" i="71"/>
  <c r="E10" i="71" s="1"/>
  <c r="E9" i="71" s="1"/>
  <c r="E8" i="71" s="1"/>
  <c r="E7" i="71" s="1"/>
  <c r="E6" i="71" s="1"/>
  <c r="E5" i="71" s="1"/>
  <c r="V12" i="71"/>
  <c r="S16" i="71"/>
  <c r="F66" i="71"/>
  <c r="Q67" i="71"/>
  <c r="D55" i="71"/>
  <c r="C56" i="71"/>
  <c r="AB34" i="35"/>
  <c r="U34" i="35"/>
  <c r="AB23" i="36"/>
  <c r="U23" i="36"/>
  <c r="AC36" i="35"/>
  <c r="W36" i="35"/>
  <c r="W12" i="35"/>
  <c r="AC12"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C47" i="69"/>
  <c r="D45" i="69" s="1"/>
  <c r="C9" i="69"/>
  <c r="C9" i="68"/>
  <c r="E72" i="43"/>
  <c r="B70" i="43" s="1"/>
  <c r="C29" i="69"/>
  <c r="D27" i="69" s="1"/>
  <c r="F45" i="69"/>
  <c r="E60" i="40"/>
  <c r="F31" i="6"/>
  <c r="E51" i="40"/>
  <c r="E16" i="6"/>
  <c r="E58" i="40"/>
  <c r="E62" i="39"/>
  <c r="D5" i="43"/>
  <c r="C7" i="43"/>
  <c r="C5" i="43" s="1"/>
  <c r="D10" i="52"/>
  <c r="D125" i="9"/>
  <c r="D11" i="52" s="1"/>
  <c r="B7" i="74"/>
  <c r="C7" i="74" s="1"/>
  <c r="F67" i="39"/>
  <c r="F59" i="67"/>
  <c r="H7" i="37"/>
  <c r="AB7" i="37" s="1"/>
  <c r="T42" i="37" s="1"/>
  <c r="G42" i="37" s="1"/>
  <c r="B40" i="1"/>
  <c r="H7" i="33"/>
  <c r="J7" i="33"/>
  <c r="D65" i="40"/>
  <c r="E63" i="40"/>
  <c r="F48" i="35"/>
  <c r="AC7" i="37"/>
  <c r="V42" i="37" s="1"/>
  <c r="I42" i="37" s="1"/>
  <c r="W7" i="37"/>
  <c r="U7" i="36"/>
  <c r="F7" i="33"/>
  <c r="E58" i="21"/>
  <c r="AC7" i="36"/>
  <c r="V36" i="36" s="1"/>
  <c r="I36" i="36" s="1"/>
  <c r="W7" i="36"/>
  <c r="F7" i="37"/>
  <c r="M17" i="67"/>
  <c r="M17" i="15"/>
  <c r="F59" i="15"/>
  <c r="P28" i="43"/>
  <c r="B66" i="40" s="1"/>
  <c r="P25" i="43"/>
  <c r="P29" i="43"/>
  <c r="P27" i="43"/>
  <c r="B70" i="39" s="1"/>
  <c r="C49" i="15"/>
  <c r="C32" i="9"/>
  <c r="M11" i="67"/>
  <c r="J10" i="67" s="1"/>
  <c r="F11" i="15"/>
  <c r="M11" i="15"/>
  <c r="J10" i="15" s="1"/>
  <c r="F11" i="67"/>
  <c r="F1" i="15"/>
  <c r="Q52" i="15"/>
  <c r="AE11" i="1"/>
  <c r="AE9" i="1"/>
  <c r="AE7" i="1"/>
  <c r="AE8" i="1"/>
  <c r="AE12" i="1"/>
  <c r="AE10" i="1"/>
  <c r="F43" i="67"/>
  <c r="F7" i="67"/>
  <c r="C16" i="15"/>
  <c r="M29" i="67"/>
  <c r="E95" i="3" l="1"/>
  <c r="E86" i="3"/>
  <c r="E27" i="3"/>
  <c r="E72" i="3"/>
  <c r="E453" i="3"/>
  <c r="E574" i="3"/>
  <c r="E489" i="3"/>
  <c r="E465" i="3"/>
  <c r="E502" i="3"/>
  <c r="E155" i="3"/>
  <c r="E205" i="3"/>
  <c r="AQ6" i="3"/>
  <c r="E60" i="3"/>
  <c r="E198" i="3"/>
  <c r="E179" i="3"/>
  <c r="E200" i="3"/>
  <c r="E192" i="3"/>
  <c r="D26" i="43"/>
  <c r="C25" i="43" s="1"/>
  <c r="E53" i="3"/>
  <c r="E28" i="3"/>
  <c r="Z6" i="3"/>
  <c r="E315" i="3"/>
  <c r="E587" i="3"/>
  <c r="E228" i="3"/>
  <c r="E466" i="3"/>
  <c r="E118" i="3"/>
  <c r="E195" i="3"/>
  <c r="E297" i="3"/>
  <c r="E554" i="3"/>
  <c r="E197" i="3"/>
  <c r="E80" i="3"/>
  <c r="E52" i="3"/>
  <c r="E194" i="3"/>
  <c r="E540" i="3"/>
  <c r="E139" i="3"/>
  <c r="E376" i="3"/>
  <c r="E373" i="3"/>
  <c r="E249" i="3"/>
  <c r="E241" i="3"/>
  <c r="E281" i="3"/>
  <c r="E33" i="3"/>
  <c r="E108" i="3"/>
  <c r="E463" i="3"/>
  <c r="E37" i="3"/>
  <c r="E331" i="3"/>
  <c r="E447" i="3"/>
  <c r="E515" i="3"/>
  <c r="E318" i="3"/>
  <c r="E571" i="3"/>
  <c r="E45" i="3"/>
  <c r="E416" i="3"/>
  <c r="S6" i="3"/>
  <c r="E426" i="3"/>
  <c r="E273" i="3"/>
  <c r="E345" i="3"/>
  <c r="E368" i="3"/>
  <c r="E106" i="3"/>
  <c r="E560" i="3"/>
  <c r="E568" i="3"/>
  <c r="E212" i="3"/>
  <c r="E144" i="3"/>
  <c r="E409" i="3"/>
  <c r="E39" i="3"/>
  <c r="E469" i="3"/>
  <c r="E308" i="3"/>
  <c r="E289" i="3"/>
  <c r="E339" i="3"/>
  <c r="E79" i="3"/>
  <c r="E391" i="3"/>
  <c r="E420" i="3"/>
  <c r="E493" i="3"/>
  <c r="E250" i="3"/>
  <c r="E187" i="3"/>
  <c r="E378" i="3"/>
  <c r="E98" i="3"/>
  <c r="E371" i="3"/>
  <c r="E341" i="3"/>
  <c r="E329" i="3"/>
  <c r="E543" i="3"/>
  <c r="E497" i="3"/>
  <c r="E40" i="3"/>
  <c r="E242" i="3"/>
  <c r="E356" i="3"/>
  <c r="E473" i="3"/>
  <c r="E78" i="3"/>
  <c r="E234" i="3"/>
  <c r="E325" i="3"/>
  <c r="E112" i="3"/>
  <c r="E340" i="3"/>
  <c r="E113" i="3"/>
  <c r="E326" i="3"/>
  <c r="E369" i="3"/>
  <c r="E408" i="3"/>
  <c r="E413" i="3"/>
  <c r="E57" i="3"/>
  <c r="E363" i="3"/>
  <c r="E425" i="3"/>
  <c r="E248" i="3"/>
  <c r="E233" i="3"/>
  <c r="E309" i="3"/>
  <c r="E286" i="3"/>
  <c r="E430" i="3"/>
  <c r="E181" i="3"/>
  <c r="E277" i="3"/>
  <c r="E472" i="3"/>
  <c r="E577" i="3"/>
  <c r="E146" i="3"/>
  <c r="E362" i="3"/>
  <c r="E89" i="3"/>
  <c r="AO6" i="3"/>
  <c r="E557" i="3"/>
  <c r="E70" i="3"/>
  <c r="E377" i="3"/>
  <c r="E319" i="3"/>
  <c r="E328" i="3"/>
  <c r="E285" i="3"/>
  <c r="E510" i="3"/>
  <c r="E542" i="3"/>
  <c r="E374" i="3"/>
  <c r="E314" i="3"/>
  <c r="E193" i="3"/>
  <c r="E527" i="3"/>
  <c r="E450" i="3"/>
  <c r="E150" i="3"/>
  <c r="E31" i="3"/>
  <c r="E271" i="3"/>
  <c r="E478" i="3"/>
  <c r="AS6" i="3"/>
  <c r="E162" i="3"/>
  <c r="E384" i="3"/>
  <c r="E47" i="3"/>
  <c r="E222" i="3"/>
  <c r="E83" i="3"/>
  <c r="E115" i="3"/>
  <c r="E427" i="3"/>
  <c r="E170" i="3"/>
  <c r="AF6" i="3"/>
  <c r="E22" i="3"/>
  <c r="E360" i="3"/>
  <c r="E460" i="3"/>
  <c r="E389" i="3"/>
  <c r="E307" i="3"/>
  <c r="E13" i="3"/>
  <c r="E255" i="3"/>
  <c r="E545" i="3"/>
  <c r="E406" i="3"/>
  <c r="E171" i="3"/>
  <c r="E204" i="3"/>
  <c r="E485" i="3"/>
  <c r="E182" i="3"/>
  <c r="E501" i="3"/>
  <c r="E97" i="3"/>
  <c r="E421" i="3"/>
  <c r="E511" i="3"/>
  <c r="E457" i="3"/>
  <c r="E433" i="3"/>
  <c r="E567" i="3"/>
  <c r="E414" i="3"/>
  <c r="E504" i="3"/>
  <c r="E160" i="3"/>
  <c r="E492" i="3"/>
  <c r="E63" i="3"/>
  <c r="E188" i="3"/>
  <c r="E507" i="3"/>
  <c r="E498" i="3"/>
  <c r="E25" i="3"/>
  <c r="E243" i="3"/>
  <c r="AL6" i="3"/>
  <c r="E15" i="3"/>
  <c r="E219" i="3"/>
  <c r="E392" i="3"/>
  <c r="E123" i="3"/>
  <c r="E158" i="3"/>
  <c r="E534" i="3"/>
  <c r="E152" i="3"/>
  <c r="E64" i="3"/>
  <c r="E381" i="3"/>
  <c r="E499" i="3"/>
  <c r="E133" i="3"/>
  <c r="E468" i="3"/>
  <c r="E74" i="3"/>
  <c r="E531" i="3"/>
  <c r="E572" i="3"/>
  <c r="O6" i="3"/>
  <c r="E244" i="3"/>
  <c r="E253" i="3"/>
  <c r="E519" i="3"/>
  <c r="E279" i="3"/>
  <c r="E107" i="3"/>
  <c r="E259" i="3"/>
  <c r="E44" i="3"/>
  <c r="E477" i="3"/>
  <c r="E549" i="3"/>
  <c r="E573" i="3"/>
  <c r="E167" i="3"/>
  <c r="E109" i="3"/>
  <c r="E327" i="3"/>
  <c r="E214" i="3"/>
  <c r="AK6" i="3"/>
  <c r="E19" i="3"/>
  <c r="E65" i="3"/>
  <c r="AP6" i="3"/>
  <c r="E102" i="3"/>
  <c r="E137" i="3"/>
  <c r="E440" i="3"/>
  <c r="E446" i="3"/>
  <c r="E41" i="3"/>
  <c r="E479" i="3"/>
  <c r="E66" i="3"/>
  <c r="E210" i="3"/>
  <c r="E476" i="3"/>
  <c r="E585" i="3"/>
  <c r="E351" i="3"/>
  <c r="E562" i="3"/>
  <c r="E99" i="3"/>
  <c r="E487" i="3"/>
  <c r="E390" i="3"/>
  <c r="E153" i="3"/>
  <c r="E211" i="3"/>
  <c r="E400" i="3"/>
  <c r="E227" i="3"/>
  <c r="E454" i="3"/>
  <c r="K6" i="3"/>
  <c r="E77" i="3"/>
  <c r="E536" i="3"/>
  <c r="E354" i="3"/>
  <c r="E76" i="3"/>
  <c r="E520" i="3"/>
  <c r="E405" i="3"/>
  <c r="E287" i="3"/>
  <c r="E147" i="3"/>
  <c r="E299" i="3"/>
  <c r="E455" i="3"/>
  <c r="E332" i="3"/>
  <c r="E483" i="3"/>
  <c r="E105" i="3"/>
  <c r="E24" i="3"/>
  <c r="E110" i="3"/>
  <c r="Q73" i="67"/>
  <c r="Q60" i="15"/>
  <c r="Q74" i="67"/>
  <c r="J5" i="15"/>
  <c r="J24" i="15" s="1"/>
  <c r="F1" i="67"/>
  <c r="F58" i="85"/>
  <c r="AA7" i="36"/>
  <c r="R36" i="36" s="1"/>
  <c r="E56" i="40"/>
  <c r="E419" i="3"/>
  <c r="E436" i="3"/>
  <c r="E209" i="3"/>
  <c r="E225" i="3"/>
  <c r="E264" i="3"/>
  <c r="E140" i="3"/>
  <c r="E38" i="3"/>
  <c r="E43" i="3"/>
  <c r="E67" i="3"/>
  <c r="E87" i="3"/>
  <c r="E100" i="3"/>
  <c r="E582" i="3"/>
  <c r="E452" i="3"/>
  <c r="E470" i="3"/>
  <c r="E364" i="3"/>
  <c r="E34" i="3"/>
  <c r="E42" i="3"/>
  <c r="E56" i="3"/>
  <c r="E68" i="3"/>
  <c r="E84" i="3"/>
  <c r="E94"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566" i="3"/>
  <c r="E459" i="3"/>
  <c r="E398" i="3"/>
  <c r="E464" i="3"/>
  <c r="E552" i="3"/>
  <c r="AD6" i="3"/>
  <c r="E141" i="3"/>
  <c r="E149" i="3"/>
  <c r="E165" i="3"/>
  <c r="AR6" i="3"/>
  <c r="E533" i="3"/>
  <c r="E270" i="3"/>
  <c r="E143" i="3"/>
  <c r="E337" i="3"/>
  <c r="E410" i="3"/>
  <c r="E555" i="3"/>
  <c r="E388" i="3"/>
  <c r="E508" i="3"/>
  <c r="E305" i="3"/>
  <c r="E343" i="3"/>
  <c r="E530" i="3"/>
  <c r="E17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I3" i="6"/>
  <c r="E449" i="3"/>
  <c r="E541" i="3"/>
  <c r="E442" i="3"/>
  <c r="R6" i="3"/>
  <c r="E575" i="3"/>
  <c r="E199" i="3"/>
  <c r="E148" i="3"/>
  <c r="E539" i="3"/>
  <c r="E513" i="3"/>
  <c r="E283" i="3"/>
  <c r="E81" i="3"/>
  <c r="E51" i="3"/>
  <c r="E355" i="3"/>
  <c r="E184" i="3"/>
  <c r="E584" i="3"/>
  <c r="E386" i="3"/>
  <c r="E266" i="3"/>
  <c r="E163" i="3"/>
  <c r="E138" i="3"/>
  <c r="E46" i="3"/>
  <c r="E467" i="3"/>
  <c r="E484" i="3"/>
  <c r="E59" i="3"/>
  <c r="E544" i="3"/>
  <c r="E349" i="3"/>
  <c r="E292" i="3"/>
  <c r="E240" i="3"/>
  <c r="E132" i="3"/>
  <c r="E131" i="3"/>
  <c r="E90" i="3"/>
  <c r="E417" i="3"/>
  <c r="E491" i="3"/>
  <c r="E435" i="3"/>
  <c r="E517" i="3"/>
  <c r="E500" i="3"/>
  <c r="E556" i="3"/>
  <c r="E451" i="3"/>
  <c r="E512" i="3"/>
  <c r="E456" i="3"/>
  <c r="T6" i="3"/>
  <c r="E525" i="3"/>
  <c r="E173" i="3"/>
  <c r="E296" i="3"/>
  <c r="E101" i="3"/>
  <c r="E524" i="3"/>
  <c r="E365" i="3"/>
  <c r="E265" i="3"/>
  <c r="E218" i="3"/>
  <c r="E176" i="3"/>
  <c r="E62" i="3"/>
  <c r="E20" i="3"/>
  <c r="E50" i="3"/>
  <c r="E370" i="3"/>
  <c r="E251" i="3"/>
  <c r="E232" i="3"/>
  <c r="E206" i="3"/>
  <c r="E49" i="3"/>
  <c r="E36" i="3"/>
  <c r="E35" i="3"/>
  <c r="E522" i="3"/>
  <c r="E342" i="3"/>
  <c r="E383" i="3"/>
  <c r="E324" i="3"/>
  <c r="E235" i="3"/>
  <c r="E275" i="3"/>
  <c r="E220" i="3"/>
  <c r="E174" i="3"/>
  <c r="E190" i="3"/>
  <c r="E129" i="3"/>
  <c r="E96" i="3"/>
  <c r="E18" i="3"/>
  <c r="E412" i="3"/>
  <c r="E482" i="3"/>
  <c r="E428" i="3"/>
  <c r="E75" i="3"/>
  <c r="L6" i="3"/>
  <c r="E372" i="3"/>
  <c r="E333" i="3"/>
  <c r="E346" i="3"/>
  <c r="E276" i="3"/>
  <c r="E226" i="3"/>
  <c r="E202" i="3"/>
  <c r="E119" i="3"/>
  <c r="E178" i="3"/>
  <c r="E104" i="3"/>
  <c r="E26" i="3"/>
  <c r="E401" i="3"/>
  <c r="E494" i="3"/>
  <c r="J6" i="3"/>
  <c r="AH6" i="3"/>
  <c r="E490" i="3"/>
  <c r="E422" i="3"/>
  <c r="E486" i="3"/>
  <c r="E564" i="3"/>
  <c r="E393" i="3"/>
  <c r="E116" i="3"/>
  <c r="E16" i="3"/>
  <c r="E21" i="3"/>
  <c r="E323" i="3"/>
  <c r="E154" i="3"/>
  <c r="Y6" i="3"/>
  <c r="E284" i="3"/>
  <c r="E127" i="3"/>
  <c r="E23" i="3"/>
  <c r="E310" i="3"/>
  <c r="E300" i="3"/>
  <c r="E267" i="3"/>
  <c r="E142" i="3"/>
  <c r="E103" i="3"/>
  <c r="E521" i="3"/>
  <c r="E488" i="3"/>
  <c r="E58" i="3"/>
  <c r="E375" i="3"/>
  <c r="E348" i="3"/>
  <c r="E258" i="3"/>
  <c r="Q61" i="15"/>
  <c r="AZ5" i="3"/>
  <c r="D39" i="71"/>
  <c r="C40" i="71"/>
  <c r="D32" i="71"/>
  <c r="T32" i="71"/>
  <c r="O66" i="71"/>
  <c r="D66" i="71"/>
  <c r="O65" i="71"/>
  <c r="E125" i="3"/>
  <c r="E366" i="3"/>
  <c r="E553" i="3"/>
  <c r="E282" i="3"/>
  <c r="N6" i="3"/>
  <c r="E239" i="3"/>
  <c r="E516" i="3"/>
  <c r="E569" i="3"/>
  <c r="E396" i="3"/>
  <c r="E229" i="3"/>
  <c r="E151" i="3"/>
  <c r="E358" i="3"/>
  <c r="E559"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217" i="3"/>
  <c r="E526" i="3"/>
  <c r="E268" i="3"/>
  <c r="E322" i="3"/>
  <c r="AJ6" i="3"/>
  <c r="E509" i="3"/>
  <c r="E579" i="3"/>
  <c r="E431" i="3"/>
  <c r="E247" i="3"/>
  <c r="E201" i="3"/>
  <c r="E311" i="3"/>
  <c r="E514" i="3"/>
  <c r="E570" i="3"/>
  <c r="E551" i="3"/>
  <c r="M6" i="3"/>
  <c r="H6" i="3" s="1"/>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M7" i="67"/>
  <c r="J6" i="67" s="1"/>
  <c r="J18" i="67" s="1"/>
  <c r="F50" i="67"/>
  <c r="C49" i="67" s="1"/>
  <c r="C6" i="67"/>
  <c r="C32" i="67" s="1"/>
  <c r="F71" i="67"/>
  <c r="Q16" i="1"/>
  <c r="H16" i="1"/>
  <c r="G16" i="1"/>
  <c r="AC6" i="3"/>
  <c r="E3" i="6"/>
  <c r="I3" i="81" s="1"/>
  <c r="C11" i="81" s="1"/>
  <c r="AY6" i="3"/>
  <c r="C17" i="71"/>
  <c r="D18" i="71"/>
  <c r="AB33" i="33"/>
  <c r="U33" i="33"/>
  <c r="AC33" i="33"/>
  <c r="W33" i="33"/>
  <c r="T36" i="71"/>
  <c r="D36" i="71"/>
  <c r="D64" i="71"/>
  <c r="T64" i="71"/>
  <c r="L36" i="43"/>
  <c r="L37" i="43" s="1"/>
  <c r="I18" i="81"/>
  <c r="C18" i="81" s="1"/>
  <c r="E16" i="81" s="1"/>
  <c r="AA33" i="33"/>
  <c r="S33" i="33"/>
  <c r="M14" i="1"/>
  <c r="K26" i="6"/>
  <c r="M26" i="6" s="1"/>
  <c r="I26" i="6" s="1"/>
  <c r="S26" i="6" s="1"/>
  <c r="E65" i="39"/>
  <c r="T56" i="71"/>
  <c r="D56" i="71"/>
  <c r="T44" i="71"/>
  <c r="D44" i="71"/>
  <c r="Q66" i="71"/>
  <c r="Q65" i="71"/>
  <c r="B11" i="71"/>
  <c r="B10" i="71" s="1"/>
  <c r="B9" i="71" s="1"/>
  <c r="B8" i="71" s="1"/>
  <c r="B7" i="71" s="1"/>
  <c r="B6" i="71" s="1"/>
  <c r="B5" i="71" s="1"/>
  <c r="S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200" i="3"/>
  <c r="AY164" i="3"/>
  <c r="AY143" i="3"/>
  <c r="AY293" i="3"/>
  <c r="AY257" i="3"/>
  <c r="AY240" i="3"/>
  <c r="AY386" i="3"/>
  <c r="AY351" i="3"/>
  <c r="AY307" i="3"/>
  <c r="AY477" i="3"/>
  <c r="AY443" i="3"/>
  <c r="AY400" i="3"/>
  <c r="AY521" i="3"/>
  <c r="AY566" i="3"/>
  <c r="BT6" i="3"/>
  <c r="D3" i="21"/>
  <c r="D37" i="11"/>
  <c r="M18" i="9"/>
  <c r="B118" i="9" s="1"/>
  <c r="B1" i="74" s="1"/>
  <c r="D19" i="11"/>
  <c r="C19" i="11" s="1"/>
  <c r="C17" i="4"/>
  <c r="B4" i="52" s="1"/>
  <c r="B43" i="72" s="1"/>
  <c r="D3" i="33"/>
  <c r="D3" i="37"/>
  <c r="C39" i="43"/>
  <c r="C42" i="43"/>
  <c r="E42" i="43" s="1"/>
  <c r="C38" i="43"/>
  <c r="U7" i="37"/>
  <c r="G67" i="39"/>
  <c r="F69" i="39"/>
  <c r="I53" i="34"/>
  <c r="J53" i="34" s="1"/>
  <c r="F58" i="21"/>
  <c r="R37" i="36"/>
  <c r="E36" i="36"/>
  <c r="F63" i="40"/>
  <c r="E65" i="40"/>
  <c r="W7" i="33"/>
  <c r="AC7" i="33"/>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F25" i="12"/>
  <c r="F22" i="69"/>
  <c r="F41" i="69" s="1"/>
  <c r="F24" i="67"/>
  <c r="C24" i="67" s="1"/>
  <c r="F22" i="11"/>
  <c r="F22" i="68"/>
  <c r="F24" i="15"/>
  <c r="C24" i="15" s="1"/>
  <c r="C35" i="9"/>
  <c r="F41" i="15"/>
  <c r="M27" i="67"/>
  <c r="M27" i="15"/>
  <c r="C16" i="67"/>
  <c r="AE6" i="1"/>
  <c r="F41" i="67" s="1"/>
  <c r="AY83" i="3" l="1"/>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71" i="3"/>
  <c r="AY568" i="3"/>
  <c r="AY500" i="3"/>
  <c r="AY451" i="3"/>
  <c r="AY315" i="3"/>
  <c r="AY394" i="3"/>
  <c r="AY265" i="3"/>
  <c r="AY151" i="3"/>
  <c r="AY19" i="3"/>
  <c r="AY79" i="3"/>
  <c r="BP6" i="3"/>
  <c r="AY551" i="3"/>
  <c r="AY522" i="3"/>
  <c r="AY505" i="3"/>
  <c r="AY402" i="3"/>
  <c r="AY445" i="3"/>
  <c r="AY479" i="3"/>
  <c r="AY305" i="3"/>
  <c r="AY361" i="3"/>
  <c r="AY250" i="3"/>
  <c r="AY113" i="3"/>
  <c r="AY174" i="3"/>
  <c r="AY64" i="3"/>
  <c r="AY583" i="3"/>
  <c r="AY413" i="3"/>
  <c r="AY474" i="3"/>
  <c r="AY339" i="3"/>
  <c r="AY208" i="3"/>
  <c r="AY288" i="3"/>
  <c r="AY175" i="3"/>
  <c r="AY22" i="3"/>
  <c r="AY102" i="3"/>
  <c r="AY528" i="3"/>
  <c r="AY421" i="3"/>
  <c r="AY482" i="3"/>
  <c r="AY347" i="3"/>
  <c r="AY216" i="3"/>
  <c r="AY296" i="3"/>
  <c r="AY140" i="3"/>
  <c r="AY30" i="3"/>
  <c r="AY110" i="3"/>
  <c r="AY548" i="3"/>
  <c r="AY537" i="3"/>
  <c r="AY564" i="3"/>
  <c r="AY399" i="3"/>
  <c r="AY418" i="3"/>
  <c r="AY461" i="3"/>
  <c r="AY304" i="3"/>
  <c r="AY321" i="3"/>
  <c r="AY385" i="3"/>
  <c r="AY235" i="3"/>
  <c r="AY122" i="3"/>
  <c r="AY205"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552" i="3"/>
  <c r="AY536" i="3"/>
  <c r="AY580" i="3"/>
  <c r="AY419" i="3"/>
  <c r="AY438" i="3"/>
  <c r="AY483" i="3"/>
  <c r="AY370" i="3"/>
  <c r="AY121" i="3"/>
  <c r="AY72" i="3"/>
  <c r="AY368" i="3"/>
  <c r="AY238" i="3"/>
  <c r="AY291" i="3"/>
  <c r="AY162" i="3"/>
  <c r="AY52" i="3"/>
  <c r="AY105" i="3"/>
  <c r="AY557" i="3"/>
  <c r="AY326" i="3"/>
  <c r="AY229" i="3"/>
  <c r="AY412" i="3"/>
  <c r="AY220" i="3"/>
  <c r="AY132" i="3"/>
  <c r="AY81"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AY51" i="3"/>
  <c r="G58" i="85"/>
  <c r="E6" i="3"/>
  <c r="T40" i="71"/>
  <c r="D40" i="71"/>
  <c r="C10" i="67"/>
  <c r="C5" i="67" s="1"/>
  <c r="C38" i="67" s="1"/>
  <c r="C48" i="67"/>
  <c r="C66" i="67" s="1"/>
  <c r="J5" i="67"/>
  <c r="J24" i="67" s="1"/>
  <c r="F10" i="39"/>
  <c r="J10" i="40"/>
  <c r="F10" i="40"/>
  <c r="H10" i="40"/>
  <c r="H10" i="39"/>
  <c r="J10" i="39"/>
  <c r="F28" i="12"/>
  <c r="C29" i="12" s="1"/>
  <c r="D28" i="12" s="1"/>
  <c r="F27" i="11"/>
  <c r="F27" i="68"/>
  <c r="M36" i="43"/>
  <c r="Q36" i="43"/>
  <c r="P36" i="43"/>
  <c r="C16" i="71"/>
  <c r="M23" i="43" s="1"/>
  <c r="D17" i="71"/>
  <c r="V48" i="33"/>
  <c r="I48" i="33" s="1"/>
  <c r="G53" i="33" s="1"/>
  <c r="H53" i="33" s="1"/>
  <c r="D3" i="34"/>
  <c r="D14" i="12"/>
  <c r="D17" i="12" s="1"/>
  <c r="C17" i="12" s="1"/>
  <c r="E6" i="6"/>
  <c r="O36" i="43"/>
  <c r="N36" i="43"/>
  <c r="F69" i="67"/>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8" i="33"/>
  <c r="E40" i="36"/>
  <c r="F40" i="36" s="1"/>
  <c r="E41" i="36"/>
  <c r="F41" i="36" s="1"/>
  <c r="I54" i="34"/>
  <c r="J54" i="34" s="1"/>
  <c r="G52" i="33"/>
  <c r="H52"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34" i="9"/>
  <c r="D10" i="68"/>
  <c r="C14" i="67"/>
  <c r="C17" i="67"/>
  <c r="D10" i="69"/>
  <c r="C17" i="15"/>
  <c r="I52" i="33" l="1"/>
  <c r="J52" i="33" s="1"/>
  <c r="R49" i="33"/>
  <c r="H58" i="85"/>
  <c r="C60" i="67"/>
  <c r="F45" i="68"/>
  <c r="C29" i="68"/>
  <c r="D27" i="68" s="1"/>
  <c r="C47" i="68"/>
  <c r="D45" i="68" s="1"/>
  <c r="U10" i="39"/>
  <c r="AB10" i="39"/>
  <c r="S10" i="40"/>
  <c r="AA10" i="40"/>
  <c r="AA10" i="39"/>
  <c r="S10" i="39"/>
  <c r="C29" i="11"/>
  <c r="D27" i="11" s="1"/>
  <c r="C47" i="11"/>
  <c r="D45" i="11" s="1"/>
  <c r="W10" i="39"/>
  <c r="AC10" i="39"/>
  <c r="AB10" i="40"/>
  <c r="U10" i="40"/>
  <c r="AC10" i="40"/>
  <c r="W10" i="40"/>
  <c r="I53" i="33"/>
  <c r="J53" i="33" s="1"/>
  <c r="D16" i="71"/>
  <c r="U16" i="71" s="1"/>
  <c r="C15" i="71"/>
  <c r="T16" i="71"/>
  <c r="C18" i="67"/>
  <c r="C15" i="67"/>
  <c r="H23" i="6"/>
  <c r="C30" i="43"/>
  <c r="C31" i="43"/>
  <c r="H20" i="6"/>
  <c r="R20" i="6" s="1"/>
  <c r="R7" i="1" s="1"/>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D19" i="69"/>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E6" i="76"/>
  <c r="C14" i="15"/>
  <c r="B6" i="76"/>
  <c r="D36" i="81" l="1"/>
  <c r="J8" i="81" s="1"/>
  <c r="M49" i="33"/>
  <c r="L49" i="33"/>
  <c r="I58" i="85"/>
  <c r="D15" i="71"/>
  <c r="C14" i="71"/>
  <c r="C8" i="69"/>
  <c r="C5" i="69" s="1"/>
  <c r="C23" i="69" s="1"/>
  <c r="B29" i="1"/>
  <c r="C19" i="67"/>
  <c r="C20" i="67" s="1"/>
  <c r="C26" i="67" s="1"/>
  <c r="T16" i="1"/>
  <c r="C18" i="15"/>
  <c r="C15" i="15"/>
  <c r="C36" i="11"/>
  <c r="C37" i="11"/>
  <c r="C23" i="12"/>
  <c r="C14" i="12"/>
  <c r="C16" i="12" s="1"/>
  <c r="H19" i="6"/>
  <c r="L19" i="9" s="1"/>
  <c r="S19" i="6"/>
  <c r="S27" i="6" s="1"/>
  <c r="I27" i="6"/>
  <c r="C19" i="68"/>
  <c r="D37" i="68"/>
  <c r="C37" i="68" s="1"/>
  <c r="C19" i="69"/>
  <c r="C24" i="69" s="1"/>
  <c r="D37" i="69"/>
  <c r="C37" i="69" s="1"/>
  <c r="I5" i="6"/>
  <c r="I6" i="6"/>
  <c r="E2" i="76"/>
  <c r="B2" i="76"/>
  <c r="I69" i="39"/>
  <c r="J67" i="39"/>
  <c r="I63" i="40"/>
  <c r="H65" i="40"/>
  <c r="I58" i="21"/>
  <c r="J58" i="21" s="1"/>
  <c r="K58" i="21" s="1"/>
  <c r="L58" i="21" s="1"/>
  <c r="M58" i="21" s="1"/>
  <c r="N58" i="21" s="1"/>
  <c r="O58" i="21" s="1"/>
  <c r="H7" i="21" s="1"/>
  <c r="F7" i="21"/>
  <c r="J48" i="35"/>
  <c r="J58" i="85" l="1"/>
  <c r="D21" i="9"/>
  <c r="C21" i="9"/>
  <c r="G21" i="9"/>
  <c r="D14" i="71"/>
  <c r="C13" i="71"/>
  <c r="C8" i="68"/>
  <c r="C5" i="68" s="1"/>
  <c r="C23" i="68" s="1"/>
  <c r="C18" i="12"/>
  <c r="C21" i="12" s="1"/>
  <c r="J7" i="21"/>
  <c r="AC7" i="21" s="1"/>
  <c r="V48" i="21" s="1"/>
  <c r="I48" i="21" s="1"/>
  <c r="C23" i="67"/>
  <c r="C29" i="67" s="1"/>
  <c r="J59" i="67" s="1"/>
  <c r="J60" i="67" s="1"/>
  <c r="Q48" i="67" s="1"/>
  <c r="C19" i="15"/>
  <c r="C20" i="15" s="1"/>
  <c r="C26" i="15" s="1"/>
  <c r="H27" i="6"/>
  <c r="R19" i="6"/>
  <c r="C20" i="69"/>
  <c r="C28" i="69" s="1"/>
  <c r="C27" i="69" s="1"/>
  <c r="C24" i="68"/>
  <c r="B3" i="76"/>
  <c r="J69" i="39"/>
  <c r="K67" i="39"/>
  <c r="U7" i="21"/>
  <c r="AB7" i="21"/>
  <c r="T48" i="21" s="1"/>
  <c r="G48" i="21" s="1"/>
  <c r="S7" i="21"/>
  <c r="AA7" i="21"/>
  <c r="R48" i="21" s="1"/>
  <c r="J63" i="40"/>
  <c r="I65" i="40"/>
  <c r="K48" i="35"/>
  <c r="L48" i="35" s="1"/>
  <c r="M48" i="35" s="1"/>
  <c r="N48" i="35" s="1"/>
  <c r="O48" i="35" s="1"/>
  <c r="H7" i="35" s="1"/>
  <c r="J7" i="35"/>
  <c r="W7" i="21" l="1"/>
  <c r="K58" i="85"/>
  <c r="D13" i="71"/>
  <c r="C12" i="71"/>
  <c r="C20" i="68"/>
  <c r="C28" i="68" s="1"/>
  <c r="C27" i="68" s="1"/>
  <c r="C22" i="12"/>
  <c r="C27" i="12" s="1"/>
  <c r="C25" i="12" s="1"/>
  <c r="Q49" i="67"/>
  <c r="J14" i="67"/>
  <c r="J13" i="67" s="1"/>
  <c r="J23" i="67" s="1"/>
  <c r="C36" i="67"/>
  <c r="C57" i="67"/>
  <c r="C64" i="67" s="1"/>
  <c r="C13" i="67"/>
  <c r="Q70" i="67" s="1"/>
  <c r="C61" i="67"/>
  <c r="C23" i="15"/>
  <c r="C29" i="15" s="1"/>
  <c r="R27" i="6"/>
  <c r="R6" i="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M21" i="67"/>
  <c r="F35" i="15"/>
  <c r="M21" i="15"/>
  <c r="F35" i="67"/>
  <c r="L58" i="85" l="1"/>
  <c r="C25" i="68"/>
  <c r="C22" i="68" s="1"/>
  <c r="C31" i="68" s="1"/>
  <c r="C11" i="71"/>
  <c r="D12" i="71"/>
  <c r="U12" i="71" s="1"/>
  <c r="T12" i="71"/>
  <c r="C30" i="12"/>
  <c r="C28" i="12" s="1"/>
  <c r="C32" i="12" s="1"/>
  <c r="B2" i="12" s="1"/>
  <c r="B3" i="12"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M58" i="85" l="1"/>
  <c r="C10" i="71"/>
  <c r="D11" i="7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M69" i="39"/>
  <c r="N67" i="39"/>
  <c r="R39" i="35"/>
  <c r="E38" i="35"/>
  <c r="M63" i="40"/>
  <c r="L65" i="40"/>
  <c r="L51" i="67"/>
  <c r="D2" i="21"/>
  <c r="N58" i="85" l="1"/>
  <c r="O58" i="85" s="1"/>
  <c r="H7" i="85"/>
  <c r="D10" i="71"/>
  <c r="C9" i="71"/>
  <c r="L57" i="67"/>
  <c r="L60" i="67" s="1"/>
  <c r="L46" i="67" s="1"/>
  <c r="Q67" i="67"/>
  <c r="C80" i="67"/>
  <c r="C79" i="67" s="1"/>
  <c r="C40" i="67"/>
  <c r="C45" i="67"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AB7" i="85" l="1"/>
  <c r="T48" i="85" s="1"/>
  <c r="G48" i="85" s="1"/>
  <c r="U7" i="85"/>
  <c r="F7" i="85"/>
  <c r="J7" i="85"/>
  <c r="D9" i="71"/>
  <c r="C8" i="7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2" i="35"/>
  <c r="D2" i="37"/>
  <c r="L51" i="15"/>
  <c r="D2" i="34"/>
  <c r="W7" i="85" l="1"/>
  <c r="AC7" i="85"/>
  <c r="V48" i="85" s="1"/>
  <c r="I48" i="85" s="1"/>
  <c r="I52" i="85" s="1"/>
  <c r="J52" i="85" s="1"/>
  <c r="S7" i="85"/>
  <c r="AA7" i="85"/>
  <c r="R48" i="85" s="1"/>
  <c r="G52" i="85"/>
  <c r="H52" i="85" s="1"/>
  <c r="C7" i="71"/>
  <c r="D8" i="7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7" i="1"/>
  <c r="AO12" i="1"/>
  <c r="AO8" i="1"/>
  <c r="AO10" i="1"/>
  <c r="AO11" i="1"/>
  <c r="AO6" i="1"/>
  <c r="G53" i="85" l="1"/>
  <c r="H53" i="85" s="1"/>
  <c r="R49" i="85"/>
  <c r="E48" i="85"/>
  <c r="C6" i="71"/>
  <c r="D7"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I53" i="85" l="1"/>
  <c r="J53" i="85" s="1"/>
  <c r="E52" i="85"/>
  <c r="F52" i="85" s="1"/>
  <c r="E53" i="85"/>
  <c r="F53" i="85" s="1"/>
  <c r="C48" i="85"/>
  <c r="C49" i="85"/>
  <c r="D6" i="71"/>
  <c r="C5" i="71"/>
  <c r="D5" i="71" s="1"/>
  <c r="M24" i="43"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U21" i="81" l="1"/>
  <c r="U20" i="81" s="1"/>
  <c r="D37" i="81" s="1"/>
  <c r="B3" i="85"/>
  <c r="B2" i="85"/>
  <c r="C3" i="81" s="1"/>
  <c r="C4" i="81"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O6" i="1" l="1"/>
  <c r="O16" i="1" s="1"/>
  <c r="C8" i="81"/>
  <c r="C9" i="81" s="1"/>
  <c r="M6" i="1"/>
  <c r="C34" i="69"/>
  <c r="C35" i="69" l="1"/>
  <c r="M16" i="1"/>
  <c r="N16" i="1" s="1"/>
  <c r="C38" i="69"/>
  <c r="C10" i="81"/>
  <c r="C12" i="81"/>
  <c r="C13" i="81" l="1"/>
  <c r="C14" i="81" s="1"/>
  <c r="C20" i="81" s="1"/>
  <c r="C19" i="81" s="1"/>
  <c r="C33" i="69"/>
  <c r="C39" i="69" s="1"/>
  <c r="C43" i="69" s="1"/>
  <c r="F50" i="11"/>
  <c r="F50" i="68"/>
  <c r="F50" i="69"/>
  <c r="L16" i="1"/>
  <c r="C34" i="11"/>
  <c r="C34" i="68"/>
  <c r="C42" i="69" l="1"/>
  <c r="C41" i="69" s="1"/>
  <c r="C46" i="69"/>
  <c r="C45" i="69" s="1"/>
  <c r="C38" i="11"/>
  <c r="C35" i="11"/>
  <c r="C35" i="68"/>
  <c r="C38" i="68"/>
  <c r="C17" i="81"/>
  <c r="C16" i="81" s="1"/>
  <c r="C33" i="11" l="1"/>
  <c r="C42" i="11" s="1"/>
  <c r="C33" i="68"/>
  <c r="C42" i="68" s="1"/>
  <c r="C49" i="69"/>
  <c r="C51" i="69" s="1"/>
  <c r="C52" i="69" s="1"/>
  <c r="C23" i="81"/>
  <c r="C57" i="69" l="1"/>
  <c r="C56" i="69" s="1"/>
  <c r="C39" i="11"/>
  <c r="C43" i="11" s="1"/>
  <c r="C41" i="11" s="1"/>
  <c r="C39" i="68"/>
  <c r="C43" i="68" s="1"/>
  <c r="C41" i="68" s="1"/>
  <c r="C7" i="81"/>
  <c r="C28" i="81" s="1"/>
  <c r="C27" i="81"/>
  <c r="B2" i="69"/>
  <c r="B3" i="69"/>
  <c r="C46" i="11" l="1"/>
  <c r="C45" i="11" s="1"/>
  <c r="C49" i="11" s="1"/>
  <c r="C51" i="11" s="1"/>
  <c r="C52" i="11" s="1"/>
  <c r="B2" i="11" s="1"/>
  <c r="B3" i="11" s="1"/>
  <c r="J39" i="81"/>
  <c r="J40" i="81" s="1"/>
  <c r="C46" i="68"/>
  <c r="C45" i="68" s="1"/>
  <c r="C49" i="68" s="1"/>
  <c r="C51" i="68" s="1"/>
  <c r="C52" i="68" s="1"/>
  <c r="B2" i="68" s="1"/>
  <c r="B3" i="68" s="1"/>
  <c r="J3" i="81"/>
  <c r="J4" i="81" s="1"/>
  <c r="C24" i="81"/>
  <c r="C57" i="68" l="1"/>
  <c r="C56" i="68" s="1"/>
  <c r="C30" i="81"/>
  <c r="C56" i="11"/>
  <c r="C57" i="11" s="1"/>
  <c r="C31" i="81" l="1"/>
  <c r="J9" i="81" s="1"/>
  <c r="K24" i="81"/>
  <c r="G37" i="81" l="1"/>
  <c r="D38" i="81"/>
  <c r="B10" i="74" s="1"/>
  <c r="D14" i="74" s="1"/>
  <c r="G14" i="74" s="1"/>
  <c r="B6" i="74" s="1"/>
  <c r="D6" i="74" s="1"/>
  <c r="C39" i="81" l="1"/>
  <c r="C40" i="81" s="1"/>
  <c r="J10" i="81"/>
  <c r="E39" i="81"/>
  <c r="E40" i="81" s="1"/>
  <c r="B5" i="74"/>
  <c r="D5" i="74" s="1"/>
  <c r="F14" i="74"/>
  <c r="E14" i="74"/>
  <c r="N61" i="9" l="1"/>
  <c r="N60" i="9"/>
  <c r="H4" i="52"/>
  <c r="C104" i="9"/>
  <c r="C6" i="74"/>
  <c r="B48" i="72"/>
  <c r="B49" i="72"/>
  <c r="P57" i="9"/>
  <c r="N58" i="9"/>
  <c r="N59" i="9"/>
  <c r="D9" i="52"/>
  <c r="D8" i="52"/>
  <c r="D123" i="9"/>
  <c r="B21" i="72"/>
  <c r="C81" i="9"/>
  <c r="D122" i="9"/>
  <c r="E97" i="9"/>
  <c r="C105" i="9"/>
  <c r="I4" i="52"/>
  <c r="D53" i="9"/>
  <c r="D52" i="9"/>
  <c r="B22" i="72"/>
  <c r="H119" i="9"/>
  <c r="H5" i="52"/>
  <c r="B30" i="72"/>
  <c r="C93" i="9"/>
  <c r="C86" i="9"/>
  <c r="D7" i="53"/>
  <c r="H102" i="9"/>
  <c r="C5" i="74"/>
  <c r="E96" i="9"/>
  <c r="D4" i="52"/>
  <c r="B47" i="72"/>
  <c r="D6" i="53"/>
  <c r="B20" i="72"/>
  <c r="B53" i="72"/>
  <c r="D59" i="9"/>
  <c r="M55" i="9"/>
  <c r="D119" i="9"/>
  <c r="D5" i="52"/>
  <c r="F4" i="52"/>
  <c r="B51" i="72"/>
  <c r="E81" i="9"/>
  <c r="C80" i="9"/>
  <c r="E80" i="9"/>
  <c r="D118" i="9"/>
  <c r="E118" i="9"/>
  <c r="E4" i="52"/>
  <c r="D56" i="9"/>
  <c r="M54" i="9"/>
  <c r="F119" i="9"/>
  <c r="F5" i="52"/>
  <c r="D55" i="9"/>
  <c r="M53" i="9"/>
  <c r="N57" i="9"/>
  <c r="C68" i="9"/>
  <c r="D54" i="9"/>
  <c r="D13" i="53"/>
  <c r="D14" i="53"/>
  <c r="B32" i="72"/>
  <c r="C96" i="9"/>
  <c r="D5" i="53"/>
  <c r="M48" i="9"/>
  <c r="F118" i="9"/>
  <c r="G118" i="9"/>
  <c r="G4" i="52"/>
  <c r="B52" i="72"/>
  <c r="C72" i="9"/>
  <c r="C79" i="9"/>
  <c r="C78" i="9"/>
  <c r="C73" i="9"/>
  <c r="H107" i="9"/>
  <c r="H108" i="9"/>
  <c r="D15" i="53"/>
  <c r="B31" i="72"/>
  <c r="C64" i="9"/>
  <c r="C63" i="9"/>
  <c r="C67" i="9"/>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<sst xmlns="http://schemas.openxmlformats.org/spreadsheetml/2006/main" count="8763" uniqueCount="3794">
  <si>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</si>
  <si>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</si>
  <si>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</si>
  <si>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</si>
  <si>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</si>
  <si>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</si>
  <si>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</si>
  <si>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</si>
  <si>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</si>
  <si>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</si>
  <si>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</si>
  <si>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</si>
  <si>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</si>
  <si>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</si>
  <si>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</si>
  <si>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</si>
  <si>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</si>
  <si>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</si>
  <si>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</si>
  <si>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</si>
  <si>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</si>
  <si>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</si>
  <si>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</si>
  <si>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</si>
  <si>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</si>
  <si>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</si>
  <si>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</si>
  <si>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</si>
  <si>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</si>
  <si>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</si>
  <si>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</si>
  <si>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</si>
  <si>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</si>
  <si>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</si>
  <si>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</si>
  <si>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</si>
  <si>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</si>
  <si>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</si>
  <si>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</si>
  <si>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</si>
  <si>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</si>
  <si>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</si>
  <si>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</si>
  <si>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</si>
  <si>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</si>
  <si>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</si>
  <si>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</si>
  <si>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</si>
  <si>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</si>
  <si>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</si>
  <si>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</si>
  <si>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</si>
  <si>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</si>
  <si>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</si>
  <si>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</si>
  <si>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</si>
  <si>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</si>
  <si>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</si>
  <si>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</si>
  <si>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</si>
  <si>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</si>
  <si>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</si>
  <si>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</si>
  <si>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</si>
  <si>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</si>
  <si>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</si>
  <si>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</si>
  <si>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</si>
  <si>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</si>
  <si>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</si>
  <si>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</si>
  <si>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</si>
  <si>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</si>
  <si>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</si>
  <si>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</si>
  <si>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</si>
  <si>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</si>
  <si>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</si>
  <si>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</si>
  <si>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</si>
  <si>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</si>
  <si>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</si>
  <si>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</si>
  <si>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</si>
  <si>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</si>
  <si>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</si>
  <si>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</si>
  <si>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</si>
  <si>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</si>
  <si>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</si>
  <si>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</si>
  <si>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</si>
  <si>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</si>
  <si>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</si>
  <si>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</si>
  <si>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</si>
  <si>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</si>
  <si>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</si>
  <si>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</si>
  <si>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</si>
  <si>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</si>
  <si>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</si>
  <si>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</si>
  <si>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</si>
  <si>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</si>
  <si>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</si>
  <si>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</si>
  <si>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</si>
  <si>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</si>
  <si>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</si>
  <si>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</si>
  <si>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</si>
  <si>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</si>
  <si>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</si>
  <si>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</si>
  <si>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</si>
  <si>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</si>
  <si>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</si>
  <si>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</si>
  <si>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</si>
  <si>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</si>
  <si>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</si>
  <si>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</si>
  <si>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</si>
  <si>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</si>
  <si>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</si>
  <si>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</si>
  <si>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</si>
  <si>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</si>
  <si>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</si>
  <si>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</si>
  <si>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</si>
  <si>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</si>
  <si>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</si>
  <si>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</si>
  <si>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</si>
  <si>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</si>
  <si>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</si>
  <si>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</si>
  <si>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</si>
  <si>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</si>
  <si>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</si>
  <si>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</si>
  <si>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</si>
  <si>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</si>
  <si>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</si>
  <si>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</si>
  <si>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</si>
  <si>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</si>
  <si>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</si>
  <si>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</si>
  <si>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</si>
  <si>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</si>
  <si>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</si>
  <si>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</si>
  <si>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</si>
  <si>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</si>
  <si>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</si>
  <si>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</si>
  <si>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</si>
  <si>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</si>
  <si>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</si>
  <si>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</si>
  <si>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</si>
  <si>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</si>
  <si>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</si>
  <si>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</si>
  <si>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</si>
  <si>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</si>
  <si>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</si>
  <si>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</si>
  <si>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</si>
  <si>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</si>
  <si>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</si>
  <si>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</si>
  <si>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</si>
  <si>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</si>
  <si>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</si>
  <si>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</si>
  <si>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</si>
  <si>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</si>
  <si>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</si>
  <si>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</si>
  <si>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</si>
  <si>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</si>
  <si>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</si>
  <si>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</si>
  <si>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</si>
  <si>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</si>
  <si>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</si>
  <si>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</si>
  <si>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</si>
  <si>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</si>
  <si>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</si>
  <si>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</si>
  <si>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</si>
  <si>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</si>
  <si>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</si>
  <si>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</si>
  <si>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</si>
  <si>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</si>
  <si>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</si>
  <si>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</si>
  <si>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</si>
  <si>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</si>
  <si>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</si>
  <si>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</si>
  <si>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</si>
  <si>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</si>
  <si>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</si>
  <si>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</si>
  <si>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</si>
  <si>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</si>
  <si>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</si>
  <si>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</si>
  <si>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</si>
  <si>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</si>
  <si>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</si>
  <si>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</si>
  <si>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</si>
  <si>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</si>
  <si>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</si>
  <si>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</si>
  <si>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</si>
  <si>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</si>
  <si>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</si>
  <si>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</si>
  <si>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</si>
  <si>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</si>
  <si>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</si>
  <si>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</si>
  <si>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</si>
  <si>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</si>
  <si>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</si>
  <si>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</si>
  <si>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</si>
  <si>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</si>
  <si>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</si>
  <si>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</si>
  <si>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</si>
  <si>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</si>
  <si>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</si>
  <si>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</si>
  <si>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</si>
  <si>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</si>
  <si>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</si>
  <si>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</si>
  <si>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</si>
  <si>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</si>
  <si>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</si>
  <si>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</si>
  <si>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</si>
  <si>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</si>
  <si>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</si>
  <si>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</si>
  <si>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</si>
  <si>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</si>
  <si>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</si>
  <si>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</si>
  <si>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</si>
  <si>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</si>
  <si>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</si>
  <si>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</si>
  <si>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</si>
  <si>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</si>
  <si>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</si>
  <si>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</si>
  <si>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</si>
  <si>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</si>
  <si>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</si>
  <si>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</si>
  <si>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</si>
  <si>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</si>
  <si>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</si>
  <si>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</si>
  <si>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</si>
  <si>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</si>
  <si>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</si>
  <si>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</si>
  <si>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</si>
  <si>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</si>
  <si>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</si>
  <si>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</si>
  <si>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</si>
  <si>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</si>
  <si>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</si>
  <si>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</si>
  <si>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</si>
  <si>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</si>
  <si>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</si>
  <si>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</si>
  <si>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</si>
  <si>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</si>
  <si>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</si>
  <si>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</si>
  <si>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</si>
  <si>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</si>
  <si>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</si>
  <si>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</si>
  <si>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</si>
  <si>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</si>
  <si>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</si>
  <si>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</si>
  <si>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</si>
  <si>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</si>
  <si>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</si>
  <si>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</si>
  <si>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</si>
  <si>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</si>
  <si>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</si>
  <si>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</si>
  <si>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</si>
  <si>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</si>
  <si>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</si>
  <si>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</si>
  <si>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</si>
  <si>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</si>
  <si>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</si>
  <si>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</si>
  <si>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</si>
  <si>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</si>
  <si>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</si>
  <si>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</si>
  <si>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</si>
  <si>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</si>
  <si>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</si>
  <si>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</si>
  <si>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</si>
  <si>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</si>
  <si>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</si>
  <si>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</si>
  <si>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</si>
  <si>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</si>
  <si>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</si>
  <si>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</si>
  <si>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</si>
  <si>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</si>
  <si>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</si>
  <si>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</si>
  <si>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</si>
  <si>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</si>
  <si>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</si>
  <si>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</si>
  <si>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</si>
  <si>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</si>
  <si>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</si>
  <si>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</si>
  <si>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</si>
  <si>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</si>
  <si>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</si>
  <si>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</si>
  <si>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</si>
  <si>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</si>
  <si>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</si>
  <si>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</si>
  <si>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</si>
  <si>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</si>
  <si>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</si>
  <si>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</si>
  <si>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</si>
  <si>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</si>
  <si>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</si>
  <si>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</si>
  <si>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</si>
  <si>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</si>
  <si>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</si>
  <si>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</si>
  <si>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</si>
  <si>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</si>
  <si>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</si>
  <si>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</si>
  <si>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</si>
  <si>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</si>
  <si>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</si>
  <si>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</si>
  <si>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</si>
  <si>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</si>
  <si>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</si>
  <si>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</si>
  <si>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</si>
  <si>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</si>
  <si>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</si>
  <si>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</si>
  <si>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</si>
  <si>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</si>
  <si>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</si>
  <si>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</si>
  <si>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</si>
  <si>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</si>
  <si>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</si>
  <si>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</si>
  <si>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</si>
  <si>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</si>
  <si>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</si>
  <si>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</si>
  <si>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</si>
  <si>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</si>
  <si>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</si>
  <si>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</si>
  <si>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</si>
  <si>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</si>
  <si>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</si>
  <si>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</si>
  <si>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</si>
  <si>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</si>
  <si>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</si>
  <si>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</si>
  <si>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</si>
  <si>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</si>
  <si>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</si>
  <si>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</si>
  <si>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</si>
  <si>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</si>
  <si>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</si>
  <si>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</si>
  <si>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</si>
  <si>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</si>
  <si>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</si>
  <si>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</si>
  <si>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</si>
  <si>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</si>
  <si>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</si>
  <si>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</si>
  <si>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</si>
  <si>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</si>
  <si>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</si>
  <si>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</si>
  <si>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</si>
  <si>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</si>
  <si>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</si>
  <si>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</si>
  <si>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</si>
  <si>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</si>
  <si>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</si>
  <si>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</si>
  <si>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</si>
  <si>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</si>
  <si>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</si>
  <si>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</si>
  <si>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</si>
  <si>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</si>
  <si>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</si>
  <si>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</si>
  <si>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</si>
  <si>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</si>
  <si>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</si>
  <si>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</si>
  <si>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</si>
  <si>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</si>
  <si>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</si>
  <si>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</si>
  <si>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</si>
  <si>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</si>
  <si>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</si>
  <si>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</si>
  <si>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</si>
  <si>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</si>
  <si>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</si>
  <si>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</si>
  <si>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</si>
  <si>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</si>
  <si>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</si>
  <si>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</si>
  <si>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</si>
  <si>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</si>
  <si>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</si>
  <si>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</si>
  <si>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</si>
  <si>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</si>
  <si>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</si>
  <si>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</si>
  <si>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</si>
  <si>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</si>
  <si>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</si>
  <si>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</si>
  <si>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</si>
  <si>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</si>
  <si>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</si>
  <si>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</si>
  <si>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</si>
  <si>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</si>
  <si>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</si>
  <si>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</si>
  <si>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</si>
  <si>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</si>
  <si>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</si>
  <si>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</si>
  <si>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</si>
  <si>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</si>
  <si>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</si>
  <si>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</si>
  <si>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</si>
  <si>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</si>
  <si>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</si>
  <si>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</si>
  <si>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</si>
  <si>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</si>
  <si>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</si>
  <si>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</si>
  <si>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</si>
  <si>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</si>
  <si>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</si>
  <si>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</si>
  <si>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</si>
  <si>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</si>
  <si>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</si>
  <si>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</si>
  <si>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</si>
  <si>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</si>
  <si>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</si>
  <si>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</si>
  <si>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</si>
  <si>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</si>
  <si>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</si>
  <si>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</si>
  <si>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</si>
  <si>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</si>
  <si>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</si>
  <si>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</si>
  <si>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</si>
  <si>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</si>
  <si>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</si>
  <si>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</si>
  <si>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</si>
  <si>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</si>
  <si>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</si>
  <si>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</si>
  <si>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</si>
  <si>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</si>
  <si>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</si>
  <si>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</si>
  <si>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</si>
  <si>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</si>
  <si>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</si>
  <si>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</si>
  <si>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</si>
  <si>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</si>
  <si>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</si>
  <si>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</si>
  <si>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</si>
  <si>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</si>
  <si>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</si>
  <si>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</si>
  <si>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</si>
  <si>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</si>
  <si>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</si>
  <si>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</si>
  <si>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</si>
  <si>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</si>
  <si>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</si>
  <si>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</si>
  <si>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</si>
  <si>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</si>
  <si>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</si>
  <si>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</si>
  <si>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</si>
  <si>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</si>
  <si>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</si>
  <si>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</si>
  <si>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</si>
  <si>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</si>
  <si>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</si>
  <si>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</si>
  <si>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</si>
  <si>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</si>
  <si>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</si>
  <si>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</si>
  <si>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</si>
  <si>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</si>
  <si>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</si>
  <si>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</si>
  <si>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</si>
  <si>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</si>
  <si>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</si>
  <si>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</si>
  <si>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</si>
  <si>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</si>
  <si>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</si>
  <si>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</si>
  <si>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</si>
  <si>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</si>
  <si>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</si>
  <si>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</si>
  <si>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</si>
  <si>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</si>
  <si>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</si>
  <si>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</si>
  <si>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</si>
  <si>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</si>
  <si>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</si>
  <si>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</si>
  <si>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</si>
  <si>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</si>
  <si>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</si>
  <si>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</si>
  <si>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</si>
  <si>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</si>
  <si>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</si>
  <si>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</si>
  <si>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</si>
  <si>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</si>
  <si>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</si>
  <si>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</si>
  <si>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</si>
  <si>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</si>
  <si>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</si>
  <si>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</si>
  <si>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</si>
  <si>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</si>
  <si>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</si>
  <si>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</si>
  <si>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</si>
  <si>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</si>
  <si>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</si>
  <si>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</si>
  <si>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</si>
  <si>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</si>
  <si>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</si>
  <si>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</si>
  <si>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</si>
  <si>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</si>
  <si>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</si>
  <si>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</si>
  <si>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</si>
  <si>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</si>
  <si>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</si>
  <si>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</si>
  <si>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</si>
  <si>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</si>
  <si>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</si>
  <si>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</si>
  <si>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</si>
  <si>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</si>
  <si>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</si>
  <si>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</si>
  <si>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</si>
  <si>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</si>
  <si>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</si>
  <si>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</si>
  <si>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</si>
  <si>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</si>
  <si>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</si>
  <si>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</si>
  <si>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</si>
  <si>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</si>
  <si>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</si>
  <si>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</si>
  <si>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</si>
  <si>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</si>
  <si>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</si>
  <si>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</si>
  <si>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</si>
  <si>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</si>
  <si>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</si>
  <si>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</si>
  <si>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</si>
  <si>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</si>
  <si>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</si>
  <si>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</si>
  <si>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</si>
  <si>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</si>
  <si>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</si>
  <si>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</si>
  <si>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</si>
  <si>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</si>
  <si>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</si>
  <si>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</si>
  <si>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</si>
  <si>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</si>
  <si>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</si>
  <si>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</si>
  <si>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</si>
  <si>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</si>
  <si>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</si>
  <si>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</si>
  <si>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</si>
  <si>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</si>
  <si>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</si>
  <si>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</si>
  <si>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</si>
  <si>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</si>
  <si>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</si>
  <si>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</si>
  <si>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</si>
  <si>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</si>
  <si>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</si>
  <si>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</si>
  <si>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</si>
  <si>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</si>
  <si>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</si>
  <si>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</si>
  <si>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</si>
  <si>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</si>
  <si>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</si>
  <si>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</si>
  <si>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</si>
  <si>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</si>
  <si>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</si>
  <si>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</si>
  <si>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</si>
  <si>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</si>
  <si>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</si>
  <si>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</si>
  <si>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</si>
  <si>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</si>
  <si>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</si>
  <si>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</si>
  <si>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</si>
  <si>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</si>
  <si>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</si>
  <si>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</si>
  <si>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</si>
  <si>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</si>
  <si>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</si>
  <si>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</si>
  <si>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</si>
  <si>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</si>
  <si>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</si>
  <si>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</si>
  <si>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</si>
  <si>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</si>
  <si>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</si>
  <si>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</si>
  <si>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</si>
  <si>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</si>
  <si>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</si>
  <si>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</si>
  <si>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</si>
  <si>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</si>
  <si>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</si>
  <si>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</si>
  <si>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</si>
  <si>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</si>
  <si>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</si>
  <si>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</si>
  <si>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</si>
  <si>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</si>
  <si>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</si>
  <si>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</si>
  <si>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</si>
  <si>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</si>
  <si>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</si>
  <si>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</si>
  <si>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</si>
  <si>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</si>
  <si>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</si>
  <si>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</si>
  <si>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</si>
  <si>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</si>
  <si>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</si>
  <si>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</si>
  <si>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</si>
  <si>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</si>
  <si>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</si>
  <si>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</si>
  <si>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</si>
  <si>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</si>
  <si>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</si>
  <si>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</si>
  <si>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</si>
  <si>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</si>
  <si>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</si>
  <si>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</si>
  <si>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</si>
  <si>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</si>
  <si>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</si>
  <si>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</si>
  <si>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</si>
  <si>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</si>
  <si>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</si>
  <si>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</si>
  <si>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</si>
  <si>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</si>
  <si>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</si>
  <si>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</si>
  <si>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</si>
  <si>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</si>
  <si>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</si>
  <si>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</si>
  <si>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</si>
  <si>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</si>
  <si>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</si>
  <si>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</si>
  <si>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</si>
  <si>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</si>
  <si>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</si>
  <si>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</si>
  <si>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</si>
  <si>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</si>
  <si>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</si>
  <si>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</si>
  <si>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</si>
  <si>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</si>
  <si>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</si>
  <si>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</si>
  <si>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</si>
  <si>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</si>
  <si>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</si>
  <si>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</si>
  <si>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</si>
  <si>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</si>
  <si>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</si>
  <si>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</si>
  <si>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</si>
  <si>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</si>
  <si>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</si>
  <si>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</si>
  <si>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</si>
  <si>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</si>
  <si>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</si>
  <si>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</si>
  <si>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</si>
  <si>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</si>
  <si>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</si>
  <si>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</si>
  <si>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</si>
  <si>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</si>
  <si>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</si>
  <si>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</si>
  <si>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</si>
  <si>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</si>
  <si>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</si>
  <si>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</si>
  <si>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</si>
  <si>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</si>
  <si>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</si>
  <si>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</si>
  <si>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</si>
  <si>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</si>
  <si>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</si>
  <si>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</si>
  <si>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</si>
  <si>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</si>
  <si>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</si>
  <si>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</si>
  <si>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</si>
  <si>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</si>
  <si>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</si>
  <si>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</si>
  <si>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</si>
  <si>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</si>
  <si>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</si>
  <si>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</si>
  <si>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</si>
  <si>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</si>
  <si>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</si>
  <si>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</si>
  <si>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</si>
  <si>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</si>
  <si>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</si>
  <si>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</si>
  <si>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</si>
  <si>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</si>
  <si>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</si>
  <si>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</si>
  <si>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</si>
  <si>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</si>
  <si>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</si>
  <si>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</si>
  <si>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</si>
  <si>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</si>
  <si>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</si>
  <si>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</si>
  <si>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</si>
  <si>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</si>
  <si>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</si>
  <si>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</si>
  <si>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</si>
  <si>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</si>
  <si>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</si>
  <si>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</si>
  <si>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</si>
  <si>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</si>
  <si>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</si>
  <si>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</si>
  <si>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</si>
  <si>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</si>
  <si>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</si>
  <si>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</si>
  <si>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</si>
  <si>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</si>
  <si>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</si>
  <si>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</si>
  <si>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</si>
  <si>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</si>
  <si>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</si>
  <si>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</si>
  <si>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</si>
  <si>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</si>
  <si>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</si>
  <si>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</si>
  <si>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</si>
  <si>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</si>
  <si>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</si>
  <si>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</si>
  <si>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</si>
  <si>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</si>
  <si>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</si>
  <si>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</si>
  <si>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</si>
  <si>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</si>
  <si>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</si>
  <si>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</si>
  <si>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</si>
  <si>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</si>
  <si>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</si>
  <si>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</si>
  <si>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</si>
  <si>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</si>
  <si>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</si>
  <si>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</si>
  <si>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</si>
  <si>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</si>
  <si>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</si>
  <si>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</si>
  <si>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</si>
  <si>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</si>
  <si>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</si>
  <si>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</si>
  <si>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</si>
  <si>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</si>
  <si>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</si>
  <si>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</si>
  <si>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</si>
  <si>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</si>
  <si>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</si>
  <si>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</si>
  <si>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</si>
  <si>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</si>
  <si>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</si>
  <si>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</si>
  <si>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</si>
  <si>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</si>
  <si>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</si>
  <si>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</si>
  <si>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</si>
  <si>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</si>
  <si>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</si>
  <si>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</si>
  <si>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</si>
  <si>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</si>
  <si>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</si>
  <si>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</si>
  <si>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</si>
  <si>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</si>
  <si>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</si>
  <si>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</si>
  <si>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</si>
  <si>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</si>
  <si>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</si>
  <si>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</si>
  <si>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</si>
  <si>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</si>
  <si>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</si>
  <si>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</si>
  <si>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</si>
  <si>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</si>
  <si>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</si>
  <si>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</si>
  <si>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</si>
  <si>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</si>
  <si>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</si>
  <si>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</si>
  <si>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</si>
  <si>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</si>
  <si>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</si>
  <si>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</si>
  <si>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</si>
  <si>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</si>
  <si>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</si>
  <si>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</si>
  <si>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</si>
  <si>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</si>
  <si>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</si>
  <si>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</si>
  <si>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</si>
  <si>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</si>
  <si>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</si>
  <si>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</si>
  <si>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</si>
  <si>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</si>
  <si>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</si>
  <si>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</si>
  <si>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</si>
  <si>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</si>
  <si>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</si>
  <si>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</si>
  <si>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</si>
  <si>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</si>
  <si>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</si>
  <si>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</si>
  <si>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</si>
  <si>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</si>
  <si>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</si>
  <si>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</si>
  <si>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</si>
  <si>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</si>
  <si>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</si>
  <si>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</si>
  <si>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</si>
  <si>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</si>
  <si>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</si>
  <si>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</si>
  <si>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</si>
  <si>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</si>
  <si>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</si>
  <si>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</si>
  <si>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</si>
  <si>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</si>
  <si>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</si>
  <si>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</si>
  <si>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</si>
  <si>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</si>
  <si>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</si>
  <si>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</si>
  <si>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</si>
  <si>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</si>
  <si>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</si>
  <si>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</si>
  <si>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</si>
  <si>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</si>
  <si>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</si>
  <si>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</si>
  <si>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</si>
  <si>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</si>
  <si>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</si>
  <si>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</si>
  <si>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</si>
  <si>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</si>
  <si>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</si>
  <si>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</si>
  <si>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</si>
  <si>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</si>
  <si>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</si>
  <si>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</si>
  <si>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</si>
  <si>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</si>
  <si>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</si>
  <si>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</si>
  <si>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</si>
  <si>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</si>
  <si>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</si>
  <si>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</si>
  <si>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</si>
  <si>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</si>
  <si>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</si>
  <si>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</si>
  <si>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</si>
  <si>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</si>
  <si>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</si>
  <si>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</si>
  <si>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</si>
  <si>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</si>
  <si>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</si>
  <si>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</si>
  <si>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</si>
  <si>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</si>
  <si>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</si>
  <si>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</si>
  <si>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</si>
  <si>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</si>
  <si>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</si>
  <si>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</si>
  <si>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</si>
  <si>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</si>
  <si>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</si>
  <si>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</si>
  <si>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</si>
  <si>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</si>
  <si>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</si>
  <si>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</si>
  <si>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</si>
  <si>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</si>
  <si>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</si>
  <si>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</si>
  <si>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</si>
  <si>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</si>
  <si>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</si>
  <si>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</si>
  <si>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</si>
  <si>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</si>
  <si>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</si>
  <si>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</si>
  <si>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</si>
  <si>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</si>
  <si>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</si>
  <si>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</si>
  <si>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</si>
  <si>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</si>
  <si>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</si>
  <si>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</si>
  <si>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</si>
  <si>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</si>
  <si>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</si>
  <si>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</si>
  <si>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</si>
  <si>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</si>
  <si>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</si>
  <si>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</si>
  <si>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</si>
  <si>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</si>
  <si>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</si>
  <si>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</si>
  <si>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</si>
  <si>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</si>
  <si>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</si>
  <si>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</si>
  <si>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</si>
  <si>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</si>
  <si>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</si>
  <si>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</si>
  <si>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</si>
  <si>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</si>
  <si>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</si>
  <si>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</si>
  <si>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</si>
  <si>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</si>
  <si>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</si>
  <si>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</si>
  <si>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</si>
  <si>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</si>
  <si>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</si>
  <si>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</si>
  <si>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</si>
  <si>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</si>
  <si>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</si>
  <si>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</si>
  <si>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</si>
  <si>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</si>
  <si>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</si>
  <si>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</si>
  <si>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</si>
  <si>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</si>
  <si>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</si>
  <si>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</si>
  <si>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</si>
  <si>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</si>
  <si>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</si>
  <si>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</si>
  <si>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</si>
  <si>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</si>
  <si>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</si>
  <si>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</si>
  <si>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</si>
  <si>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</si>
  <si>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</si>
  <si>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</si>
  <si>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</si>
  <si>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</si>
  <si>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</si>
  <si>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</si>
  <si>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</si>
  <si>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</si>
  <si>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</si>
  <si>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</si>
  <si>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</si>
  <si>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</si>
  <si>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</si>
  <si>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</si>
  <si>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</si>
  <si>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</si>
  <si>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</si>
  <si>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</si>
  <si>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</si>
  <si>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</si>
  <si>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</si>
  <si>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</si>
  <si>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</si>
  <si>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</si>
  <si>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</si>
  <si>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</si>
  <si>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</si>
  <si>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</si>
  <si>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</si>
  <si>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</si>
  <si>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</si>
  <si>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</si>
  <si>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</si>
  <si>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</si>
  <si>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</si>
  <si>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</si>
  <si>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</si>
  <si>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</si>
  <si>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</si>
  <si>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</si>
  <si>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</si>
  <si>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</si>
  <si>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</si>
  <si>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</si>
  <si>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</si>
  <si>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</si>
  <si>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</si>
  <si>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</si>
  <si>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</si>
  <si>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</si>
  <si>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</si>
  <si>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</si>
  <si>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</si>
  <si>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</si>
  <si>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</si>
  <si>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</si>
  <si>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</si>
  <si>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</si>
  <si>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</si>
  <si>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</si>
  <si>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</si>
  <si>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</si>
  <si>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</si>
  <si>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</si>
  <si>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</si>
  <si>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</si>
  <si>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</si>
  <si>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</si>
  <si>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</si>
  <si>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</si>
  <si>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</si>
  <si>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</si>
  <si>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</si>
  <si>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</si>
  <si>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</si>
  <si>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</si>
  <si>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</si>
  <si>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</si>
  <si>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</si>
  <si>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</si>
  <si>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</si>
  <si>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</si>
  <si>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</si>
  <si>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</si>
  <si>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</si>
  <si>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</si>
  <si>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</si>
  <si>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</si>
  <si>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</si>
  <si>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</si>
  <si>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</si>
  <si>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</si>
  <si>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</si>
  <si>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</si>
  <si>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</si>
  <si>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</si>
  <si>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</si>
  <si>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</si>
  <si>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</si>
  <si>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</si>
  <si>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</si>
  <si>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</si>
  <si>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</si>
  <si>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</si>
  <si>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</si>
  <si>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</si>
  <si>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</si>
  <si>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</si>
  <si>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</si>
  <si>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</si>
  <si>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</si>
  <si>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</si>
  <si>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</si>
  <si>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</si>
  <si>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</si>
  <si>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</si>
  <si>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</si>
  <si>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</si>
  <si>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</si>
  <si>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</si>
  <si>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</si>
  <si>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</si>
  <si>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</si>
  <si>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</si>
  <si>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</si>
  <si>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</si>
  <si>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</si>
  <si>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</si>
  <si>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</si>
  <si>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</si>
  <si>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</si>
  <si>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</si>
  <si>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</si>
  <si>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</si>
  <si>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</si>
  <si>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</si>
  <si>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</si>
  <si>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</si>
  <si>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</si>
  <si>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</si>
  <si>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</si>
  <si>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</si>
  <si>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</si>
  <si>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</si>
  <si>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</si>
  <si>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</si>
  <si>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</si>
  <si>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</si>
  <si>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</si>
  <si>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</si>
  <si>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</si>
  <si>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</si>
  <si>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</si>
  <si>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</si>
  <si>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</si>
  <si>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</si>
  <si>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</si>
  <si>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</si>
  <si>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</si>
  <si>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</si>
  <si>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</si>
  <si>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</si>
  <si>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</si>
  <si>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</si>
  <si>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</si>
  <si>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</si>
  <si>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</si>
  <si>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</si>
  <si>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</si>
  <si>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</si>
  <si>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</si>
  <si>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</si>
  <si>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</si>
  <si>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</si>
  <si>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</si>
  <si>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</si>
  <si>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</si>
  <si>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</si>
  <si>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</si>
  <si>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</si>
  <si>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</si>
  <si>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</si>
  <si>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</si>
  <si>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</si>
  <si>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</si>
  <si>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</si>
  <si>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</si>
  <si>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</si>
  <si>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</si>
  <si>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</si>
  <si>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</si>
  <si>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</si>
  <si>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</si>
  <si>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</si>
  <si>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</si>
  <si>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</si>
  <si>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</si>
  <si>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</si>
  <si>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</si>
  <si>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</si>
  <si>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</si>
  <si>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</si>
  <si>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</si>
  <si>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</si>
  <si>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</si>
  <si>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</si>
  <si>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</si>
  <si>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</si>
  <si>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</si>
  <si>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</si>
  <si>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</si>
  <si>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</si>
  <si>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</si>
  <si>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</si>
  <si>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</si>
  <si>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</si>
  <si>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</si>
  <si>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</si>
  <si>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</si>
  <si>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</si>
  <si>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</si>
  <si>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</si>
  <si>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</si>
  <si>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</si>
  <si>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</si>
  <si>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</si>
  <si>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</si>
  <si>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</si>
  <si>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</si>
  <si>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</si>
  <si>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</si>
  <si>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</si>
  <si>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</si>
  <si>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</si>
  <si>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</si>
  <si>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</si>
  <si>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</si>
  <si>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</si>
  <si>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</si>
  <si>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</si>
  <si>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</si>
  <si>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</si>
  <si>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</si>
  <si>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</si>
  <si>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</si>
  <si>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</si>
  <si>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</si>
  <si>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</si>
  <si>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</si>
  <si>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</si>
  <si>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</si>
  <si>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</si>
  <si>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</si>
  <si>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</si>
  <si>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</si>
  <si>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</si>
  <si>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</si>
  <si>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</si>
  <si>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</si>
  <si>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</si>
  <si>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</si>
  <si>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</si>
  <si>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</si>
  <si>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</si>
  <si>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</si>
  <si>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</si>
  <si>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</si>
  <si>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</si>
  <si>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</si>
  <si>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</si>
  <si>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</si>
  <si>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</si>
  <si>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</si>
  <si>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</si>
  <si>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</si>
  <si>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</si>
  <si>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</si>
  <si>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</si>
  <si>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</si>
  <si>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</si>
  <si>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</si>
  <si>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</si>
  <si>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</si>
  <si>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</si>
  <si>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</si>
  <si>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</si>
  <si>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</si>
  <si>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</si>
  <si>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</si>
  <si>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</si>
  <si>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</si>
  <si>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</si>
  <si>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</si>
  <si>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</si>
  <si>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</si>
  <si>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</si>
  <si>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</si>
  <si>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</si>
  <si>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</si>
  <si>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</si>
  <si>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</si>
  <si>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</si>
  <si>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</si>
  <si>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</si>
  <si>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</si>
  <si>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</si>
  <si>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</si>
  <si>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</si>
  <si>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</si>
  <si>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</si>
  <si>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</si>
  <si>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</si>
  <si>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</si>
  <si>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</si>
  <si>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</si>
  <si>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</si>
  <si>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</si>
  <si>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</si>
  <si>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</si>
  <si>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</si>
  <si>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</si>
  <si>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</si>
  <si>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</si>
  <si>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</si>
  <si>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</si>
  <si>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</si>
  <si>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</si>
  <si>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</si>
  <si>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</si>
  <si>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</si>
  <si>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</si>
  <si>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</si>
  <si>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</si>
  <si>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</si>
  <si>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</si>
  <si>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</si>
  <si>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</si>
  <si>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</si>
  <si>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</si>
  <si>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</si>
  <si>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</si>
  <si>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</si>
  <si>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</si>
  <si>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</si>
  <si>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</si>
  <si>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</si>
  <si>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</si>
  <si>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</si>
  <si>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</si>
  <si>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</si>
  <si>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</si>
  <si>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</si>
  <si>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</si>
  <si>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</si>
  <si>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</si>
  <si>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</si>
  <si>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</si>
  <si>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</si>
  <si>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</si>
  <si>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</si>
  <si>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</si>
  <si>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</si>
  <si>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</si>
  <si>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</si>
  <si>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</si>
  <si>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</si>
  <si>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</si>
  <si>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</si>
  <si>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</si>
  <si>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</si>
  <si>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</si>
  <si>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</si>
  <si>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</si>
  <si>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</si>
  <si>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</si>
  <si>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</si>
  <si>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</si>
  <si>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</si>
  <si>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</si>
  <si>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</si>
  <si>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</si>
  <si>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</si>
  <si>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</si>
  <si>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</si>
  <si>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</si>
  <si>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</si>
  <si>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</si>
  <si>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</si>
  <si>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</si>
  <si>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</si>
  <si>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</si>
  <si>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</si>
  <si>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</si>
  <si>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</si>
  <si>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</si>
  <si>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</si>
  <si>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</si>
  <si>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</si>
  <si>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</si>
  <si>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</si>
  <si>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</si>
  <si>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</si>
  <si>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</si>
  <si>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</si>
  <si>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</si>
  <si>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</si>
  <si>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</si>
  <si>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</si>
  <si>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</si>
  <si>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</si>
  <si>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</si>
  <si>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</si>
  <si>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</si>
  <si>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</si>
  <si>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</si>
  <si>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</si>
  <si>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</si>
  <si>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</si>
  <si>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</si>
  <si>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</si>
  <si>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</si>
  <si>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</si>
  <si>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</si>
  <si>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</si>
  <si>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</si>
  <si>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</si>
  <si>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</si>
  <si>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</si>
  <si>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</si>
  <si>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</si>
  <si>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</si>
  <si>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</si>
  <si>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</si>
  <si>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</si>
  <si>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</si>
  <si>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</si>
  <si>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</si>
  <si>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</si>
  <si>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</si>
  <si>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</si>
  <si>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</si>
  <si>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</si>
  <si>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</si>
  <si>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</si>
  <si>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</si>
  <si>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</si>
  <si>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</si>
  <si>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</si>
  <si>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</si>
  <si>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</si>
  <si>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</si>
  <si>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</si>
  <si>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</si>
  <si>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</si>
  <si>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</si>
  <si>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</si>
  <si>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</si>
  <si>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</si>
  <si>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</si>
  <si>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</si>
  <si>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</si>
  <si>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</si>
  <si>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</si>
  <si>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</si>
  <si>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</si>
  <si>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</si>
  <si>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</si>
  <si>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</si>
  <si>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</si>
  <si>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</si>
  <si>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</si>
  <si>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</si>
  <si>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</si>
  <si>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</si>
  <si>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</si>
  <si>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</si>
  <si>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</si>
  <si>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</si>
  <si>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</si>
  <si>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</si>
  <si>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</si>
  <si>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</si>
  <si>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</si>
  <si>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</si>
  <si>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</si>
  <si>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</si>
  <si>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</si>
  <si>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</si>
  <si>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</si>
  <si>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</si>
  <si>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</si>
  <si>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</si>
  <si>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</si>
  <si>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</si>
  <si>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</si>
  <si>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</si>
  <si>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</si>
  <si>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</si>
  <si>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</si>
  <si>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</si>
  <si>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</si>
  <si>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</si>
  <si>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</si>
  <si>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</si>
  <si>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</si>
  <si>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</si>
  <si>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</si>
  <si>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</si>
  <si>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</si>
  <si>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</si>
  <si>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</si>
  <si>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</si>
  <si>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</si>
  <si>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</si>
  <si>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</si>
  <si>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</si>
  <si>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</si>
  <si>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</si>
  <si>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</si>
  <si>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</si>
  <si>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</si>
  <si>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</si>
  <si>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</si>
  <si>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</si>
  <si>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</si>
  <si>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</si>
  <si>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</si>
  <si>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</si>
  <si>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</si>
  <si>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</si>
  <si>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</si>
  <si>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</si>
  <si>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</si>
  <si>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</si>
  <si>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</si>
  <si>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</si>
  <si>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</si>
  <si>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</si>
  <si>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</si>
  <si>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</si>
  <si>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</si>
  <si>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</si>
  <si>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</si>
  <si>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</si>
  <si>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</si>
  <si>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</si>
  <si>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</si>
  <si>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</si>
  <si>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</si>
  <si>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</si>
  <si>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</si>
  <si>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</si>
  <si>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</si>
  <si>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</si>
  <si>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</si>
  <si>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</si>
  <si>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</si>
  <si>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</si>
  <si>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</si>
  <si>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</si>
  <si>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</si>
  <si>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</si>
  <si>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</si>
  <si>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</si>
  <si>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</si>
  <si>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</si>
  <si>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</si>
  <si>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</si>
  <si>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</si>
  <si>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</si>
  <si>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</si>
  <si>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</si>
  <si>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</si>
  <si>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</si>
  <si>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</si>
  <si>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</si>
  <si>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</si>
  <si>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</si>
  <si>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</si>
  <si>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</si>
  <si>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</si>
  <si>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</si>
  <si>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</si>
  <si>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</si>
  <si>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</si>
  <si>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</si>
  <si>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</si>
  <si>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</si>
  <si>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</si>
  <si>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</si>
  <si>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</si>
  <si>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</si>
  <si>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</si>
  <si>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</si>
  <si>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</si>
  <si>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</si>
  <si>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</si>
  <si>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</si>
  <si>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</si>
  <si>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</si>
  <si>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</si>
  <si>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</si>
  <si>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</si>
  <si>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</si>
  <si>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</si>
  <si>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</si>
  <si>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</si>
  <si>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</si>
  <si>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</si>
  <si>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</si>
  <si>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</si>
  <si>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</si>
  <si>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</si>
  <si>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</si>
  <si>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</si>
  <si>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</si>
  <si>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</si>
  <si>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</si>
  <si>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</si>
  <si>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</si>
  <si>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</si>
  <si>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</si>
  <si>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</si>
  <si>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</si>
  <si>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</si>
  <si>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</si>
  <si>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</si>
  <si>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</si>
  <si>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</si>
  <si>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</si>
  <si>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</si>
  <si>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</si>
  <si>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</si>
  <si>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</si>
  <si>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</si>
  <si>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</si>
  <si>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</si>
  <si>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</si>
  <si>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</si>
  <si>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</si>
  <si>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</si>
  <si>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</si>
  <si>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</si>
  <si>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</si>
  <si>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</si>
  <si>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</si>
  <si>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</si>
  <si>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</si>
  <si>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</si>
  <si>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</si>
  <si>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</si>
  <si>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</si>
  <si>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</si>
  <si>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</si>
  <si>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</si>
  <si>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</si>
  <si>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</si>
  <si>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</si>
  <si>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</si>
  <si>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</si>
  <si>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</si>
  <si>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</si>
  <si>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</si>
  <si>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</si>
  <si>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</si>
  <si>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</si>
  <si>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</si>
  <si>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</si>
  <si>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</si>
  <si>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</si>
  <si>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</si>
  <si>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</si>
  <si>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</si>
  <si>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</si>
  <si>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</si>
  <si>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</si>
  <si>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</si>
  <si>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</si>
  <si>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</si>
  <si>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</si>
  <si>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</si>
  <si>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</si>
  <si>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</si>
  <si>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</si>
  <si>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</si>
  <si>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</si>
  <si>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</si>
  <si>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</si>
  <si>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</si>
  <si>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</si>
  <si>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</si>
  <si>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</si>
  <si>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</si>
  <si>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</si>
  <si>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</si>
  <si>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</si>
  <si>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</si>
  <si>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</si>
  <si>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</si>
  <si>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</si>
  <si>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</si>
  <si>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</si>
  <si>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</si>
  <si>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</si>
  <si>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</si>
  <si>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</si>
  <si>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</si>
  <si>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</si>
  <si>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</si>
  <si>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</si>
  <si>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</si>
  <si>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</si>
  <si>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</si>
  <si>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</si>
  <si>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</si>
  <si>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</si>
  <si>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</si>
  <si>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</si>
  <si>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</si>
  <si>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</si>
  <si>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</si>
  <si>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</si>
  <si>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</si>
  <si>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</si>
  <si>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</si>
  <si>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</si>
  <si>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</si>
  <si>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</si>
  <si>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</si>
  <si>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</si>
  <si>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</si>
  <si>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</si>
  <si>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</si>
  <si>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</si>
  <si>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</si>
  <si>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</si>
  <si>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</si>
  <si>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</si>
  <si>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</si>
  <si>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</si>
  <si>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</si>
  <si>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</si>
  <si>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</si>
  <si>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</si>
  <si>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</si>
  <si>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</si>
  <si>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</si>
  <si>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</si>
  <si>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</si>
  <si>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</si>
  <si>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</si>
  <si>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</si>
  <si>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</si>
  <si>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</si>
  <si>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</si>
  <si>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</si>
  <si>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</si>
  <si>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</si>
  <si>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</si>
  <si>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</si>
  <si>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</si>
  <si>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</si>
  <si>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</si>
  <si>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</si>
  <si>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</si>
  <si>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</si>
  <si>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</si>
  <si>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</si>
  <si>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</si>
  <si>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</si>
  <si>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</si>
  <si>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</si>
  <si>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</si>
  <si>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</si>
  <si>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</si>
  <si>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</si>
  <si>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</si>
  <si>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</si>
  <si>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</si>
  <si>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</si>
  <si>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</si>
  <si>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</si>
  <si>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</si>
  <si>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</si>
  <si>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</si>
  <si>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</si>
  <si>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</si>
  <si>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</si>
  <si>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</si>
  <si>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</si>
  <si>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</si>
  <si>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</si>
  <si>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</si>
  <si>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</si>
  <si>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</si>
  <si>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</si>
  <si>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</si>
  <si>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</si>
  <si>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</si>
  <si>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</si>
  <si>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</si>
  <si>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</si>
  <si>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</si>
  <si>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</si>
  <si>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</si>
  <si>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</si>
  <si>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</si>
  <si>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</si>
  <si>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</si>
  <si>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</si>
  <si>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</si>
  <si>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</si>
  <si>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</si>
  <si>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</si>
  <si>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</si>
  <si>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</si>
  <si>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</si>
  <si>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</si>
  <si>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</si>
  <si>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</si>
  <si>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</si>
  <si>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</si>
  <si>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</si>
  <si>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</si>
  <si>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</si>
  <si>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</si>
  <si>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</si>
  <si>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</si>
  <si>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</si>
  <si>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</si>
  <si>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</si>
  <si>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</si>
  <si>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</si>
  <si>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</si>
  <si>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</si>
  <si>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</si>
  <si>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</si>
  <si>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</si>
  <si>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</si>
  <si>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</si>
  <si>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</si>
  <si>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</si>
  <si>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</si>
  <si>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</si>
  <si>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</si>
  <si>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</si>
  <si>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</si>
  <si>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</si>
  <si>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</si>
  <si>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</si>
  <si>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</si>
  <si>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</si>
  <si>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</si>
  <si>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</si>
  <si>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</si>
  <si>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</si>
  <si>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</si>
  <si>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</si>
  <si>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</si>
  <si>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</si>
  <si>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</si>
  <si>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</si>
  <si>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</si>
  <si>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</si>
  <si>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</si>
  <si>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</si>
  <si>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</si>
  <si>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</si>
  <si>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</si>
  <si>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</si>
  <si>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</si>
  <si>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</si>
  <si>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</si>
  <si>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</si>
  <si>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</si>
  <si>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</si>
  <si>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</si>
  <si>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</si>
  <si>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</si>
  <si>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</si>
  <si>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</si>
  <si>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</si>
  <si>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</si>
  <si>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</si>
  <si>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</si>
  <si>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</si>
  <si>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</si>
  <si>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</si>
  <si>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</si>
  <si>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</si>
  <si>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</si>
  <si>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</si>
  <si>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</si>
  <si>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</si>
  <si>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</si>
  <si>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</si>
  <si>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</si>
  <si>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</si>
  <si>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</si>
  <si>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</si>
  <si>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</si>
  <si>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</si>
  <si>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</si>
  <si>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</si>
  <si>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</si>
  <si>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</si>
  <si>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</si>
  <si>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</si>
  <si>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</si>
  <si>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</si>
  <si>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</si>
  <si>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</si>
  <si>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</si>
  <si>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</si>
  <si>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</si>
  <si>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</si>
  <si>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</si>
  <si>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</si>
  <si>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</si>
  <si>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</si>
  <si>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</si>
  <si>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</si>
  <si>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</si>
  <si>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</si>
  <si>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</si>
  <si>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</si>
  <si>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</si>
  <si>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</si>
  <si>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</si>
  <si>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</si>
  <si>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</si>
  <si>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</si>
  <si>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</si>
  <si>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</si>
  <si>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</si>
  <si>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</si>
  <si>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</si>
  <si>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</si>
  <si>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</si>
  <si>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</si>
  <si>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</si>
  <si>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</si>
  <si>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</si>
  <si>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</si>
  <si>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</si>
  <si>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</si>
  <si>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</si>
  <si>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</si>
  <si>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</si>
  <si>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</si>
  <si>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</si>
  <si>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</si>
  <si>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</si>
  <si>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</si>
  <si>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</si>
  <si>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</si>
  <si>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</si>
  <si>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</si>
  <si>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</si>
  <si>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</si>
  <si>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</si>
  <si>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</si>
  <si>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</si>
  <si>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</si>
  <si>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</si>
  <si>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</si>
  <si>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</si>
  <si>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</si>
  <si>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</si>
  <si>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</si>
  <si>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</si>
  <si>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</si>
  <si>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</si>
  <si>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</si>
  <si>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</si>
  <si>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</si>
  <si>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</si>
  <si>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</si>
  <si>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</si>
  <si>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</si>
  <si>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</si>
  <si>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</si>
  <si>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</si>
  <si>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</si>
  <si>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</si>
  <si>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</si>
  <si>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</si>
  <si>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</si>
  <si>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</si>
  <si>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</si>
  <si>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</si>
  <si>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</si>
  <si>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</si>
  <si>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</si>
  <si>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</si>
  <si>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</si>
  <si>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</si>
  <si>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</si>
  <si>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</si>
  <si>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</si>
  <si>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</si>
  <si>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</si>
  <si>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</si>
  <si>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</si>
  <si>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</si>
  <si>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</si>
  <si>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</si>
  <si>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</si>
  <si>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</si>
  <si>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</si>
  <si>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</si>
  <si>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</si>
  <si>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</si>
  <si>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</si>
  <si>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</si>
  <si>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</si>
  <si>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</si>
  <si>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</si>
  <si>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</si>
  <si>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</si>
  <si>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</si>
  <si>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</si>
  <si>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</si>
  <si>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</si>
  <si>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</si>
  <si>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</si>
  <si>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</si>
  <si>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</si>
  <si>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</si>
  <si>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</si>
  <si>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</si>
  <si>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</si>
  <si>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</si>
  <si>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</si>
  <si>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</si>
  <si>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</si>
  <si>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</si>
  <si>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</si>
  <si>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</si>
  <si>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</si>
  <si>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</si>
  <si>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</si>
  <si>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</si>
  <si>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</si>
  <si>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</si>
  <si>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</si>
  <si>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</si>
  <si>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</si>
  <si>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</si>
  <si>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</si>
  <si>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</si>
  <si>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</si>
  <si>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</si>
  <si>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</si>
  <si>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</si>
  <si>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</si>
  <si>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</si>
  <si>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</si>
  <si>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</si>
  <si>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</si>
  <si>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</si>
  <si>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</si>
  <si>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</si>
  <si>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</si>
  <si>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</si>
  <si>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</si>
  <si>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</si>
  <si>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</si>
  <si>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</si>
  <si>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</si>
  <si>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</si>
  <si>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</si>
  <si>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</si>
  <si>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</si>
  <si>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</si>
  <si>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</si>
  <si>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</si>
  <si>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</si>
  <si>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</si>
  <si>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</si>
  <si>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</si>
  <si>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</si>
  <si>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</si>
  <si>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</si>
  <si>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</si>
  <si>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</si>
  <si>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</si>
  <si>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</si>
  <si>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</si>
  <si>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</si>
  <si>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</si>
  <si>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</si>
  <si>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</si>
  <si>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</si>
  <si>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</si>
  <si>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</si>
  <si>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</si>
  <si>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</si>
  <si>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</si>
  <si>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</si>
  <si>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</si>
  <si>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</si>
  <si>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</si>
  <si>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</si>
  <si>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</si>
  <si>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</si>
  <si>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</si>
  <si>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</si>
  <si>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</si>
  <si>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</si>
  <si>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</si>
  <si>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</si>
  <si>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</si>
  <si>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</si>
  <si>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</si>
  <si>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</si>
  <si>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</si>
  <si>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</si>
  <si>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</si>
  <si>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</si>
  <si>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</si>
  <si>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</si>
  <si>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</si>
  <si>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</si>
  <si>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</si>
  <si>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</si>
  <si>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</si>
  <si>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</si>
  <si>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</si>
  <si>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</si>
  <si>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</si>
  <si>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</si>
  <si>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</si>
  <si>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</si>
  <si>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</si>
  <si>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</si>
  <si>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</si>
  <si>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</si>
  <si>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</si>
  <si>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</si>
  <si>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</si>
  <si>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</si>
  <si>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</si>
  <si>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</si>
  <si>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</si>
  <si>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</si>
  <si>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</si>
  <si>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</si>
  <si>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</si>
  <si>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</si>
  <si>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</si>
  <si>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</si>
  <si>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</si>
  <si>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</si>
  <si>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</si>
  <si>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</si>
  <si>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</si>
  <si>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</si>
  <si>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</si>
  <si>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</si>
  <si>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</si>
  <si>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</si>
  <si>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</si>
  <si>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</si>
  <si>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</si>
  <si>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</si>
  <si>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</si>
  <si>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</si>
  <si>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</si>
  <si>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</si>
  <si>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</si>
  <si>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</si>
  <si>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</si>
  <si>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</si>
  <si>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</si>
  <si>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</si>
  <si>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</si>
  <si>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</si>
  <si>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</si>
  <si>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</si>
  <si>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</si>
  <si>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</si>
  <si>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</si>
  <si>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</si>
  <si>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</si>
  <si>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</si>
  <si>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</si>
  <si>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</si>
  <si>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</si>
  <si>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</si>
  <si>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</si>
  <si>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</si>
  <si>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</si>
  <si>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</si>
  <si>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</si>
  <si>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</si>
  <si>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</si>
  <si>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</si>
  <si>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</si>
  <si>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</si>
  <si>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</si>
  <si>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</si>
  <si>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</si>
  <si>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</si>
  <si>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</si>
  <si>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</si>
  <si>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</si>
  <si>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</si>
  <si>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</si>
  <si>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</si>
  <si>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</si>
  <si>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</si>
  <si>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</si>
  <si>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</si>
  <si>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</si>
  <si>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</si>
  <si>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</si>
  <si>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</si>
  <si>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</si>
  <si>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</si>
  <si>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</si>
  <si>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</si>
  <si>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</si>
  <si>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</si>
  <si>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</si>
  <si>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</si>
  <si>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</si>
  <si>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</si>
  <si>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</si>
  <si>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</si>
  <si>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</si>
  <si>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</si>
  <si>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</si>
  <si>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</si>
  <si>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</si>
  <si>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</si>
  <si>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</si>
  <si>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</si>
  <si>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</si>
  <si>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</si>
  <si>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</si>
  <si>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</si>
  <si>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</si>
  <si>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</si>
  <si>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</si>
  <si>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</si>
  <si>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</si>
  <si>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</si>
  <si>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</si>
  <si>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</si>
  <si>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</si>
  <si>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</si>
  <si>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</si>
  <si>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</si>
  <si>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</si>
  <si>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</si>
  <si>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</si>
  <si>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</si>
  <si>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</si>
  <si>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</si>
  <si>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</si>
  <si>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</si>
  <si>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</si>
  <si>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</si>
  <si>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</si>
  <si>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</si>
  <si>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</si>
  <si>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</si>
  <si>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</si>
  <si>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</si>
  <si>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</si>
  <si>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</si>
  <si>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</si>
  <si>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</si>
  <si>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</si>
  <si>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</si>
  <si>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</si>
  <si>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</si>
  <si>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</si>
  <si>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</si>
  <si>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</si>
  <si>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</si>
  <si>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</si>
  <si>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</si>
  <si>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</si>
  <si>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</si>
  <si>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</si>
  <si>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</si>
  <si>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</si>
  <si>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</si>
  <si>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</si>
  <si>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</si>
  <si>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</si>
  <si>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</si>
  <si>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</si>
  <si>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</si>
  <si>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</si>
  <si>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</si>
  <si>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</si>
  <si>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</si>
  <si>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</si>
  <si>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</si>
  <si>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</si>
  <si>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</si>
  <si>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</si>
  <si>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</si>
  <si>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</si>
  <si>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</si>
  <si>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</si>
  <si>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</si>
  <si>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</si>
  <si>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</si>
  <si>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</si>
  <si>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</si>
  <si>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</si>
  <si>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</si>
  <si>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</si>
  <si>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</si>
  <si>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</si>
  <si>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</si>
  <si>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</si>
  <si>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</si>
  <si>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</si>
  <si>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</si>
  <si>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</si>
  <si>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</si>
  <si>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</si>
  <si>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</si>
  <si>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</si>
  <si>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</si>
  <si>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</si>
  <si>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</si>
  <si>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</si>
  <si>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</si>
  <si>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</si>
  <si>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</si>
  <si>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</si>
  <si>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</si>
  <si>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</si>
  <si>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</si>
  <si>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</si>
  <si>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</si>
  <si>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</si>
  <si>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</si>
  <si>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</si>
  <si>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</si>
  <si>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</si>
  <si>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</si>
  <si>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</si>
  <si>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</si>
  <si>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</si>
  <si>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</si>
  <si>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</si>
  <si>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</si>
  <si>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</si>
  <si>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</si>
  <si>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</si>
  <si>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</si>
  <si>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</si>
  <si>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</si>
  <si>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</si>
  <si>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</si>
  <si>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</si>
  <si>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</si>
  <si>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</si>
  <si>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</si>
  <si>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</si>
  <si>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</si>
  <si>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</si>
  <si>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</si>
  <si>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</si>
  <si>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</si>
  <si>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</si>
  <si>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</si>
  <si>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</si>
  <si>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</si>
  <si>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</si>
  <si>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</si>
  <si>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</si>
  <si>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</si>
  <si>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</si>
  <si>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</si>
  <si>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</si>
  <si>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</si>
  <si>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</si>
  <si>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</si>
  <si>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</si>
  <si>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</si>
  <si>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</si>
  <si>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</si>
  <si>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</si>
  <si>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</si>
  <si>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</si>
  <si>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</si>
  <si>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</si>
  <si>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</si>
  <si>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</si>
  <si>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</si>
  <si>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</si>
  <si>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</si>
  <si>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</si>
  <si>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</si>
  <si>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</si>
  <si>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</si>
  <si>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</si>
  <si>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</si>
  <si>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</si>
  <si>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</si>
  <si>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</si>
  <si>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</si>
  <si>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</si>
  <si>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</si>
  <si>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</si>
  <si>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</si>
  <si>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</si>
  <si>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</si>
  <si>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</si>
  <si>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</si>
  <si>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</si>
  <si>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</si>
  <si>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</si>
  <si>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</si>
  <si>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</si>
  <si>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</si>
  <si>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</si>
  <si>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</si>
  <si>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</si>
  <si>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</si>
  <si>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</si>
  <si>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</si>
  <si>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</si>
  <si>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</si>
  <si>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</si>
  <si>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</si>
  <si>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</si>
  <si>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</si>
  <si>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</si>
  <si>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</si>
  <si>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</si>
  <si>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</si>
  <si>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</si>
  <si>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</si>
  <si>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</si>
  <si>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</si>
  <si>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</si>
  <si>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</si>
  <si>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</si>
  <si>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</si>
  <si>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</si>
  <si>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</si>
  <si>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</si>
  <si>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</si>
  <si>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</si>
  <si>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</si>
  <si>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</si>
  <si>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</si>
  <si>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</si>
  <si>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</si>
  <si>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</si>
  <si>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</si>
  <si>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</si>
  <si>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</si>
  <si>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</si>
  <si>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</si>
  <si>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</si>
  <si>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</si>
  <si>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</si>
  <si>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</si>
  <si>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</si>
  <si>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</si>
  <si>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</si>
  <si>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</si>
  <si>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</si>
  <si>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</si>
  <si>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</si>
  <si>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</si>
  <si>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</si>
  <si>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</si>
  <si>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</si>
  <si>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</si>
  <si>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</si>
  <si>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</si>
  <si>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</si>
  <si>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</si>
  <si>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</si>
  <si>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</si>
  <si>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</si>
  <si>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</si>
  <si>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</si>
  <si>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</si>
  <si>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</si>
  <si>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</si>
  <si>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</si>
  <si>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</si>
  <si>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</si>
  <si>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</si>
  <si>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</si>
  <si>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</si>
  <si>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</si>
  <si>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</si>
  <si>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</si>
  <si>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</si>
  <si>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</si>
  <si>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</si>
  <si>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</si>
  <si>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</si>
  <si>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</si>
  <si>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</si>
  <si>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</si>
  <si>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</si>
  <si>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</si>
  <si>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</si>
  <si>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</si>
  <si>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</si>
  <si>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</si>
  <si>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</si>
  <si>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</si>
  <si>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</si>
  <si>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</si>
  <si>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</si>
  <si>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</si>
  <si>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</si>
  <si>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</si>
  <si>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</si>
  <si>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</si>
  <si>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</si>
  <si>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</si>
  <si>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</si>
  <si>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</si>
  <si>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</si>
  <si>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</si>
  <si>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</si>
  <si>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</si>
  <si>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</si>
  <si>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</si>
  <si>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</si>
  <si>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</si>
  <si>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</si>
  <si>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</si>
  <si>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</si>
  <si>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</si>
  <si>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</si>
  <si>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</si>
  <si>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</si>
  <si>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</si>
  <si>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</si>
  <si>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</si>
  <si>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</si>
  <si>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</si>
  <si>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</si>
  <si>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</si>
  <si>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</si>
  <si>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</si>
  <si>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</si>
  <si>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</si>
  <si>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</si>
  <si>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</si>
  <si>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</si>
  <si>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</si>
  <si>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</si>
  <si>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</si>
  <si>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</si>
  <si>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</si>
  <si>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</si>
  <si>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</si>
  <si>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</si>
  <si>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</si>
  <si>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</si>
  <si>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</si>
  <si>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</si>
  <si>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</si>
  <si>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</si>
  <si>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</si>
  <si>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</si>
  <si>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</si>
  <si>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</si>
  <si>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</si>
  <si>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</si>
  <si>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</si>
  <si>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</si>
  <si>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</si>
  <si>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</si>
  <si>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</si>
  <si>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</si>
  <si>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</si>
  <si>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</si>
  <si>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</si>
  <si>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</si>
  <si>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</si>
  <si>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</si>
  <si>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</si>
  <si>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</si>
  <si>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</si>
  <si>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</si>
  <si>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</si>
  <si>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</si>
  <si>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</si>
  <si>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</si>
  <si>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</si>
  <si>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</si>
  <si>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</si>
  <si>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</si>
  <si>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</si>
  <si>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</si>
  <si>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</si>
  <si>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</si>
  <si>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</si>
  <si>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</si>
  <si>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</si>
  <si>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</si>
  <si>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</si>
  <si>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</si>
  <si>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</si>
  <si>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</si>
  <si>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</si>
  <si>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</si>
  <si>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</si>
  <si>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</si>
  <si>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</si>
  <si>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</si>
  <si>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</si>
  <si>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</si>
  <si>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</si>
  <si>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</si>
  <si>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</si>
  <si>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</si>
  <si>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</si>
  <si>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</si>
  <si>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</si>
  <si>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</si>
  <si>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</si>
  <si>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</si>
  <si>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</si>
  <si>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</si>
  <si>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</si>
  <si>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</si>
  <si>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</si>
  <si>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</si>
  <si>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</si>
  <si>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</si>
  <si>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</si>
  <si>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</si>
  <si>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</si>
  <si>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</si>
  <si>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</si>
  <si>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</si>
  <si>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</si>
  <si>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</si>
  <si>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</si>
  <si>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</si>
  <si>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</si>
  <si>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</si>
  <si>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</si>
  <si>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</si>
  <si>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</si>
  <si>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</si>
  <si>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</si>
  <si>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</si>
  <si>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</si>
  <si>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</si>
  <si>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</si>
  <si>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</si>
  <si>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</si>
  <si>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</si>
  <si>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</si>
  <si>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</si>
  <si>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</si>
  <si>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</si>
  <si>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</si>
  <si>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</si>
  <si>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</si>
  <si>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</si>
  <si>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</si>
  <si>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</si>
  <si>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</si>
  <si>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</si>
  <si>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</si>
  <si>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</si>
  <si>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</si>
  <si>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</si>
  <si>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</si>
  <si>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</si>
  <si>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</si>
  <si>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</si>
  <si>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</si>
  <si>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</si>
  <si>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</si>
  <si>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</si>
  <si>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</si>
  <si>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</si>
  <si>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</si>
  <si>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</si>
  <si>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</si>
  <si>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</si>
  <si>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</si>
  <si>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</si>
  <si>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</si>
  <si>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</si>
  <si>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</si>
  <si>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</si>
  <si>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</si>
  <si>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</si>
  <si>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</si>
  <si>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</si>
  <si>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</si>
  <si>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</si>
  <si>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</si>
  <si>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</si>
  <si>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</si>
  <si>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</si>
  <si>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</si>
  <si>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</si>
  <si>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</si>
  <si>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</si>
  <si>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</si>
  <si>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</si>
  <si>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</si>
  <si>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</si>
  <si>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</si>
  <si>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</si>
  <si>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</si>
  <si>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</si>
  <si>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</si>
  <si>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</si>
  <si>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</si>
  <si>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</si>
  <si>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</si>
  <si>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</si>
  <si>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</si>
  <si>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</si>
  <si>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</si>
  <si>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</si>
  <si>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</si>
  <si>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</si>
  <si>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</si>
  <si>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</si>
  <si>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</si>
  <si>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</si>
  <si>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</si>
  <si>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</si>
  <si>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</si>
  <si>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</si>
  <si>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</si>
  <si>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</si>
  <si>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</si>
  <si>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</si>
  <si>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</si>
  <si>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</si>
  <si>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</si>
  <si>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</si>
  <si>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</si>
  <si>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</si>
  <si>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</si>
  <si>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</si>
  <si>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</si>
  <si>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</si>
  <si>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</si>
  <si>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</si>
  <si>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</si>
  <si>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</si>
  <si>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</si>
  <si>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</si>
  <si>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</si>
  <si>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</si>
  <si>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</si>
  <si>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</si>
  <si>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</si>
  <si>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</si>
  <si>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</si>
  <si>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</si>
  <si>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</si>
  <si>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</si>
  <si>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</si>
  <si>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</si>
  <si>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</si>
  <si>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</si>
  <si>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</si>
  <si>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</si>
  <si>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</si>
  <si>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</si>
  <si>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</si>
  <si>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</si>
  <si>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</si>
  <si>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</si>
  <si>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</si>
  <si>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</si>
  <si>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</si>
  <si>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</si>
  <si>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</si>
  <si>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</si>
  <si>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</si>
  <si>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</si>
  <si>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</si>
  <si>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</si>
  <si>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</si>
  <si>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</si>
  <si>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</si>
  <si>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</si>
  <si>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</si>
  <si>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</si>
  <si>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</si>
  <si>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</si>
  <si>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</si>
  <si>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</si>
  <si>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</si>
  <si>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</si>
  <si>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</si>
  <si>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</si>
  <si>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</si>
  <si>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</si>
  <si>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</si>
  <si>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</si>
  <si>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</si>
  <si>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</si>
  <si>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</si>
  <si>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</si>
  <si>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</si>
  <si>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</si>
  <si>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</si>
  <si>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</si>
  <si>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</si>
  <si>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</si>
  <si>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</si>
  <si>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</si>
  <si>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</si>
  <si>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</si>
  <si>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</si>
  <si>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</si>
  <si>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</si>
  <si>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</si>
  <si>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</si>
  <si>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</si>
  <si>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</si>
  <si>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</si>
  <si>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</si>
  <si>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</si>
  <si>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</si>
  <si>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</si>
  <si>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</si>
  <si>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</si>
  <si>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</si>
  <si>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</si>
  <si>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</si>
  <si>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</si>
  <si>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</si>
  <si>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</si>
  <si>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</si>
  <si>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</si>
  <si>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</si>
  <si>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</si>
  <si>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</si>
  <si>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</si>
  <si>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</si>
  <si>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</si>
  <si>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</si>
  <si>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</si>
  <si>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</si>
  <si>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</si>
  <si>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</si>
  <si>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</si>
  <si>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</si>
  <si>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</si>
  <si>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</si>
  <si>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</si>
  <si>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</si>
  <si>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</si>
  <si>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</si>
  <si>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</si>
  <si>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</si>
  <si>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</si>
  <si>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</si>
  <si>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</si>
  <si>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</si>
  <si>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</si>
  <si>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</si>
  <si>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</si>
  <si>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</si>
  <si>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</si>
  <si>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</si>
  <si>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</si>
  <si>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</si>
  <si>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</si>
  <si>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</si>
  <si>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</si>
  <si>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</si>
  <si>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</si>
  <si>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</si>
  <si>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</si>
  <si>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</si>
  <si>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</si>
  <si>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</si>
  <si>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</si>
  <si>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</si>
  <si>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</si>
  <si>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</si>
  <si>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</si>
  <si>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</si>
  <si>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</si>
  <si>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</si>
  <si>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</si>
  <si>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</si>
  <si>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</si>
  <si>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</si>
  <si>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</si>
  <si>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</si>
  <si>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</si>
  <si>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</si>
  <si>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</si>
  <si>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</si>
  <si>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</si>
  <si>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</si>
  <si>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</si>
  <si>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</si>
  <si>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</si>
  <si>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</si>
  <si>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</si>
  <si>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</si>
  <si>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</si>
  <si>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</si>
  <si>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</si>
  <si>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</si>
  <si>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</si>
  <si>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</si>
  <si>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</si>
  <si>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</si>
  <si>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</si>
  <si>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</si>
  <si>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</si>
  <si>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</si>
  <si>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</si>
  <si>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</si>
  <si>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</si>
  <si>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</si>
  <si>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</si>
  <si>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</si>
  <si>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</si>
  <si>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</si>
  <si>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</si>
  <si>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</si>
  <si>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</si>
  <si>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</si>
  <si>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</si>
  <si>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</si>
  <si>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</si>
  <si>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</si>
  <si>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</si>
  <si>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</si>
  <si>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</si>
  <si>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</si>
  <si>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</si>
  <si>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</si>
  <si>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</si>
  <si>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</si>
  <si>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</si>
  <si>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</si>
  <si>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</si>
  <si>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</si>
  <si>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</si>
  <si>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</si>
  <si>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</si>
  <si>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</si>
  <si>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</si>
  <si>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</si>
  <si>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</si>
  <si>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</si>
  <si>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</si>
  <si>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</si>
  <si>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</si>
  <si>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</si>
  <si>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</si>
  <si>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</si>
  <si>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</si>
  <si>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</si>
  <si>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</si>
  <si>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</si>
  <si>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</si>
  <si>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</si>
  <si>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</si>
  <si>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</si>
  <si>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</si>
  <si>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</si>
  <si>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</si>
  <si>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</si>
  <si>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</si>
  <si>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</si>
  <si>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</si>
  <si>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</si>
  <si>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</si>
  <si>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</si>
  <si>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</si>
  <si>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</si>
  <si>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</si>
  <si>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</si>
  <si>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</si>
  <si>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</si>
  <si>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</si>
  <si>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</si>
  <si>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</si>
  <si>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</si>
  <si>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</si>
  <si>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</si>
  <si>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</si>
  <si>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</si>
  <si>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</si>
  <si>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</si>
  <si>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</si>
  <si>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</si>
  <si>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</si>
  <si>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</si>
  <si>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</si>
  <si>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</si>
  <si>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</si>
  <si>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</si>
  <si>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</si>
  <si>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</si>
  <si>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</si>
  <si>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</si>
  <si>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</si>
  <si>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</si>
  <si>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</si>
  <si>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</si>
  <si>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</si>
  <si>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</si>
  <si>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</si>
  <si>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</si>
  <si>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</si>
  <si>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</si>
  <si>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</si>
  <si>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</si>
  <si>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</si>
  <si>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</si>
  <si>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</si>
  <si>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</si>
  <si>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</si>
  <si>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</si>
  <si>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</si>
  <si>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</si>
  <si>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</si>
  <si>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</si>
  <si>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</si>
  <si>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</si>
  <si>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</si>
  <si>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</si>
  <si>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</si>
  <si>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</si>
  <si>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</si>
  <si>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</si>
  <si>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</si>
  <si>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</si>
  <si>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</si>
  <si>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</si>
  <si>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</si>
  <si>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</si>
  <si>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</si>
  <si>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</si>
  <si>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</si>
  <si>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</si>
  <si>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</si>
  <si>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</si>
  <si>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</si>
  <si>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</si>
  <si>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</si>
  <si>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</si>
  <si>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</si>
  <si>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</si>
  <si>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</si>
  <si>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</si>
  <si>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</si>
  <si>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</si>
  <si>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</si>
  <si>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</si>
  <si>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</si>
  <si>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</si>
  <si>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</si>
  <si>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</si>
  <si>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</si>
  <si>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</si>
  <si>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</si>
  <si>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</si>
  <si>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</si>
  <si>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</si>
  <si>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</si>
  <si>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</si>
  <si>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</si>
  <si>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</si>
  <si>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</si>
  <si>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</si>
  <si>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</si>
  <si>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</si>
  <si>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</si>
  <si>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</si>
  <si>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</si>
  <si>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</si>
  <si>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</si>
  <si>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</si>
  <si>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</si>
  <si>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</si>
  <si>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</si>
  <si>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</si>
  <si>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</si>
  <si>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</si>
  <si>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</si>
  <si>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</si>
  <si>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</si>
  <si>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</si>
  <si>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</si>
  <si>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</si>
  <si>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</si>
  <si>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</si>
  <si>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</si>
  <si>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</si>
  <si>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</si>
  <si>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</si>
  <si>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</si>
  <si>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</si>
  <si>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</si>
  <si>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</si>
  <si>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</si>
  <si>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</si>
  <si>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</si>
  <si>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</si>
  <si>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</si>
  <si>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</si>
  <si>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</si>
  <si>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</si>
  <si>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</si>
  <si>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</si>
  <si>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</si>
  <si>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</si>
  <si>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</si>
  <si>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</si>
  <si>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</si>
  <si>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</si>
  <si>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</si>
  <si>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</si>
  <si>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</si>
  <si>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</si>
  <si>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</si>
  <si>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</si>
  <si>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</si>
  <si>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</si>
  <si>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</si>
  <si>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</si>
  <si>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</si>
  <si>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</si>
  <si>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</si>
  <si>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</si>
  <si>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</si>
  <si>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</si>
  <si>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</si>
  <si>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</si>
  <si>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</si>
  <si>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</si>
  <si>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</si>
  <si>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</si>
  <si>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</si>
  <si>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</si>
  <si>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</si>
  <si>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</si>
  <si>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</si>
  <si>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</si>
  <si>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</si>
  <si>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</si>
  <si>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</si>
  <si>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</si>
  <si>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</si>
  <si>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</si>
  <si>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</si>
  <si>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</si>
  <si>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</si>
  <si>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</si>
  <si>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</si>
  <si>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</si>
  <si>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</si>
  <si>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</si>
  <si>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</si>
  <si>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</si>
  <si>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</si>
  <si>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</si>
  <si>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</si>
  <si>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</si>
  <si>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</si>
  <si>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</si>
  <si>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</si>
  <si>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</si>
  <si>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</si>
  <si>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</si>
  <si>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</si>
  <si>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</si>
  <si>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</si>
  <si>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</si>
  <si>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</si>
  <si>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</si>
  <si>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</si>
  <si>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</si>
  <si>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</si>
  <si>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</si>
  <si>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</si>
  <si>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</si>
  <si>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</si>
  <si>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</si>
  <si>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</si>
  <si>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</si>
  <si>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</si>
  <si>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</si>
  <si>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</si>
  <si>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</si>
  <si>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</si>
  <si>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</si>
  <si>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</si>
  <si>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</si>
  <si>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</si>
  <si>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</si>
  <si>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</si>
  <si>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</si>
  <si>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</si>
  <si>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</si>
  <si>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</si>
  <si>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</si>
  <si>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</si>
  <si>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</si>
  <si>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</si>
  <si>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</si>
  <si>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</si>
  <si>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</si>
  <si>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</si>
  <si>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</si>
  <si>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</si>
  <si>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</si>
  <si>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</si>
  <si>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</si>
  <si>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</si>
  <si>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</si>
  <si>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</si>
  <si>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</si>
  <si>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</si>
  <si>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</si>
  <si>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25</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</si>
  <si>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</si>
  <si>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</si>
  <si>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</si>
  <si>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</si>
  <si>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</si>
  <si>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</si>
  <si>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</si>
  <si>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</si>
  <si>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</si>
  <si>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</si>
  <si>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</si>
  <si>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</si>
  <si>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</si>
  <si>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</si>
  <si>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</si>
  <si>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</si>
  <si>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</si>
  <si>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</si>
  <si>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</si>
  <si>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</si>
  <si>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</si>
  <si>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</si>
  <si>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</si>
  <si>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</si>
  <si>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</si>
  <si>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</si>
  <si>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</si>
  <si>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</si>
  <si>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</si>
  <si>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</si>
  <si>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</si>
  <si>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</si>
  <si>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</si>
  <si>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</si>
  <si>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</si>
  <si>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</si>
  <si>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</si>
  <si>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</si>
  <si>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</si>
  <si>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</si>
  <si>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</si>
  <si>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</si>
  <si>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</si>
  <si>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</si>
  <si>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</si>
  <si>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</si>
  <si>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</si>
  <si>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</si>
  <si>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</si>
  <si>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</si>
  <si>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</si>
  <si>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</si>
  <si>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</si>
  <si>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</si>
  <si>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</si>
  <si>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</si>
  <si>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</si>
  <si>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</si>
  <si>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</si>
  <si>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</si>
  <si>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</si>
  <si>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</si>
  <si>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</si>
  <si>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</si>
  <si>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</si>
  <si>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</si>
  <si>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</si>
  <si>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</si>
  <si>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</si>
  <si>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</si>
  <si>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</si>
  <si>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</si>
  <si>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</si>
  <si>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</si>
  <si>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</si>
  <si>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</si>
  <si>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</si>
  <si>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</si>
  <si>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</si>
  <si>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</si>
  <si>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</si>
  <si>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</si>
  <si>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</si>
  <si>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</si>
  <si>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</si>
  <si>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</si>
  <si>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</si>
  <si>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</si>
  <si>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</si>
  <si>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</si>
  <si>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</si>
  <si>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</si>
  <si>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</si>
  <si>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</si>
  <si>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</si>
  <si>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</si>
  <si>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</si>
  <si>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</si>
  <si>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</si>
  <si>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</si>
  <si>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</si>
  <si>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</si>
  <si>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</si>
  <si>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</si>
  <si>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</si>
  <si>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</si>
  <si>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</si>
  <si>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</si>
  <si>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</si>
  <si>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</si>
  <si>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</si>
  <si>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</si>
  <si>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月租金</t>
    <phoneticPr fontId="3" type="noConversion"/>
  </si>
  <si>
    <t>物业费</t>
    <phoneticPr fontId="3" type="noConversion"/>
  </si>
  <si>
    <t>测算：</t>
    <phoneticPr fontId="3" type="noConversion"/>
  </si>
  <si>
    <t>一审：</t>
    <phoneticPr fontId="3" type="noConversion"/>
  </si>
  <si>
    <t>二审：</t>
    <phoneticPr fontId="3" type="noConversion"/>
  </si>
  <si>
    <t>较好</t>
  </si>
  <si>
    <t>七通</t>
  </si>
  <si>
    <t>单面临街</t>
  </si>
  <si>
    <t>较好</t>
    <rPh sb="0" eb="1">
      <t>yi ban</t>
    </rPh>
    <phoneticPr fontId="31" type="noConversion"/>
  </si>
  <si>
    <t>1层</t>
  </si>
  <si>
    <t>住宅配套</t>
  </si>
  <si>
    <t>钢混</t>
  </si>
  <si>
    <t>精装修</t>
  </si>
  <si>
    <t>五通</t>
  </si>
  <si>
    <t>标准层高</t>
  </si>
  <si>
    <t>较适宜</t>
  </si>
  <si>
    <t>核定资产</t>
  </si>
  <si>
    <t>房地产市场价值</t>
  </si>
  <si>
    <t>北京市</t>
  </si>
  <si>
    <t>企业</t>
  </si>
  <si>
    <t>通路</t>
  </si>
  <si>
    <t>通电</t>
  </si>
  <si>
    <t>通讯</t>
  </si>
  <si>
    <t>通上水</t>
  </si>
  <si>
    <t>通下水</t>
  </si>
  <si>
    <t>地上</t>
  </si>
  <si>
    <t>是</t>
  </si>
  <si>
    <t>1层</t>
    <phoneticPr fontId="3" type="noConversion"/>
  </si>
  <si>
    <t>建成</t>
    <phoneticPr fontId="3" type="noConversion"/>
  </si>
  <si>
    <t>直线</t>
    <phoneticPr fontId="3" type="noConversion"/>
  </si>
  <si>
    <t>成新度</t>
  </si>
  <si>
    <t>较好</t>
    <phoneticPr fontId="3" type="noConversion"/>
  </si>
  <si>
    <t>较好</t>
    <phoneticPr fontId="3" type="noConversion"/>
  </si>
  <si>
    <t>七通</t>
    <phoneticPr fontId="3" type="noConversion"/>
  </si>
  <si>
    <t>自定义容积率</t>
  </si>
  <si>
    <t>不临65条商业街</t>
  </si>
  <si>
    <t>与级别开发程度不一致</t>
  </si>
  <si>
    <t>一般</t>
  </si>
  <si>
    <t>好</t>
  </si>
  <si>
    <t>未包含在土地购买价格中</t>
  </si>
  <si>
    <t>已包含在土地取得成本中</t>
  </si>
  <si>
    <t>差</t>
  </si>
  <si>
    <t>挂牌</t>
    <phoneticPr fontId="3" type="noConversion"/>
  </si>
  <si>
    <t>双面临街</t>
    <phoneticPr fontId="3" type="noConversion"/>
  </si>
  <si>
    <t>单面临街</t>
    <phoneticPr fontId="3" type="noConversion"/>
  </si>
  <si>
    <t>不临街</t>
    <phoneticPr fontId="3" type="noConversion"/>
  </si>
  <si>
    <t>较好</t>
    <rPh sb="0" eb="1">
      <t>jiao hao</t>
    </rPh>
    <phoneticPr fontId="3" type="noConversion"/>
  </si>
  <si>
    <t>一般</t>
    <rPh sb="0" eb="1">
      <t>yi ban</t>
    </rPh>
    <phoneticPr fontId="3" type="noConversion"/>
  </si>
  <si>
    <t>较差</t>
  </si>
  <si>
    <r>
      <t>1</t>
    </r>
    <r>
      <rPr>
        <sz val="11"/>
        <color indexed="8"/>
        <rFont val="宋体"/>
        <family val="3"/>
        <charset val="134"/>
      </rPr>
      <t>层</t>
    </r>
    <phoneticPr fontId="3" type="noConversion"/>
  </si>
  <si>
    <r>
      <t>1-2</t>
    </r>
    <r>
      <rPr>
        <sz val="11"/>
        <color indexed="8"/>
        <rFont val="宋体"/>
        <family val="3"/>
        <charset val="134"/>
      </rPr>
      <t>层</t>
    </r>
    <phoneticPr fontId="3" type="noConversion"/>
  </si>
  <si>
    <t>中层</t>
    <phoneticPr fontId="3" type="noConversion"/>
  </si>
  <si>
    <t>高层</t>
    <phoneticPr fontId="3" type="noConversion"/>
  </si>
  <si>
    <t>写字楼配套</t>
    <phoneticPr fontId="3" type="noConversion"/>
  </si>
  <si>
    <t>住宅配套</t>
    <phoneticPr fontId="3" type="noConversion"/>
  </si>
  <si>
    <t>钢混</t>
    <phoneticPr fontId="3" type="noConversion"/>
  </si>
  <si>
    <t>精装修</t>
    <phoneticPr fontId="3" type="noConversion"/>
  </si>
  <si>
    <t>普通装修</t>
    <phoneticPr fontId="3" type="noConversion"/>
  </si>
  <si>
    <t>毛坯</t>
    <phoneticPr fontId="3" type="noConversion"/>
  </si>
  <si>
    <t>五通</t>
    <phoneticPr fontId="3" type="noConversion"/>
  </si>
  <si>
    <t>非标层高</t>
    <phoneticPr fontId="3" type="noConversion"/>
  </si>
  <si>
    <t>标准层高</t>
    <phoneticPr fontId="3" type="noConversion"/>
  </si>
  <si>
    <t>较适宜</t>
    <phoneticPr fontId="3" type="noConversion"/>
  </si>
  <si>
    <t>正常</t>
  </si>
  <si>
    <t>商业</t>
    <phoneticPr fontId="30" type="noConversion"/>
  </si>
  <si>
    <t>较好</t>
    <phoneticPr fontId="30" type="noConversion"/>
  </si>
  <si>
    <t>写字楼配套</t>
  </si>
  <si>
    <t>毛坯</t>
  </si>
  <si>
    <t>面积</t>
    <phoneticPr fontId="134" type="noConversion"/>
  </si>
  <si>
    <t>时间</t>
    <phoneticPr fontId="134" type="noConversion"/>
  </si>
  <si>
    <t>金额</t>
    <phoneticPr fontId="134" type="noConversion"/>
  </si>
  <si>
    <t>装修</t>
    <phoneticPr fontId="134" type="noConversion"/>
  </si>
  <si>
    <t>普通装修</t>
    <phoneticPr fontId="134" type="noConversion"/>
  </si>
  <si>
    <t>单套模式</t>
  </si>
  <si>
    <t>租金</t>
  </si>
  <si>
    <t>现房</t>
  </si>
  <si>
    <t>项目局部</t>
  </si>
  <si>
    <t>平整</t>
  </si>
  <si>
    <t>押一</t>
  </si>
  <si>
    <t>非生产用房</t>
  </si>
  <si>
    <t>收益法 (元)</t>
  </si>
  <si>
    <t>观察</t>
    <phoneticPr fontId="3" type="noConversion"/>
  </si>
  <si>
    <t>利息：取LPR</t>
  </si>
  <si>
    <t>较好</t>
    <phoneticPr fontId="3" type="noConversion"/>
  </si>
  <si>
    <t>项目信息</t>
  </si>
  <si>
    <t>低层：≤3层，10米</t>
  </si>
  <si>
    <t>对外</t>
  </si>
  <si>
    <t>半年付</t>
  </si>
  <si>
    <t>合同</t>
  </si>
  <si>
    <t>区（县）</t>
    <phoneticPr fontId="247" type="noConversion"/>
  </si>
  <si>
    <t>街道</t>
    <phoneticPr fontId="247" type="noConversion"/>
  </si>
  <si>
    <t>环线</t>
    <phoneticPr fontId="247" type="noConversion"/>
  </si>
  <si>
    <t>4-5环</t>
  </si>
  <si>
    <t>高层：11-30层，40-100米</t>
  </si>
  <si>
    <t>银行营业网点</t>
  </si>
  <si>
    <t>市调案例</t>
  </si>
  <si>
    <t>住宅配套（底商/裙楼)</t>
  </si>
  <si>
    <t>年付</t>
  </si>
  <si>
    <t>押二</t>
  </si>
  <si>
    <t>市调（电话核实）</t>
  </si>
  <si>
    <t>楼层修正</t>
  </si>
  <si>
    <t>出让</t>
  </si>
  <si>
    <t>经营类型</t>
    <phoneticPr fontId="30" type="noConversion"/>
  </si>
  <si>
    <t>银行</t>
    <phoneticPr fontId="30" type="noConversion"/>
  </si>
  <si>
    <t>资金数码</t>
    <phoneticPr fontId="134" type="noConversion"/>
  </si>
  <si>
    <t>新科祥园</t>
    <phoneticPr fontId="134" type="noConversion"/>
  </si>
  <si>
    <t>售价</t>
  </si>
  <si>
    <t>挂牌</t>
  </si>
  <si>
    <t>普通装修</t>
  </si>
  <si>
    <t>紫金数码</t>
    <phoneticPr fontId="134" type="noConversion"/>
  </si>
  <si>
    <t>一般</t>
    <phoneticPr fontId="134" type="noConversion"/>
  </si>
  <si>
    <t>龙湖唐宁one</t>
    <phoneticPr fontId="134" type="noConversion"/>
  </si>
  <si>
    <t>建成时间</t>
    <phoneticPr fontId="134" type="noConversion"/>
  </si>
  <si>
    <t>20-25</t>
    <phoneticPr fontId="134" type="noConversion"/>
  </si>
  <si>
    <t>10-15</t>
    <phoneticPr fontId="134" type="noConversion"/>
  </si>
  <si>
    <t>20-25</t>
    <phoneticPr fontId="134" type="noConversion"/>
  </si>
  <si>
    <t>15-20</t>
    <phoneticPr fontId="134" type="noConversion"/>
  </si>
  <si>
    <t>15-20</t>
    <phoneticPr fontId="134" type="noConversion"/>
  </si>
  <si>
    <t>25-30</t>
    <phoneticPr fontId="134" type="noConversion"/>
  </si>
  <si>
    <t>售价</t>
    <phoneticPr fontId="134" type="noConversion"/>
  </si>
  <si>
    <t>直接资本化率</t>
    <phoneticPr fontId="134" type="noConversion"/>
  </si>
  <si>
    <t>收益期设定25年</t>
    <phoneticPr fontId="134" type="noConversion"/>
  </si>
  <si>
    <t>租金</t>
    <phoneticPr fontId="134" type="noConversion"/>
  </si>
  <si>
    <t>中国银行网点租金（仰源大厦1层）初步结果13.4~16元/建筑平方米·天（含税）</t>
    <phoneticPr fontId="134" type="noConversion"/>
  </si>
  <si>
    <t>报吴姐</t>
    <phoneticPr fontId="134" type="noConversion"/>
  </si>
  <si>
    <t>双面临街</t>
  </si>
  <si>
    <t>序号</t>
    <phoneticPr fontId="134" type="noConversion"/>
  </si>
  <si>
    <t>位置</t>
    <phoneticPr fontId="134" type="noConversion"/>
  </si>
  <si>
    <t>商户</t>
    <phoneticPr fontId="134" type="noConversion"/>
  </si>
  <si>
    <t>浦发银行</t>
    <phoneticPr fontId="134" type="noConversion"/>
  </si>
  <si>
    <t>石景山区玉泉西里二区1号楼</t>
    <phoneticPr fontId="134" type="noConversion"/>
  </si>
  <si>
    <t>面积</t>
    <phoneticPr fontId="134" type="noConversion"/>
  </si>
  <si>
    <t>楼层</t>
    <phoneticPr fontId="134" type="noConversion"/>
  </si>
  <si>
    <t>1层</t>
    <phoneticPr fontId="134" type="noConversion"/>
  </si>
  <si>
    <t>使用面积</t>
    <phoneticPr fontId="134" type="noConversion"/>
  </si>
  <si>
    <t>租期</t>
    <phoneticPr fontId="134" type="noConversion"/>
  </si>
  <si>
    <t>2018-6-28至2024-6-27</t>
    <phoneticPr fontId="134" type="noConversion"/>
  </si>
  <si>
    <t>起始租金</t>
    <phoneticPr fontId="134" type="noConversion"/>
  </si>
  <si>
    <t>物业费</t>
    <phoneticPr fontId="134" type="noConversion"/>
  </si>
  <si>
    <t>增长</t>
    <phoneticPr fontId="134" type="noConversion"/>
  </si>
  <si>
    <t>3年5%</t>
    <phoneticPr fontId="134" type="noConversion"/>
  </si>
  <si>
    <t>兴业银行</t>
    <phoneticPr fontId="134" type="noConversion"/>
  </si>
  <si>
    <t>石景山区玉泉西里二区1号楼</t>
    <phoneticPr fontId="134" type="noConversion"/>
  </si>
  <si>
    <t>1层及-1层</t>
    <phoneticPr fontId="134" type="noConversion"/>
  </si>
  <si>
    <t>2018-7-28至2024-7-27</t>
    <phoneticPr fontId="134" type="noConversion"/>
  </si>
  <si>
    <t>含（0.11）</t>
    <phoneticPr fontId="134" type="noConversion"/>
  </si>
  <si>
    <t>不含</t>
    <phoneticPr fontId="134" type="noConversion"/>
  </si>
  <si>
    <t>华熙五棵松</t>
  </si>
  <si>
    <t>北京银行股份有限公司五棵松支行</t>
  </si>
  <si>
    <t>中国光大银行股份有限公司北京分行</t>
  </si>
  <si>
    <t>项目编号</t>
    <phoneticPr fontId="247" type="noConversion"/>
  </si>
  <si>
    <t>项目名称（推广名）</t>
    <phoneticPr fontId="247" type="noConversion"/>
  </si>
  <si>
    <t>地址</t>
    <phoneticPr fontId="247" type="noConversion"/>
  </si>
  <si>
    <t>省</t>
    <phoneticPr fontId="247" type="noConversion"/>
  </si>
  <si>
    <t>市</t>
    <phoneticPr fontId="247" type="noConversion"/>
  </si>
  <si>
    <t>市调案例/合同</t>
    <phoneticPr fontId="247" type="noConversion"/>
  </si>
  <si>
    <t>用途</t>
    <phoneticPr fontId="247" type="noConversion"/>
  </si>
  <si>
    <t>楼宇建筑类型</t>
    <phoneticPr fontId="247" type="noConversion"/>
  </si>
  <si>
    <t>功能类型</t>
    <phoneticPr fontId="247" type="noConversion"/>
  </si>
  <si>
    <t>楼层（层）</t>
    <phoneticPr fontId="247" type="noConversion"/>
  </si>
  <si>
    <t>其他位置相关信息</t>
    <phoneticPr fontId="247" type="noConversion"/>
  </si>
  <si>
    <t>层高</t>
    <phoneticPr fontId="247" type="noConversion"/>
  </si>
  <si>
    <t>建成时间（年）</t>
    <phoneticPr fontId="247" type="noConversion"/>
  </si>
  <si>
    <t>建筑物利用状况</t>
    <phoneticPr fontId="247" type="noConversion"/>
  </si>
  <si>
    <t>土地使用期限</t>
    <phoneticPr fontId="247" type="noConversion"/>
  </si>
  <si>
    <t>买入价格（万元）</t>
    <phoneticPr fontId="247" type="noConversion"/>
  </si>
  <si>
    <t>买入时间</t>
    <phoneticPr fontId="247" type="noConversion"/>
  </si>
  <si>
    <t>承租方</t>
    <phoneticPr fontId="247" type="noConversion"/>
  </si>
  <si>
    <t>类型</t>
    <phoneticPr fontId="247" type="noConversion"/>
  </si>
  <si>
    <t>租赁限制</t>
    <phoneticPr fontId="247" type="noConversion"/>
  </si>
  <si>
    <t>面积（平方米）</t>
    <phoneticPr fontId="247" type="noConversion"/>
  </si>
  <si>
    <t>付款方式</t>
    <phoneticPr fontId="247" type="noConversion"/>
  </si>
  <si>
    <t>押金
（元）</t>
    <phoneticPr fontId="247" type="noConversion"/>
  </si>
  <si>
    <t>起始租金及内涵</t>
    <phoneticPr fontId="247" type="noConversion"/>
  </si>
  <si>
    <t>维修费</t>
    <phoneticPr fontId="247" type="noConversion"/>
  </si>
  <si>
    <t>租约期限</t>
    <phoneticPr fontId="247" type="noConversion"/>
  </si>
  <si>
    <t>免租期
（月）</t>
    <phoneticPr fontId="247" type="noConversion"/>
  </si>
  <si>
    <t>涨幅</t>
    <phoneticPr fontId="247" type="noConversion"/>
  </si>
  <si>
    <t>其他特殊，如定制装修改造等</t>
    <phoneticPr fontId="247" type="noConversion"/>
  </si>
  <si>
    <t>来源</t>
    <phoneticPr fontId="247" type="noConversion"/>
  </si>
  <si>
    <t>合同租金是否与市场水平相符</t>
    <phoneticPr fontId="247" type="noConversion"/>
  </si>
  <si>
    <t>意向租金（中行等金融机构）</t>
    <phoneticPr fontId="247" type="noConversion"/>
  </si>
  <si>
    <t>备注</t>
    <phoneticPr fontId="247" type="noConversion"/>
  </si>
  <si>
    <t>录入人</t>
    <phoneticPr fontId="247" type="noConversion"/>
  </si>
  <si>
    <t>录入时间</t>
    <phoneticPr fontId="247" type="noConversion"/>
  </si>
  <si>
    <t>核对人</t>
    <phoneticPr fontId="247" type="noConversion"/>
  </si>
  <si>
    <t>核对时间</t>
    <phoneticPr fontId="247" type="noConversion"/>
  </si>
  <si>
    <t>产证地址</t>
    <phoneticPr fontId="247" type="noConversion"/>
  </si>
  <si>
    <t>现状地址</t>
    <phoneticPr fontId="247" type="noConversion"/>
  </si>
  <si>
    <t>证载用途</t>
    <phoneticPr fontId="247" type="noConversion"/>
  </si>
  <si>
    <t>现状用途
利用方向</t>
    <phoneticPr fontId="247" type="noConversion"/>
  </si>
  <si>
    <t>主楼宇</t>
    <phoneticPr fontId="247" type="noConversion"/>
  </si>
  <si>
    <t>裙楼</t>
    <phoneticPr fontId="247" type="noConversion"/>
  </si>
  <si>
    <t>商业类型</t>
    <phoneticPr fontId="247" type="noConversion"/>
  </si>
  <si>
    <t>办公类型</t>
    <phoneticPr fontId="247" type="noConversion"/>
  </si>
  <si>
    <t>总楼层-地上</t>
    <phoneticPr fontId="247" type="noConversion"/>
  </si>
  <si>
    <t>总楼层-地下</t>
    <phoneticPr fontId="247" type="noConversion"/>
  </si>
  <si>
    <t>所在楼层
/具体楼层</t>
    <phoneticPr fontId="247" type="noConversion"/>
  </si>
  <si>
    <t>所在楼层
/区间位置</t>
    <phoneticPr fontId="247" type="noConversion"/>
  </si>
  <si>
    <r>
      <t xml:space="preserve">出入口位置
</t>
    </r>
    <r>
      <rPr>
        <b/>
        <sz val="8"/>
        <color rgb="FFFF0000"/>
        <rFont val="宋体"/>
        <family val="3"/>
        <charset val="134"/>
        <scheme val="minor"/>
      </rPr>
      <t>（商业利用）</t>
    </r>
    <phoneticPr fontId="247" type="noConversion"/>
  </si>
  <si>
    <t>面宽
（米）</t>
    <phoneticPr fontId="247" type="noConversion"/>
  </si>
  <si>
    <t>进深
（米）</t>
    <phoneticPr fontId="247" type="noConversion"/>
  </si>
  <si>
    <t>景观</t>
    <phoneticPr fontId="247" type="noConversion"/>
  </si>
  <si>
    <t>其他</t>
    <phoneticPr fontId="247" type="noConversion"/>
  </si>
  <si>
    <t>高度
（米）</t>
    <phoneticPr fontId="247" type="noConversion"/>
  </si>
  <si>
    <t>隔层</t>
    <phoneticPr fontId="247" type="noConversion"/>
  </si>
  <si>
    <t>证载</t>
    <phoneticPr fontId="247" type="noConversion"/>
  </si>
  <si>
    <t>调查</t>
    <phoneticPr fontId="247" type="noConversion"/>
  </si>
  <si>
    <t>改造加固时间</t>
    <phoneticPr fontId="247" type="noConversion"/>
  </si>
  <si>
    <t>改造加固内容</t>
    <phoneticPr fontId="247" type="noConversion"/>
  </si>
  <si>
    <t>证载</t>
    <phoneticPr fontId="247" type="noConversion"/>
  </si>
  <si>
    <t>实际交易价格</t>
    <phoneticPr fontId="247" type="noConversion"/>
  </si>
  <si>
    <t>开票价格</t>
    <phoneticPr fontId="247" type="noConversion"/>
  </si>
  <si>
    <t>公司名称</t>
    <phoneticPr fontId="247" type="noConversion"/>
  </si>
  <si>
    <t>商户</t>
    <phoneticPr fontId="247" type="noConversion"/>
  </si>
  <si>
    <t>商业
经营类型</t>
    <phoneticPr fontId="247" type="noConversion"/>
  </si>
  <si>
    <t>办公
租户行业</t>
    <phoneticPr fontId="247" type="noConversion"/>
  </si>
  <si>
    <t>合同约定</t>
    <phoneticPr fontId="247" type="noConversion"/>
  </si>
  <si>
    <t>计租面积㎡</t>
    <phoneticPr fontId="247" type="noConversion"/>
  </si>
  <si>
    <t>套内面积㎡</t>
    <phoneticPr fontId="247" type="noConversion"/>
  </si>
  <si>
    <t>建筑面积㎡</t>
    <phoneticPr fontId="247" type="noConversion"/>
  </si>
  <si>
    <t>得房率-公式</t>
    <phoneticPr fontId="247" type="noConversion"/>
  </si>
  <si>
    <t>得房率-介绍</t>
    <phoneticPr fontId="247" type="noConversion"/>
  </si>
  <si>
    <r>
      <t>租金(</t>
    </r>
    <r>
      <rPr>
        <b/>
        <sz val="8"/>
        <color rgb="FF00B050"/>
        <rFont val="宋体"/>
        <family val="3"/>
        <charset val="134"/>
        <scheme val="minor"/>
      </rPr>
      <t>市调)
元/</t>
    </r>
    <r>
      <rPr>
        <b/>
        <sz val="8"/>
        <color rgb="FFFF0000"/>
        <rFont val="宋体"/>
        <family val="3"/>
        <charset val="134"/>
        <scheme val="minor"/>
      </rPr>
      <t>天</t>
    </r>
    <r>
      <rPr>
        <b/>
        <sz val="8"/>
        <color rgb="FF00B050"/>
        <rFont val="宋体"/>
        <family val="3"/>
        <charset val="134"/>
        <scheme val="minor"/>
      </rPr>
      <t>·㎡</t>
    </r>
    <phoneticPr fontId="247" type="noConversion"/>
  </si>
  <si>
    <t>净租金</t>
    <phoneticPr fontId="247" type="noConversion"/>
  </si>
  <si>
    <t>增值税</t>
    <phoneticPr fontId="247" type="noConversion"/>
  </si>
  <si>
    <r>
      <t>物业费
元/</t>
    </r>
    <r>
      <rPr>
        <b/>
        <sz val="8"/>
        <color rgb="FFFF0000"/>
        <rFont val="宋体"/>
        <family val="3"/>
        <charset val="134"/>
        <scheme val="minor"/>
      </rPr>
      <t>月</t>
    </r>
    <r>
      <rPr>
        <b/>
        <sz val="8"/>
        <color rgb="FF00B050"/>
        <rFont val="宋体"/>
        <family val="3"/>
        <charset val="134"/>
        <scheme val="minor"/>
      </rPr>
      <t>·㎡</t>
    </r>
    <phoneticPr fontId="247" type="noConversion"/>
  </si>
  <si>
    <r>
      <t>能源费
元/</t>
    </r>
    <r>
      <rPr>
        <b/>
        <sz val="8"/>
        <color rgb="FFFF0000"/>
        <rFont val="宋体"/>
        <family val="3"/>
        <charset val="134"/>
        <scheme val="minor"/>
      </rPr>
      <t>天</t>
    </r>
    <r>
      <rPr>
        <b/>
        <sz val="8"/>
        <color rgb="FF00B050"/>
        <rFont val="宋体"/>
        <family val="3"/>
        <charset val="134"/>
        <scheme val="minor"/>
      </rPr>
      <t>·㎡</t>
    </r>
    <phoneticPr fontId="247" type="noConversion"/>
  </si>
  <si>
    <t>计租起始日期</t>
    <phoneticPr fontId="247" type="noConversion"/>
  </si>
  <si>
    <t>结束日期</t>
    <phoneticPr fontId="247" type="noConversion"/>
  </si>
  <si>
    <r>
      <t>租期(年)</t>
    </r>
    <r>
      <rPr>
        <b/>
        <sz val="8"/>
        <color rgb="FF00B050"/>
        <rFont val="宋体"/>
        <family val="3"/>
        <charset val="134"/>
        <scheme val="minor"/>
      </rPr>
      <t xml:space="preserve">
租赁期限</t>
    </r>
    <phoneticPr fontId="247" type="noConversion"/>
  </si>
  <si>
    <t>涨幅方式</t>
    <phoneticPr fontId="247" type="noConversion"/>
  </si>
  <si>
    <t>计算平均涨幅</t>
    <phoneticPr fontId="247" type="noConversion"/>
  </si>
  <si>
    <t>形式</t>
    <phoneticPr fontId="247" type="noConversion"/>
  </si>
  <si>
    <r>
      <t>签订时间
/</t>
    </r>
    <r>
      <rPr>
        <b/>
        <sz val="8"/>
        <color rgb="FF00B050"/>
        <rFont val="宋体"/>
        <family val="3"/>
        <charset val="134"/>
        <scheme val="minor"/>
      </rPr>
      <t>市调日期</t>
    </r>
    <phoneticPr fontId="247" type="noConversion"/>
  </si>
  <si>
    <t>是否正常</t>
    <phoneticPr fontId="247" type="noConversion"/>
  </si>
  <si>
    <t>具体情况</t>
    <phoneticPr fontId="247" type="noConversion"/>
  </si>
  <si>
    <t>租金
元/天·㎡</t>
    <phoneticPr fontId="247" type="noConversion"/>
  </si>
  <si>
    <t>增值税</t>
    <phoneticPr fontId="247" type="noConversion"/>
  </si>
  <si>
    <t>物业费
元/月·㎡</t>
    <phoneticPr fontId="247" type="noConversion"/>
  </si>
  <si>
    <t>能源费
元/天·㎡</t>
    <phoneticPr fontId="247" type="noConversion"/>
  </si>
  <si>
    <t>意向成交时间</t>
    <phoneticPr fontId="247" type="noConversion"/>
  </si>
  <si>
    <t>商业</t>
    <phoneticPr fontId="247" type="noConversion"/>
  </si>
  <si>
    <t>/</t>
    <phoneticPr fontId="247" type="noConversion"/>
  </si>
  <si>
    <t>邢轲</t>
    <phoneticPr fontId="247" type="noConversion"/>
  </si>
  <si>
    <t>北京市</t>
    <phoneticPr fontId="247" type="noConversion"/>
  </si>
  <si>
    <t>2023-1-0270</t>
    <phoneticPr fontId="247" type="noConversion"/>
  </si>
  <si>
    <t>远洋山水</t>
    <phoneticPr fontId="247" type="noConversion"/>
  </si>
  <si>
    <t>石景山区玉泉西里二区1号楼</t>
    <phoneticPr fontId="247" type="noConversion"/>
  </si>
  <si>
    <t>石景山区</t>
    <phoneticPr fontId="247" type="noConversion"/>
  </si>
  <si>
    <t>鲁谷街道</t>
    <phoneticPr fontId="247" type="noConversion"/>
  </si>
  <si>
    <t>配套公建</t>
    <phoneticPr fontId="247" type="noConversion"/>
  </si>
  <si>
    <t>上海浦东发展银行股份有限公司北京分行</t>
    <phoneticPr fontId="247" type="noConversion"/>
  </si>
  <si>
    <t>浦发银行</t>
    <phoneticPr fontId="247" type="noConversion"/>
  </si>
  <si>
    <t>每三年递增5%</t>
    <phoneticPr fontId="247" type="noConversion"/>
  </si>
  <si>
    <t>赵雯</t>
    <phoneticPr fontId="247" type="noConversion"/>
  </si>
  <si>
    <t>石景山区玉泉西里二区</t>
    <phoneticPr fontId="247" type="noConversion"/>
  </si>
  <si>
    <t>朝东一侧临近台湾街</t>
    <phoneticPr fontId="247" type="noConversion"/>
  </si>
  <si>
    <t>远洋沁山水</t>
    <phoneticPr fontId="3" type="noConversion"/>
  </si>
  <si>
    <t>远洋山水</t>
    <phoneticPr fontId="30" type="noConversion"/>
  </si>
  <si>
    <t>崔锴</t>
  </si>
  <si>
    <t>郑燚</t>
  </si>
  <si>
    <r>
      <rPr>
        <sz val="10"/>
        <color theme="9" tint="-0.249977111117893"/>
        <rFont val="宋体"/>
        <family val="3"/>
        <charset val="134"/>
      </rPr>
      <t>石景山区玉泉西里一区</t>
    </r>
    <r>
      <rPr>
        <sz val="10"/>
        <color theme="9" tint="-0.249977111117893"/>
        <rFont val="Arial"/>
        <family val="2"/>
      </rPr>
      <t>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107</t>
    </r>
    <phoneticPr fontId="6" type="noConversion"/>
  </si>
  <si>
    <t>北京海德置业集团有限公司</t>
    <phoneticPr fontId="6" type="noConversion"/>
  </si>
  <si>
    <t>复印件</t>
  </si>
  <si>
    <t>居住项目</t>
  </si>
  <si>
    <t>1（-1）</t>
  </si>
  <si>
    <t>1（-1）</t>
    <phoneticPr fontId="3" type="noConversion"/>
  </si>
  <si>
    <t>下限</t>
    <phoneticPr fontId="30" type="noConversion"/>
  </si>
  <si>
    <t>上限</t>
    <phoneticPr fontId="30" type="noConversion"/>
  </si>
  <si>
    <t>主要临路</t>
    <phoneticPr fontId="30" type="noConversion"/>
  </si>
  <si>
    <t>主</t>
    <phoneticPr fontId="30" type="noConversion"/>
  </si>
  <si>
    <t>次</t>
    <phoneticPr fontId="30" type="noConversion"/>
  </si>
  <si>
    <t>石景山区玉泉西里一区2号楼</t>
    <phoneticPr fontId="134" type="noConversion"/>
  </si>
  <si>
    <t>某银行</t>
    <phoneticPr fontId="134" type="noConversion"/>
  </si>
  <si>
    <t>翔鹰大厦</t>
  </si>
  <si>
    <t>银行</t>
  </si>
  <si>
    <t>一般</t>
    <phoneticPr fontId="30" type="noConversion"/>
  </si>
  <si>
    <t>自己</t>
    <phoneticPr fontId="134" type="noConversion"/>
  </si>
  <si>
    <t>盛京银行</t>
    <phoneticPr fontId="134" type="noConversion"/>
  </si>
  <si>
    <t>2014年12月5日至2024年12月4日</t>
    <phoneticPr fontId="134" type="noConversion"/>
  </si>
  <si>
    <t>1-2年</t>
    <phoneticPr fontId="134" type="noConversion"/>
  </si>
  <si>
    <t>3-4年</t>
    <phoneticPr fontId="134" type="noConversion"/>
  </si>
  <si>
    <t>5-6年</t>
    <phoneticPr fontId="134" type="noConversion"/>
  </si>
  <si>
    <t>9-10年</t>
    <phoneticPr fontId="134" type="noConversion"/>
  </si>
  <si>
    <t>7-8年</t>
    <phoneticPr fontId="134" type="noConversion"/>
  </si>
  <si>
    <t>备注</t>
    <phoneticPr fontId="134" type="noConversion"/>
  </si>
  <si>
    <t>含物业费及供暖费</t>
    <phoneticPr fontId="134" type="noConversion"/>
  </si>
  <si>
    <t>临近</t>
    <phoneticPr fontId="134" type="noConversion"/>
  </si>
  <si>
    <t>招商银行</t>
    <phoneticPr fontId="134" type="noConversion"/>
  </si>
  <si>
    <t>2024-1-20至2030-1-19</t>
    <phoneticPr fontId="134" type="noConversion"/>
  </si>
  <si>
    <t>物业费</t>
    <phoneticPr fontId="134" type="noConversion"/>
  </si>
  <si>
    <t>1（380.25）-2（512.75）层</t>
    <phoneticPr fontId="134" type="noConversion"/>
  </si>
  <si>
    <t>1层</t>
    <phoneticPr fontId="134" type="noConversion"/>
  </si>
  <si>
    <t>2层</t>
    <phoneticPr fontId="134" type="noConversion"/>
  </si>
  <si>
    <t>远洋沁山水</t>
    <phoneticPr fontId="30" type="noConversion"/>
  </si>
  <si>
    <t>一版报数</t>
    <phoneticPr fontId="30" type="noConversion"/>
  </si>
  <si>
    <r>
      <rPr>
        <sz val="11"/>
        <rFont val="宋体"/>
        <family val="3"/>
        <charset val="134"/>
      </rPr>
      <t>租金报值</t>
    </r>
    <r>
      <rPr>
        <sz val="11"/>
        <rFont val="Arial"/>
        <family val="2"/>
      </rPr>
      <t>11.2-13.6</t>
    </r>
    <r>
      <rPr>
        <sz val="11"/>
        <rFont val="宋体"/>
        <family val="3"/>
        <charset val="134"/>
      </rPr>
      <t>元</t>
    </r>
    <r>
      <rPr>
        <sz val="11"/>
        <rFont val="Arial"/>
        <family val="2"/>
      </rPr>
      <t>/</t>
    </r>
    <r>
      <rPr>
        <sz val="11"/>
        <rFont val="宋体"/>
        <family val="3"/>
        <charset val="134"/>
      </rPr>
      <t>平方米</t>
    </r>
    <r>
      <rPr>
        <sz val="11"/>
        <rFont val="Arial"/>
        <family val="2"/>
      </rPr>
      <t>.</t>
    </r>
    <r>
      <rPr>
        <sz val="11"/>
        <rFont val="宋体"/>
        <family val="3"/>
        <charset val="134"/>
      </rPr>
      <t>天</t>
    </r>
    <phoneticPr fontId="30" type="noConversion"/>
  </si>
  <si>
    <t>报收费1.5</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</si>
</sst>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0.00_-;\-* #,##0.00_-;_-* &quot;-&quot;??_-;_-@_-"/>
    <numFmt numFmtId="197" formatCode="0.0"/>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4"/>
      <charset val="134"/>
      <scheme val="minor"/>
    </font>
    <font>
      <sz val="11"/>
      <color rgb="FFFF0000"/>
      <name val="宋体"/>
      <family val="4"/>
      <charset val="134"/>
      <scheme val="minor"/>
    </font>
    <font>
      <sz val="10"/>
      <color rgb="FFFF0000"/>
      <name val="宋体"/>
      <family val="3"/>
      <charset val="134"/>
      <scheme val="minor"/>
    </font>
    <font>
      <sz val="8"/>
      <color theme="1"/>
      <name val="宋体"/>
      <family val="2"/>
      <charset val="134"/>
      <scheme val="minor"/>
    </font>
    <font>
      <b/>
      <sz val="8"/>
      <color rgb="FF00B050"/>
      <name val="宋体"/>
      <family val="3"/>
      <charset val="134"/>
      <scheme val="minor"/>
    </font>
    <font>
      <sz val="8"/>
      <name val="宋体"/>
      <family val="3"/>
      <charset val="134"/>
      <scheme val="minor"/>
    </font>
    <font>
      <sz val="8"/>
      <color theme="1"/>
      <name val="宋体"/>
      <family val="3"/>
      <charset val="134"/>
      <scheme val="minor"/>
    </font>
    <font>
      <b/>
      <sz val="8"/>
      <color rgb="FFFF0000"/>
      <name val="宋体"/>
      <family val="3"/>
      <charset val="134"/>
      <scheme val="minor"/>
    </font>
    <font>
      <sz val="11"/>
      <color rgb="FFFF0000"/>
      <name val="宋体"/>
      <family val="3"/>
      <charset val="134"/>
      <scheme val="minor"/>
    </font>
    <font>
      <sz val="10"/>
      <color theme="1"/>
      <name val="华文细黑"/>
      <family val="3"/>
      <charset val="134"/>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
      <patternFill patternType="solid">
        <fgColor theme="9" tint="0.79998168889431442"/>
        <bgColor indexed="64"/>
      </patternFill>
    </fill>
    <fill>
      <patternFill patternType="solid">
        <fgColor rgb="FFFCFEB6"/>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1" tint="0.499984740745262"/>
        <bgColor indexed="64"/>
      </patternFill>
    </fill>
    <fill>
      <patternFill patternType="solid">
        <fgColor theme="7"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04">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xf numFmtId="0" fontId="36" fillId="0" borderId="0">
      <alignment vertical="center"/>
    </xf>
    <xf numFmtId="0" fontId="36" fillId="0" borderId="0">
      <alignment vertical="center"/>
    </xf>
    <xf numFmtId="0" fontId="36" fillId="0" borderId="0">
      <alignment vertical="center"/>
    </xf>
    <xf numFmtId="0" fontId="95"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196" fontId="36" fillId="0" borderId="0" applyFont="0" applyFill="0" applyBorder="0" applyAlignment="0" applyProtection="0">
      <alignment vertical="center"/>
    </xf>
    <xf numFmtId="192" fontId="95" fillId="0" borderId="0">
      <alignment vertical="center"/>
    </xf>
    <xf numFmtId="192" fontId="95" fillId="0" borderId="0"/>
    <xf numFmtId="192" fontId="95" fillId="0" borderId="0">
      <alignment vertical="center"/>
    </xf>
    <xf numFmtId="192" fontId="36" fillId="0" borderId="0"/>
    <xf numFmtId="192" fontId="95" fillId="0" borderId="0">
      <alignment vertical="center"/>
    </xf>
    <xf numFmtId="192" fontId="95" fillId="0" borderId="0"/>
    <xf numFmtId="192" fontId="95" fillId="0" borderId="0">
      <alignment vertical="center"/>
    </xf>
    <xf numFmtId="192" fontId="95" fillId="0" borderId="0">
      <alignment vertical="center"/>
    </xf>
    <xf numFmtId="192" fontId="1" fillId="0" borderId="0">
      <alignment vertical="center"/>
    </xf>
    <xf numFmtId="192" fontId="95" fillId="0" borderId="0">
      <alignment vertical="center"/>
    </xf>
    <xf numFmtId="192" fontId="1" fillId="0" borderId="0">
      <alignment vertical="center"/>
    </xf>
    <xf numFmtId="192" fontId="159" fillId="0" borderId="0"/>
    <xf numFmtId="192" fontId="1" fillId="0" borderId="0">
      <alignment vertical="center"/>
    </xf>
    <xf numFmtId="192" fontId="95" fillId="0" borderId="0">
      <alignment vertical="center"/>
    </xf>
    <xf numFmtId="192" fontId="1" fillId="0" borderId="0">
      <alignment vertical="center"/>
    </xf>
    <xf numFmtId="9" fontId="95" fillId="0" borderId="0" applyFont="0" applyFill="0" applyBorder="0" applyAlignment="0" applyProtection="0">
      <alignment vertical="center"/>
    </xf>
    <xf numFmtId="192" fontId="36" fillId="0" borderId="0"/>
    <xf numFmtId="192" fontId="36" fillId="0" borderId="0">
      <alignment vertical="center"/>
    </xf>
    <xf numFmtId="192" fontId="36" fillId="0" borderId="0">
      <alignment vertical="center"/>
    </xf>
    <xf numFmtId="192" fontId="36" fillId="0" borderId="0">
      <alignment vertical="center"/>
    </xf>
    <xf numFmtId="192" fontId="95"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cellStyleXfs>
  <cellXfs count="40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10" applyFont="1" applyBorder="1" applyAlignment="1">
      <alignment vertical="center"/>
    </xf>
    <xf numFmtId="0" fontId="269" fillId="0" borderId="1" xfId="10" applyNumberFormat="1" applyFont="1" applyBorder="1" applyAlignment="1">
      <alignment horizontal="left" vertical="center" wrapText="1" shrinkToFit="1"/>
    </xf>
    <xf numFmtId="9" fontId="270" fillId="0" borderId="1" xfId="10" applyNumberFormat="1" applyFont="1" applyBorder="1" applyAlignment="1">
      <alignment horizontal="center" vertical="center" wrapText="1" shrinkToFit="1"/>
    </xf>
    <xf numFmtId="0" fontId="95" fillId="0" borderId="0" xfId="10" applyAlignment="1"/>
    <xf numFmtId="0" fontId="95" fillId="0" borderId="0" xfId="10" applyFont="1" applyAlignment="1">
      <alignment vertical="center" wrapText="1"/>
    </xf>
    <xf numFmtId="49" fontId="110" fillId="0" borderId="1" xfId="10" applyNumberFormat="1" applyFont="1" applyFill="1" applyBorder="1" applyAlignment="1">
      <alignment horizontal="center" vertical="center" wrapText="1" shrinkToFit="1"/>
    </xf>
    <xf numFmtId="0" fontId="110" fillId="0" borderId="1" xfId="10" applyFont="1" applyFill="1" applyBorder="1" applyAlignment="1">
      <alignment vertical="center" wrapText="1" shrinkToFit="1"/>
    </xf>
    <xf numFmtId="0" fontId="110" fillId="0" borderId="1" xfId="10" applyFont="1" applyFill="1" applyBorder="1" applyAlignment="1">
      <alignment horizontal="center" vertical="center" wrapText="1" shrinkToFit="1"/>
    </xf>
    <xf numFmtId="49" fontId="269"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center" vertical="center" wrapText="1" shrinkToFit="1"/>
    </xf>
    <xf numFmtId="0" fontId="110" fillId="0" borderId="1" xfId="10" applyFont="1" applyFill="1" applyBorder="1" applyAlignment="1">
      <alignment horizontal="left" vertical="center" wrapText="1" shrinkToFi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0" fontId="107" fillId="0" borderId="0" xfId="10" applyFont="1" applyFill="1" applyAlignment="1">
      <alignment wrapText="1"/>
    </xf>
    <xf numFmtId="9" fontId="110" fillId="0" borderId="1" xfId="10" applyNumberFormat="1" applyFont="1" applyFill="1" applyBorder="1" applyAlignment="1">
      <alignment horizontal="left" vertical="center" wrapText="1" shrinkToFit="1"/>
    </xf>
    <xf numFmtId="181" fontId="273" fillId="5" borderId="1" xfId="10" applyNumberFormat="1" applyFont="1" applyFill="1" applyBorder="1" applyAlignment="1">
      <alignment horizontal="center" vertical="center" wrapText="1" shrinkToFit="1"/>
    </xf>
    <xf numFmtId="9" fontId="274" fillId="0" borderId="1" xfId="10" applyNumberFormat="1" applyFont="1" applyFill="1" applyBorder="1" applyAlignment="1">
      <alignment horizontal="center" vertical="center" wrapText="1"/>
    </xf>
    <xf numFmtId="179" fontId="273" fillId="0" borderId="1" xfId="10" applyNumberFormat="1" applyFont="1" applyFill="1" applyBorder="1" applyAlignment="1">
      <alignment horizontal="center" vertical="center" wrapText="1" shrinkToFit="1"/>
    </xf>
    <xf numFmtId="0" fontId="110" fillId="0" borderId="0" xfId="10" applyFont="1" applyFill="1" applyBorder="1" applyAlignment="1">
      <alignment horizontal="center" vertical="center"/>
    </xf>
    <xf numFmtId="9" fontId="275" fillId="22" borderId="1" xfId="10" applyNumberFormat="1" applyFont="1" applyFill="1" applyBorder="1" applyAlignment="1">
      <alignment horizontal="center" vertical="center" wrapText="1"/>
    </xf>
    <xf numFmtId="0" fontId="95" fillId="0" borderId="0" xfId="10" applyFont="1" applyAlignment="1">
      <alignment vertical="center" wrapText="1" shrinkToFit="1"/>
    </xf>
    <xf numFmtId="179" fontId="110" fillId="0" borderId="0" xfId="10" applyNumberFormat="1" applyFont="1" applyBorder="1" applyAlignment="1">
      <alignment horizontal="center" vertical="center"/>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9" fontId="269" fillId="0" borderId="1" xfId="10" applyNumberFormat="1" applyFont="1" applyFill="1" applyBorder="1" applyAlignment="1">
      <alignment horizontal="center" vertical="center" wrapText="1"/>
    </xf>
    <xf numFmtId="9" fontId="107" fillId="0" borderId="1" xfId="10" applyNumberFormat="1" applyFont="1" applyBorder="1" applyAlignment="1">
      <alignment horizontal="center" vertical="center" wrapText="1"/>
    </xf>
    <xf numFmtId="0" fontId="110" fillId="5" borderId="1" xfId="10" applyFont="1" applyFill="1" applyBorder="1" applyAlignment="1">
      <alignment horizontal="center" vertical="center" wrapText="1" shrinkToFit="1"/>
    </xf>
    <xf numFmtId="179" fontId="276" fillId="0" borderId="0" xfId="10" applyNumberFormat="1" applyFont="1" applyAlignme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95" fillId="0" borderId="0" xfId="10" applyFont="1" applyAlignment="1">
      <alignment vertical="center"/>
    </xf>
    <xf numFmtId="0" fontId="122" fillId="0" borderId="0" xfId="1" applyFont="1" applyBorder="1" applyAlignment="1" applyProtection="1">
      <alignment horizontal="left" vertical="center"/>
      <protection hidden="1"/>
    </xf>
    <xf numFmtId="179" fontId="276" fillId="0" borderId="0" xfId="10" applyNumberFormat="1" applyFont="1" applyAlignment="1">
      <alignment vertical="center" wrapText="1" shrinkToFit="1"/>
    </xf>
    <xf numFmtId="181" fontId="110" fillId="0" borderId="0" xfId="10" applyNumberFormat="1" applyFont="1" applyFill="1" applyBorder="1" applyAlignment="1">
      <alignment horizontal="center" vertical="center"/>
    </xf>
    <xf numFmtId="179" fontId="95" fillId="0" borderId="0" xfId="10" applyNumberFormat="1" applyFont="1" applyAlignment="1">
      <alignment vertical="center"/>
    </xf>
    <xf numFmtId="49" fontId="110" fillId="0" borderId="13" xfId="10" applyNumberFormat="1" applyFont="1" applyFill="1" applyBorder="1" applyAlignment="1">
      <alignment horizontal="center" vertical="center" wrapText="1" shrinkToFit="1"/>
    </xf>
    <xf numFmtId="0" fontId="110" fillId="0" borderId="13" xfId="10" applyFont="1" applyFill="1" applyBorder="1" applyAlignment="1">
      <alignment vertical="center" wrapText="1" shrinkToFit="1"/>
    </xf>
    <xf numFmtId="0" fontId="110" fillId="0" borderId="5" xfId="10" applyFont="1" applyFill="1" applyBorder="1" applyAlignment="1">
      <alignment horizontal="center" vertical="center" wrapText="1" shrinkToFit="1"/>
    </xf>
    <xf numFmtId="0" fontId="110" fillId="0" borderId="54" xfId="10" applyFont="1" applyFill="1" applyBorder="1" applyAlignment="1">
      <alignment horizontal="center" vertical="center" wrapText="1" shrinkToFit="1"/>
    </xf>
    <xf numFmtId="180" fontId="110" fillId="0" borderId="54" xfId="10" applyNumberFormat="1" applyFont="1" applyFill="1" applyBorder="1" applyAlignment="1">
      <alignment horizontal="center" vertical="center" wrapText="1" shrinkToFit="1"/>
    </xf>
    <xf numFmtId="0" fontId="110" fillId="0" borderId="3" xfId="10" applyFont="1" applyFill="1" applyBorder="1" applyAlignment="1">
      <alignment horizontal="left" vertical="center" wrapText="1" shrinkToFit="1"/>
    </xf>
    <xf numFmtId="0" fontId="110" fillId="0" borderId="1" xfId="10" applyNumberFormat="1"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9" fontId="110" fillId="0" borderId="0" xfId="10" applyNumberFormat="1" applyFont="1" applyFill="1" applyBorder="1" applyAlignment="1">
      <alignment horizontal="center" vertical="center"/>
    </xf>
    <xf numFmtId="0" fontId="110" fillId="0" borderId="5" xfId="10" applyFont="1" applyFill="1" applyBorder="1" applyAlignment="1">
      <alignment horizontal="right" vertical="center" wrapText="1" shrinkToFit="1"/>
    </xf>
    <xf numFmtId="49" fontId="110" fillId="0" borderId="54" xfId="10" applyNumberFormat="1" applyFont="1" applyFill="1" applyBorder="1" applyAlignment="1">
      <alignment horizontal="center" vertical="center" wrapText="1" shrinkToFit="1"/>
    </xf>
    <xf numFmtId="10" fontId="111" fillId="0" borderId="0" xfId="10" applyNumberFormat="1" applyFont="1" applyFill="1" applyBorder="1" applyAlignment="1">
      <alignment horizontal="center" vertical="center"/>
    </xf>
    <xf numFmtId="0" fontId="277" fillId="0" borderId="0" xfId="10" applyFont="1" applyFill="1" applyAlignment="1">
      <alignment vertical="center"/>
    </xf>
    <xf numFmtId="182" fontId="110" fillId="0" borderId="0" xfId="10" applyNumberFormat="1" applyFont="1" applyFill="1" applyBorder="1" applyAlignment="1">
      <alignment horizontal="center" vertical="center"/>
    </xf>
    <xf numFmtId="9" fontId="273" fillId="5" borderId="1" xfId="10" applyNumberFormat="1" applyFont="1" applyFill="1" applyBorder="1" applyAlignment="1">
      <alignment horizontal="center" vertical="center" wrapText="1" shrinkToFit="1"/>
    </xf>
    <xf numFmtId="10" fontId="110" fillId="0" borderId="0" xfId="10" applyNumberFormat="1" applyFont="1" applyFill="1" applyBorder="1" applyAlignment="1">
      <alignment horizontal="center" vertical="center"/>
    </xf>
    <xf numFmtId="31" fontId="95" fillId="0" borderId="0" xfId="10" applyNumberFormat="1" applyFont="1" applyAlignment="1">
      <alignment vertical="center"/>
    </xf>
    <xf numFmtId="0" fontId="95" fillId="0" borderId="0" xfId="10" applyAlignment="1">
      <alignment horizontal="left" vertical="center" wrapText="1"/>
    </xf>
    <xf numFmtId="0" fontId="95" fillId="0" borderId="0" xfId="10" applyFill="1" applyAlignment="1">
      <alignment vertical="center" wrapText="1"/>
    </xf>
    <xf numFmtId="0" fontId="95" fillId="0" borderId="0" xfId="10" applyAlignment="1">
      <alignment horizontal="center" vertical="center" wrapText="1"/>
    </xf>
    <xf numFmtId="0" fontId="95" fillId="0" borderId="0" xfId="10" applyAlignment="1">
      <alignment vertical="center" wrapText="1"/>
    </xf>
    <xf numFmtId="0" fontId="110" fillId="0" borderId="0" xfId="10" applyFont="1" applyBorder="1" applyAlignment="1">
      <alignment horizontal="center" vertical="center"/>
    </xf>
    <xf numFmtId="0" fontId="276" fillId="0" borderId="0" xfId="10" applyFont="1" applyFill="1" applyAlignment="1">
      <alignment horizontal="center" vertical="center" wrapText="1"/>
    </xf>
    <xf numFmtId="0" fontId="276" fillId="0" borderId="0" xfId="10" applyFont="1" applyFill="1" applyAlignment="1">
      <alignment vertical="center" wrapText="1"/>
    </xf>
    <xf numFmtId="9" fontId="95" fillId="0" borderId="0" xfId="10" applyNumberFormat="1" applyFont="1" applyFill="1" applyAlignment="1">
      <alignment vertical="center" wrapText="1"/>
    </xf>
    <xf numFmtId="0" fontId="134" fillId="0" borderId="1" xfId="10" applyFont="1" applyBorder="1" applyAlignment="1">
      <alignment horizontal="center" vertical="center" wrapText="1"/>
    </xf>
    <xf numFmtId="0" fontId="134" fillId="0" borderId="1" xfId="10" applyFont="1" applyFill="1" applyBorder="1" applyAlignment="1">
      <alignment horizontal="center" vertical="center" wrapText="1"/>
    </xf>
    <xf numFmtId="0" fontId="95" fillId="0" borderId="0" xfId="10" applyFont="1" applyFill="1" applyAlignment="1">
      <alignment vertical="center" wrapText="1"/>
    </xf>
    <xf numFmtId="9" fontId="134" fillId="0" borderId="1" xfId="10" applyNumberFormat="1" applyFont="1" applyFill="1" applyBorder="1" applyAlignment="1">
      <alignment horizontal="center" vertical="center" wrapText="1"/>
    </xf>
    <xf numFmtId="2" fontId="276" fillId="0" borderId="0" xfId="10" applyNumberFormat="1" applyFont="1" applyFill="1" applyAlignment="1">
      <alignment horizontal="center" vertical="center" wrapText="1"/>
    </xf>
    <xf numFmtId="0" fontId="282" fillId="0" borderId="0" xfId="10" applyFont="1" applyFill="1" applyAlignment="1">
      <alignment vertical="center" wrapText="1"/>
    </xf>
    <xf numFmtId="0" fontId="283" fillId="0" borderId="0" xfId="10" applyFont="1" applyFill="1" applyAlignment="1">
      <alignment vertical="center" wrapText="1"/>
    </xf>
    <xf numFmtId="176" fontId="134" fillId="0" borderId="1" xfId="10" applyNumberFormat="1" applyFont="1" applyBorder="1" applyAlignment="1">
      <alignment horizontal="center" vertical="center" wrapText="1"/>
    </xf>
    <xf numFmtId="176" fontId="134" fillId="0" borderId="1" xfId="10" applyNumberFormat="1" applyFont="1" applyFill="1" applyBorder="1" applyAlignment="1">
      <alignment horizontal="center" vertical="center" wrapText="1"/>
    </xf>
    <xf numFmtId="0" fontId="276" fillId="0" borderId="0" xfId="10" applyFont="1" applyAlignment="1">
      <alignment horizontal="center" vertical="center" wrapText="1"/>
    </xf>
    <xf numFmtId="0" fontId="282" fillId="0" borderId="0" xfId="10" applyFont="1" applyFill="1" applyAlignment="1">
      <alignment horizontal="center" vertical="center" wrapText="1"/>
    </xf>
    <xf numFmtId="185" fontId="134" fillId="0" borderId="1" xfId="10" applyNumberFormat="1" applyFont="1" applyBorder="1" applyAlignment="1">
      <alignment horizontal="center" vertical="center" wrapText="1"/>
    </xf>
    <xf numFmtId="0" fontId="276" fillId="0" borderId="1" xfId="10" applyFont="1" applyBorder="1" applyAlignment="1">
      <alignment horizontal="center" vertical="center" wrapText="1"/>
    </xf>
    <xf numFmtId="0" fontId="276" fillId="0" borderId="0" xfId="10" applyFont="1" applyAlignment="1">
      <alignment horizontal="left" vertical="center" wrapText="1"/>
    </xf>
    <xf numFmtId="179" fontId="276" fillId="0" borderId="0" xfId="10" applyNumberFormat="1" applyFont="1" applyFill="1" applyAlignment="1">
      <alignment vertical="center" wrapText="1"/>
    </xf>
    <xf numFmtId="0" fontId="276" fillId="0" borderId="0" xfId="10" applyFont="1" applyAlignment="1">
      <alignment vertical="center" wrapText="1"/>
    </xf>
    <xf numFmtId="0" fontId="95" fillId="0" borderId="0" xfId="10" applyFont="1" applyAlignment="1">
      <alignment horizontal="left" vertical="center" wrapText="1"/>
    </xf>
    <xf numFmtId="0" fontId="95" fillId="0" borderId="0" xfId="10" applyFont="1" applyAlignment="1">
      <alignment horizontal="center" vertical="center" wrapText="1"/>
    </xf>
    <xf numFmtId="14" fontId="47" fillId="7" borderId="13"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5" fillId="0" borderId="0" xfId="10">
      <alignment vertical="center"/>
    </xf>
    <xf numFmtId="14" fontId="95" fillId="0" borderId="0" xfId="10" applyNumberFormat="1">
      <alignment vertical="center"/>
    </xf>
    <xf numFmtId="17" fontId="95" fillId="0" borderId="0" xfId="10" applyNumberFormat="1">
      <alignment vertical="center"/>
    </xf>
    <xf numFmtId="9" fontId="54" fillId="0" borderId="0" xfId="17" applyFont="1" applyFill="1" applyAlignment="1" applyProtection="1">
      <alignment vertical="center"/>
      <protection locked="0"/>
    </xf>
    <xf numFmtId="0" fontId="80" fillId="0" borderId="0" xfId="0" applyFont="1" applyFill="1" applyAlignment="1" applyProtection="1">
      <alignment vertical="center"/>
      <protection locked="0"/>
    </xf>
    <xf numFmtId="181" fontId="159" fillId="12" borderId="1" xfId="12" applyNumberFormat="1" applyFill="1" applyBorder="1" applyAlignment="1" applyProtection="1">
      <alignment horizontal="left"/>
      <protection locked="0"/>
    </xf>
    <xf numFmtId="9" fontId="47" fillId="12" borderId="0" xfId="0" applyNumberFormat="1" applyFont="1" applyFill="1" applyAlignment="1" applyProtection="1">
      <alignment vertical="center"/>
      <protection locked="0"/>
    </xf>
    <xf numFmtId="0" fontId="19" fillId="0" borderId="0" xfId="20" applyFont="1" applyAlignment="1">
      <alignment horizontal="left" vertical="center"/>
    </xf>
    <xf numFmtId="0" fontId="107" fillId="27" borderId="4" xfId="0" applyNumberFormat="1" applyFont="1" applyFill="1" applyBorder="1" applyAlignment="1" applyProtection="1">
      <alignment horizontal="left"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49" fontId="94" fillId="0" borderId="35" xfId="0" applyNumberFormat="1" applyFont="1" applyFill="1" applyBorder="1" applyAlignment="1" applyProtection="1">
      <alignment horizontal="center" vertical="center" wrapText="1"/>
      <protection locked="0"/>
    </xf>
    <xf numFmtId="49" fontId="44" fillId="0" borderId="23"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2" fontId="95" fillId="0" borderId="0" xfId="10" applyNumberFormat="1" applyFont="1" applyAlignment="1">
      <alignment vertical="center" wrapText="1" shrinkToFit="1"/>
    </xf>
    <xf numFmtId="197" fontId="95" fillId="0" borderId="0" xfId="10" applyNumberFormat="1" applyFont="1" applyAlignment="1">
      <alignment vertical="center" wrapText="1" shrinkToFit="1"/>
    </xf>
    <xf numFmtId="1" fontId="95" fillId="0" borderId="0" xfId="10" applyNumberFormat="1" applyFont="1" applyAlignment="1">
      <alignment vertical="center" wrapText="1" shrinkToFit="1"/>
    </xf>
    <xf numFmtId="2" fontId="95" fillId="0" borderId="0" xfId="10" applyNumberFormat="1" applyFont="1" applyAlignment="1">
      <alignment vertical="center"/>
    </xf>
    <xf numFmtId="181" fontId="95" fillId="0" borderId="0" xfId="10" applyNumberFormat="1" applyFont="1" applyAlignment="1">
      <alignment vertical="center" wrapText="1" shrinkToFit="1"/>
    </xf>
    <xf numFmtId="181" fontId="290" fillId="0" borderId="0" xfId="10" applyNumberFormat="1" applyFont="1" applyAlignment="1">
      <alignment vertical="center" wrapText="1" shrinkToFit="1"/>
    </xf>
    <xf numFmtId="0" fontId="19" fillId="0" borderId="0" xfId="20" applyNumberFormat="1" applyFont="1" applyAlignment="1">
      <alignment horizontal="left" vertical="center"/>
    </xf>
    <xf numFmtId="0" fontId="95" fillId="0" borderId="0" xfId="18" applyNumberFormat="1">
      <alignment vertical="center"/>
    </xf>
    <xf numFmtId="0" fontId="19" fillId="0" borderId="0" xfId="71" applyNumberFormat="1" applyFont="1" applyAlignment="1">
      <alignment horizontal="left" vertical="center"/>
    </xf>
    <xf numFmtId="0" fontId="288" fillId="28" borderId="17" xfId="0" applyNumberFormat="1" applyFont="1" applyFill="1" applyBorder="1" applyAlignment="1" applyProtection="1">
      <alignment vertical="center" wrapText="1"/>
    </xf>
    <xf numFmtId="0" fontId="288" fillId="0" borderId="0" xfId="0" applyNumberFormat="1" applyFont="1" applyAlignment="1" applyProtection="1">
      <alignment horizontal="left" vertical="center" wrapText="1"/>
    </xf>
    <xf numFmtId="0" fontId="287" fillId="25" borderId="13" xfId="0" applyNumberFormat="1" applyFont="1" applyFill="1" applyBorder="1" applyAlignment="1" applyProtection="1">
      <alignment horizontal="left" vertical="center" wrapText="1"/>
    </xf>
    <xf numFmtId="0" fontId="286" fillId="25" borderId="13" xfId="0" applyNumberFormat="1" applyFont="1" applyFill="1" applyBorder="1" applyAlignment="1" applyProtection="1">
      <alignment horizontal="left" vertical="center" wrapText="1"/>
    </xf>
    <xf numFmtId="0" fontId="286" fillId="27" borderId="11" xfId="0" applyNumberFormat="1" applyFont="1" applyFill="1" applyBorder="1" applyAlignment="1" applyProtection="1">
      <alignment horizontal="left" vertical="center" wrapText="1"/>
    </xf>
    <xf numFmtId="0" fontId="286" fillId="27" borderId="13" xfId="0" applyNumberFormat="1" applyFont="1" applyFill="1" applyBorder="1" applyAlignment="1" applyProtection="1">
      <alignment horizontal="left" vertical="center" wrapText="1"/>
    </xf>
    <xf numFmtId="0" fontId="288" fillId="27" borderId="13" xfId="0" applyNumberFormat="1" applyFont="1" applyFill="1" applyBorder="1" applyAlignment="1" applyProtection="1">
      <alignment horizontal="left" vertical="center" wrapText="1"/>
    </xf>
    <xf numFmtId="0" fontId="288" fillId="28" borderId="11" xfId="0" applyNumberFormat="1" applyFont="1" applyFill="1" applyBorder="1" applyAlignment="1" applyProtection="1">
      <alignment horizontal="left" vertical="center" wrapText="1"/>
    </xf>
    <xf numFmtId="0" fontId="288" fillId="28" borderId="13" xfId="0" applyNumberFormat="1" applyFont="1" applyFill="1" applyBorder="1" applyAlignment="1" applyProtection="1">
      <alignment horizontal="left" vertical="center" wrapText="1"/>
    </xf>
    <xf numFmtId="0" fontId="286" fillId="28" borderId="13" xfId="0" applyNumberFormat="1" applyFont="1" applyFill="1" applyBorder="1" applyAlignment="1" applyProtection="1">
      <alignment horizontal="left" vertical="center" wrapText="1"/>
    </xf>
    <xf numFmtId="0" fontId="288" fillId="28" borderId="15" xfId="0" applyNumberFormat="1" applyFont="1" applyFill="1" applyBorder="1" applyAlignment="1" applyProtection="1">
      <alignment vertical="center" wrapText="1"/>
    </xf>
    <xf numFmtId="0" fontId="286" fillId="28" borderId="15" xfId="0" applyNumberFormat="1" applyFont="1" applyFill="1" applyBorder="1" applyAlignment="1" applyProtection="1">
      <alignment vertical="center" wrapText="1"/>
    </xf>
    <xf numFmtId="0" fontId="288" fillId="28" borderId="61" xfId="0" applyNumberFormat="1" applyFont="1" applyFill="1" applyBorder="1" applyAlignment="1" applyProtection="1">
      <alignment horizontal="left" vertical="center" wrapText="1"/>
    </xf>
    <xf numFmtId="0" fontId="288" fillId="0" borderId="15" xfId="0" applyNumberFormat="1" applyFont="1" applyFill="1" applyBorder="1" applyAlignment="1" applyProtection="1">
      <alignment vertical="center" wrapText="1"/>
    </xf>
    <xf numFmtId="0" fontId="288" fillId="0" borderId="13" xfId="0" applyNumberFormat="1" applyFont="1" applyFill="1" applyBorder="1" applyAlignment="1" applyProtection="1">
      <alignment horizontal="left" vertical="center" wrapText="1"/>
    </xf>
    <xf numFmtId="0" fontId="288" fillId="0" borderId="61" xfId="0" applyNumberFormat="1" applyFont="1" applyFill="1" applyBorder="1" applyAlignment="1" applyProtection="1">
      <alignment horizontal="left" vertical="center" wrapText="1"/>
    </xf>
    <xf numFmtId="0" fontId="107" fillId="6" borderId="67" xfId="0" applyNumberFormat="1" applyFont="1" applyFill="1" applyBorder="1" applyAlignment="1" applyProtection="1">
      <alignment horizontal="left" vertical="center"/>
      <protection locked="0"/>
    </xf>
    <xf numFmtId="0" fontId="107" fillId="25" borderId="28" xfId="0" applyNumberFormat="1" applyFont="1" applyFill="1" applyBorder="1" applyAlignment="1" applyProtection="1">
      <alignment horizontal="left" vertical="center"/>
      <protection locked="0"/>
    </xf>
    <xf numFmtId="0" fontId="107" fillId="25" borderId="4" xfId="0" applyNumberFormat="1" applyFont="1" applyFill="1" applyBorder="1" applyAlignment="1" applyProtection="1">
      <alignment horizontal="left" vertical="center"/>
      <protection locked="0"/>
    </xf>
    <xf numFmtId="0" fontId="107" fillId="25" borderId="5" xfId="0" applyNumberFormat="1" applyFont="1" applyFill="1" applyBorder="1" applyAlignment="1" applyProtection="1">
      <alignment horizontal="left" vertical="center"/>
      <protection locked="0"/>
    </xf>
    <xf numFmtId="0" fontId="107" fillId="26" borderId="75" xfId="0" applyNumberFormat="1" applyFont="1" applyFill="1" applyBorder="1" applyAlignment="1" applyProtection="1">
      <alignment horizontal="left" vertical="center"/>
      <protection locked="0"/>
    </xf>
    <xf numFmtId="0" fontId="107" fillId="26" borderId="34" xfId="0" applyNumberFormat="1" applyFont="1" applyFill="1" applyBorder="1" applyAlignment="1" applyProtection="1">
      <alignment horizontal="left" vertical="center"/>
      <protection locked="0"/>
    </xf>
    <xf numFmtId="0" fontId="107" fillId="27" borderId="28" xfId="0" applyNumberFormat="1" applyFont="1" applyFill="1" applyBorder="1" applyAlignment="1" applyProtection="1">
      <alignment horizontal="left" vertical="center"/>
      <protection locked="0"/>
    </xf>
    <xf numFmtId="0" fontId="107" fillId="26" borderId="4" xfId="0" applyNumberFormat="1" applyFont="1" applyFill="1" applyBorder="1" applyAlignment="1" applyProtection="1">
      <alignment horizontal="left" vertical="center"/>
      <protection locked="0"/>
    </xf>
    <xf numFmtId="0" fontId="107" fillId="26" borderId="5" xfId="0" applyNumberFormat="1" applyFont="1" applyFill="1" applyBorder="1" applyAlignment="1" applyProtection="1">
      <alignment horizontal="left" vertical="center"/>
      <protection locked="0"/>
    </xf>
    <xf numFmtId="0" fontId="107" fillId="28" borderId="4" xfId="0" applyNumberFormat="1" applyFont="1" applyFill="1" applyBorder="1" applyAlignment="1" applyProtection="1">
      <alignment horizontal="left" vertical="center"/>
      <protection locked="0"/>
    </xf>
    <xf numFmtId="0" fontId="107" fillId="28" borderId="5" xfId="0" applyNumberFormat="1" applyFont="1" applyFill="1" applyBorder="1" applyAlignment="1" applyProtection="1">
      <alignment horizontal="left" vertical="center"/>
      <protection locked="0"/>
    </xf>
    <xf numFmtId="0" fontId="107" fillId="29" borderId="4" xfId="69" applyNumberFormat="1" applyFont="1" applyFill="1" applyBorder="1" applyAlignment="1" applyProtection="1">
      <alignment horizontal="left" vertical="center"/>
      <protection locked="0"/>
    </xf>
    <xf numFmtId="0" fontId="284" fillId="26" borderId="4" xfId="0" applyNumberFormat="1" applyFont="1" applyFill="1" applyBorder="1" applyAlignment="1" applyProtection="1">
      <alignment horizontal="left" vertical="center"/>
      <protection locked="0"/>
    </xf>
    <xf numFmtId="0" fontId="107" fillId="29" borderId="4" xfId="0" applyNumberFormat="1" applyFont="1" applyFill="1" applyBorder="1" applyAlignment="1" applyProtection="1">
      <alignment horizontal="left" vertical="center"/>
      <protection locked="0"/>
    </xf>
    <xf numFmtId="0" fontId="107" fillId="0" borderId="28" xfId="0" applyNumberFormat="1" applyFont="1" applyFill="1" applyBorder="1" applyAlignment="1" applyProtection="1">
      <alignment horizontal="left" vertical="center"/>
      <protection locked="0"/>
    </xf>
    <xf numFmtId="0" fontId="107" fillId="0" borderId="5" xfId="0" applyNumberFormat="1" applyFont="1" applyFill="1" applyBorder="1" applyAlignment="1" applyProtection="1">
      <alignment horizontal="left" vertical="center"/>
      <protection locked="0"/>
    </xf>
    <xf numFmtId="0" fontId="107" fillId="0" borderId="4" xfId="0" applyNumberFormat="1" applyFont="1" applyFill="1" applyBorder="1" applyAlignment="1" applyProtection="1">
      <alignment horizontal="left" vertical="center"/>
      <protection locked="0"/>
    </xf>
    <xf numFmtId="0" fontId="107" fillId="27" borderId="75" xfId="0" applyNumberFormat="1" applyFont="1" applyFill="1" applyBorder="1" applyAlignment="1" applyProtection="1">
      <alignment horizontal="left" vertical="center"/>
      <protection locked="0"/>
    </xf>
    <xf numFmtId="0" fontId="107" fillId="28" borderId="75" xfId="0" applyNumberFormat="1" applyFont="1" applyFill="1" applyBorder="1" applyAlignment="1" applyProtection="1">
      <alignment horizontal="left" vertical="center"/>
      <protection locked="0"/>
    </xf>
    <xf numFmtId="0" fontId="107" fillId="0" borderId="33"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181" fontId="94" fillId="12" borderId="0" xfId="0" applyNumberFormat="1" applyFont="1" applyFill="1" applyBorder="1" applyAlignment="1" applyProtection="1">
      <alignment vertical="center" wrapText="1"/>
      <protection locked="0"/>
    </xf>
    <xf numFmtId="0" fontId="94" fillId="12" borderId="0" xfId="0" applyFont="1" applyFill="1" applyAlignment="1" applyProtection="1">
      <alignment horizontal="center" vertical="center"/>
      <protection locked="0"/>
    </xf>
    <xf numFmtId="0" fontId="51" fillId="12" borderId="0" xfId="0" applyNumberFormat="1" applyFont="1" applyFill="1" applyBorder="1" applyAlignment="1" applyProtection="1">
      <alignment vertical="center" wrapText="1"/>
      <protection locked="0"/>
    </xf>
    <xf numFmtId="49" fontId="19" fillId="0" borderId="0" xfId="20" applyNumberFormat="1" applyFont="1" applyAlignment="1">
      <alignment horizontal="left" vertical="center"/>
    </xf>
    <xf numFmtId="0" fontId="291" fillId="0" borderId="0" xfId="0" applyFont="1" applyFill="1" applyAlignment="1">
      <alignment horizontal="left" vertical="center"/>
    </xf>
    <xf numFmtId="49" fontId="94" fillId="0" borderId="3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86" fillId="0" borderId="1" xfId="0" applyNumberFormat="1" applyFont="1" applyBorder="1" applyAlignment="1" applyProtection="1">
      <alignment horizontal="left" vertical="center" wrapText="1"/>
    </xf>
    <xf numFmtId="0" fontId="286" fillId="0" borderId="13" xfId="0" applyNumberFormat="1" applyFont="1" applyBorder="1" applyAlignment="1" applyProtection="1">
      <alignment horizontal="left" vertical="center" wrapText="1"/>
    </xf>
    <xf numFmtId="0" fontId="288" fillId="28" borderId="9" xfId="0" applyNumberFormat="1" applyFont="1" applyFill="1" applyBorder="1" applyAlignment="1" applyProtection="1">
      <alignment horizontal="left" vertical="center" wrapText="1"/>
    </xf>
    <xf numFmtId="0" fontId="288" fillId="28" borderId="10" xfId="0" applyNumberFormat="1" applyFont="1" applyFill="1" applyBorder="1" applyAlignment="1" applyProtection="1">
      <alignment horizontal="left" vertical="center" wrapText="1"/>
    </xf>
    <xf numFmtId="0" fontId="288" fillId="0" borderId="6" xfId="0" applyNumberFormat="1" applyFont="1" applyBorder="1" applyAlignment="1" applyProtection="1">
      <alignment horizontal="left" vertical="center" wrapText="1"/>
    </xf>
    <xf numFmtId="0" fontId="288" fillId="0" borderId="9" xfId="0" applyNumberFormat="1" applyFont="1" applyBorder="1" applyAlignment="1" applyProtection="1">
      <alignment horizontal="left" vertical="center" wrapText="1"/>
    </xf>
    <xf numFmtId="0" fontId="288" fillId="0" borderId="10" xfId="0" applyNumberFormat="1" applyFont="1" applyBorder="1" applyAlignment="1" applyProtection="1">
      <alignment horizontal="left" vertical="center" wrapText="1"/>
    </xf>
    <xf numFmtId="0" fontId="286" fillId="0" borderId="3" xfId="0" applyNumberFormat="1" applyFont="1" applyBorder="1" applyAlignment="1" applyProtection="1">
      <alignment horizontal="left" vertical="center" wrapText="1"/>
    </xf>
    <xf numFmtId="0" fontId="286" fillId="0" borderId="22" xfId="0" applyNumberFormat="1" applyFont="1" applyBorder="1" applyAlignment="1" applyProtection="1">
      <alignment horizontal="left" vertical="center" wrapText="1"/>
    </xf>
    <xf numFmtId="0" fontId="288" fillId="28" borderId="13" xfId="0" applyNumberFormat="1" applyFont="1" applyFill="1" applyBorder="1" applyAlignment="1" applyProtection="1">
      <alignment horizontal="left" vertical="center" wrapText="1"/>
    </xf>
    <xf numFmtId="0" fontId="286" fillId="28" borderId="9" xfId="0" applyNumberFormat="1" applyFont="1" applyFill="1" applyBorder="1" applyAlignment="1" applyProtection="1">
      <alignment horizontal="left" vertical="center" wrapText="1"/>
    </xf>
    <xf numFmtId="0" fontId="286" fillId="28" borderId="13" xfId="0" applyNumberFormat="1" applyFont="1" applyFill="1" applyBorder="1" applyAlignment="1" applyProtection="1">
      <alignment horizontal="left" vertical="center" wrapText="1"/>
    </xf>
    <xf numFmtId="0" fontId="288" fillId="27" borderId="9" xfId="0" applyNumberFormat="1" applyFont="1" applyFill="1" applyBorder="1" applyAlignment="1" applyProtection="1">
      <alignment horizontal="left" vertical="center" wrapText="1"/>
    </xf>
    <xf numFmtId="0" fontId="288" fillId="27" borderId="10" xfId="0" applyNumberFormat="1" applyFont="1" applyFill="1" applyBorder="1" applyAlignment="1" applyProtection="1">
      <alignment horizontal="left" vertical="center" wrapText="1"/>
    </xf>
    <xf numFmtId="0" fontId="288" fillId="27" borderId="61" xfId="0" applyNumberFormat="1" applyFont="1" applyFill="1" applyBorder="1" applyAlignment="1" applyProtection="1">
      <alignment horizontal="left" vertical="center" wrapText="1"/>
    </xf>
    <xf numFmtId="0" fontId="288" fillId="28" borderId="6" xfId="0" applyNumberFormat="1" applyFont="1" applyFill="1" applyBorder="1" applyAlignment="1" applyProtection="1">
      <alignment horizontal="left" vertical="center" wrapText="1"/>
    </xf>
    <xf numFmtId="0" fontId="286" fillId="25" borderId="9" xfId="0" applyNumberFormat="1" applyFont="1" applyFill="1" applyBorder="1" applyAlignment="1" applyProtection="1">
      <alignment horizontal="left" vertical="center" wrapText="1"/>
    </xf>
    <xf numFmtId="0" fontId="286" fillId="25" borderId="13" xfId="0" applyNumberFormat="1" applyFont="1" applyFill="1" applyBorder="1" applyAlignment="1" applyProtection="1">
      <alignment horizontal="left" vertical="center" wrapText="1"/>
    </xf>
    <xf numFmtId="0" fontId="286" fillId="25" borderId="10" xfId="0" applyNumberFormat="1" applyFont="1" applyFill="1" applyBorder="1" applyAlignment="1" applyProtection="1">
      <alignment horizontal="left" vertical="center" wrapText="1"/>
    </xf>
    <xf numFmtId="0" fontId="286" fillId="25" borderId="61" xfId="0" applyNumberFormat="1" applyFont="1" applyFill="1" applyBorder="1" applyAlignment="1" applyProtection="1">
      <alignment horizontal="left" vertical="center" wrapText="1"/>
    </xf>
    <xf numFmtId="0" fontId="286" fillId="30" borderId="95" xfId="0" applyNumberFormat="1" applyFont="1" applyFill="1" applyBorder="1" applyAlignment="1" applyProtection="1">
      <alignment horizontal="left" vertical="center" wrapText="1"/>
    </xf>
    <xf numFmtId="0" fontId="286" fillId="30" borderId="72" xfId="0" applyNumberFormat="1" applyFont="1" applyFill="1" applyBorder="1" applyAlignment="1" applyProtection="1">
      <alignment horizontal="left" vertical="center" wrapText="1"/>
    </xf>
    <xf numFmtId="0" fontId="288" fillId="27" borderId="6" xfId="0" applyNumberFormat="1" applyFont="1" applyFill="1" applyBorder="1" applyAlignment="1" applyProtection="1">
      <alignment horizontal="left" vertical="center" wrapText="1"/>
    </xf>
    <xf numFmtId="0" fontId="285" fillId="6" borderId="5" xfId="0" applyNumberFormat="1" applyFont="1" applyFill="1" applyBorder="1" applyAlignment="1" applyProtection="1">
      <alignment horizontal="left" vertical="center" wrapText="1"/>
    </xf>
    <xf numFmtId="0" fontId="288" fillId="6" borderId="46" xfId="0" applyNumberFormat="1" applyFont="1" applyFill="1" applyBorder="1" applyAlignment="1" applyProtection="1">
      <alignment horizontal="left" vertical="center" wrapText="1"/>
    </xf>
    <xf numFmtId="0" fontId="286" fillId="25" borderId="6" xfId="0" applyNumberFormat="1" applyFont="1" applyFill="1" applyBorder="1" applyAlignment="1" applyProtection="1">
      <alignment horizontal="left" vertical="center" wrapText="1"/>
    </xf>
    <xf numFmtId="0" fontId="286" fillId="25" borderId="11" xfId="0" applyNumberFormat="1" applyFont="1" applyFill="1" applyBorder="1" applyAlignment="1" applyProtection="1">
      <alignment horizontal="left" vertical="center" wrapText="1"/>
    </xf>
    <xf numFmtId="0" fontId="287" fillId="25" borderId="9" xfId="0" applyNumberFormat="1" applyFont="1" applyFill="1" applyBorder="1" applyAlignment="1" applyProtection="1">
      <alignment horizontal="left" vertical="center" wrapText="1"/>
    </xf>
    <xf numFmtId="0" fontId="287" fillId="25" borderId="13" xfId="0" applyNumberFormat="1" applyFont="1" applyFill="1" applyBorder="1" applyAlignment="1" applyProtection="1">
      <alignment horizontal="left" vertical="center" wrapText="1"/>
    </xf>
    <xf numFmtId="176" fontId="134" fillId="0" borderId="1" xfId="10" applyNumberFormat="1" applyFont="1" applyFill="1" applyBorder="1" applyAlignment="1">
      <alignment horizontal="center" vertical="center" wrapText="1"/>
    </xf>
    <xf numFmtId="185" fontId="134" fillId="0" borderId="1" xfId="10" applyNumberFormat="1" applyFont="1" applyFill="1" applyBorder="1" applyAlignment="1">
      <alignment horizontal="center" vertical="center" wrapText="1"/>
    </xf>
    <xf numFmtId="0" fontId="279" fillId="24" borderId="0" xfId="10" applyFont="1" applyFill="1" applyBorder="1" applyAlignment="1">
      <alignment horizontal="center" vertical="center" wrapText="1"/>
    </xf>
    <xf numFmtId="0" fontId="134" fillId="0" borderId="1" xfId="10" applyFont="1" applyFill="1" applyBorder="1" applyAlignment="1">
      <alignment horizontal="center" vertical="center" wrapText="1"/>
    </xf>
    <xf numFmtId="179" fontId="134" fillId="0" borderId="1" xfId="10" applyNumberFormat="1" applyFont="1" applyFill="1" applyBorder="1" applyAlignment="1">
      <alignment horizontal="center" vertical="center" wrapText="1"/>
    </xf>
    <xf numFmtId="0" fontId="134" fillId="0" borderId="1" xfId="10" applyFont="1" applyBorder="1" applyAlignment="1">
      <alignment horizontal="center" vertical="center" wrapText="1"/>
    </xf>
    <xf numFmtId="179" fontId="134" fillId="5" borderId="5" xfId="10" applyNumberFormat="1" applyFont="1" applyFill="1" applyBorder="1" applyAlignment="1">
      <alignment horizontal="center" vertical="center" wrapText="1"/>
    </xf>
    <xf numFmtId="179" fontId="134" fillId="5" borderId="54" xfId="10" applyNumberFormat="1" applyFont="1" applyFill="1" applyBorder="1" applyAlignment="1">
      <alignment horizontal="center" vertical="center" wrapText="1"/>
    </xf>
    <xf numFmtId="179" fontId="134" fillId="5" borderId="3" xfId="10" applyNumberFormat="1" applyFont="1" applyFill="1" applyBorder="1" applyAlignment="1">
      <alignment horizontal="center" vertical="center" wrapText="1"/>
    </xf>
    <xf numFmtId="0" fontId="110" fillId="0" borderId="5" xfId="10" applyFont="1" applyFill="1" applyBorder="1" applyAlignment="1">
      <alignment horizontal="center" vertical="center" wrapText="1" shrinkToFit="1"/>
    </xf>
    <xf numFmtId="0" fontId="110" fillId="0" borderId="54" xfId="10" applyFont="1" applyFill="1" applyBorder="1" applyAlignment="1">
      <alignment horizontal="center" vertical="center" wrapText="1" shrinkToFit="1"/>
    </xf>
    <xf numFmtId="0" fontId="110" fillId="0" borderId="3" xfId="10" applyFont="1" applyFill="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Fill="1" applyBorder="1" applyAlignment="1">
      <alignment horizontal="left" vertical="center" wrapText="1" shrinkToFit="1"/>
    </xf>
    <xf numFmtId="179" fontId="110" fillId="23" borderId="46" xfId="10" applyNumberFormat="1" applyFont="1" applyFill="1" applyBorder="1" applyAlignment="1">
      <alignment horizontal="center" vertical="center" wrapText="1" shrinkToFit="1"/>
    </xf>
    <xf numFmtId="179" fontId="110" fillId="23" borderId="36" xfId="10" applyNumberFormat="1" applyFont="1" applyFill="1" applyBorder="1" applyAlignment="1">
      <alignment horizontal="center" vertical="center" wrapText="1" shrinkToFit="1"/>
    </xf>
    <xf numFmtId="179" fontId="110" fillId="23" borderId="22" xfId="10" applyNumberFormat="1" applyFont="1" applyFill="1" applyBorder="1" applyAlignment="1">
      <alignment horizontal="center" vertical="center" wrapText="1" shrinkToFit="1"/>
    </xf>
    <xf numFmtId="179" fontId="110" fillId="23" borderId="4" xfId="10" applyNumberFormat="1" applyFont="1" applyFill="1" applyBorder="1" applyAlignment="1">
      <alignment horizontal="center" vertical="center" wrapText="1" shrinkToFit="1"/>
    </xf>
    <xf numFmtId="179" fontId="110" fillId="23" borderId="60" xfId="10" applyNumberFormat="1" applyFont="1" applyFill="1" applyBorder="1" applyAlignment="1">
      <alignment horizontal="center" vertical="center" wrapText="1" shrinkToFit="1"/>
    </xf>
    <xf numFmtId="179" fontId="110" fillId="23" borderId="7" xfId="10" applyNumberFormat="1" applyFont="1" applyFill="1" applyBorder="1" applyAlignment="1">
      <alignment horizontal="center" vertical="center" wrapText="1" shrinkToFit="1"/>
    </xf>
    <xf numFmtId="0" fontId="110" fillId="0" borderId="1" xfId="10"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182" fontId="110" fillId="0" borderId="1" xfId="10" applyNumberFormat="1" applyFont="1" applyFill="1" applyBorder="1" applyAlignment="1">
      <alignment horizontal="center" vertical="center" wrapText="1" shrinkToFit="1"/>
    </xf>
    <xf numFmtId="0" fontId="110" fillId="0" borderId="5" xfId="10" applyFont="1" applyFill="1" applyBorder="1" applyAlignment="1">
      <alignment horizontal="right" vertical="center" wrapText="1" shrinkToFit="1"/>
    </xf>
    <xf numFmtId="0" fontId="110" fillId="0" borderId="54" xfId="10" applyFont="1" applyFill="1" applyBorder="1" applyAlignment="1">
      <alignment horizontal="right" vertical="center" wrapText="1" shrinkToFit="1"/>
    </xf>
    <xf numFmtId="10" fontId="110" fillId="0" borderId="54" xfId="10" applyNumberFormat="1" applyFont="1" applyFill="1" applyBorder="1" applyAlignment="1">
      <alignment horizontal="left" vertical="center" wrapText="1" shrinkToFit="1"/>
    </xf>
    <xf numFmtId="10" fontId="110" fillId="0" borderId="3" xfId="10" applyNumberFormat="1" applyFont="1" applyFill="1" applyBorder="1" applyAlignment="1">
      <alignment horizontal="left" vertical="center" wrapText="1" shrinkToFit="1"/>
    </xf>
    <xf numFmtId="10" fontId="110" fillId="7" borderId="54" xfId="10" applyNumberFormat="1" applyFont="1" applyFill="1" applyBorder="1" applyAlignment="1">
      <alignment horizontal="left" vertical="center" wrapText="1" shrinkToFit="1"/>
    </xf>
    <xf numFmtId="10" fontId="110" fillId="7" borderId="3" xfId="10" applyNumberFormat="1" applyFont="1" applyFill="1" applyBorder="1" applyAlignment="1">
      <alignment horizontal="left" vertical="center" wrapText="1" shrinkToFit="1"/>
    </xf>
    <xf numFmtId="10" fontId="110" fillId="5" borderId="54" xfId="10" applyNumberFormat="1" applyFont="1" applyFill="1" applyBorder="1" applyAlignment="1">
      <alignment horizontal="left" vertical="center" wrapText="1" shrinkToFit="1"/>
    </xf>
    <xf numFmtId="10" fontId="110" fillId="5" borderId="3" xfId="10" applyNumberFormat="1" applyFont="1" applyFill="1" applyBorder="1" applyAlignment="1">
      <alignment horizontal="left" vertical="center" wrapText="1" shrinkToFit="1"/>
    </xf>
    <xf numFmtId="10" fontId="110" fillId="0" borderId="5" xfId="10" applyNumberFormat="1" applyFont="1" applyFill="1" applyBorder="1" applyAlignment="1">
      <alignment horizontal="center" vertical="center" wrapText="1" shrinkToFit="1"/>
    </xf>
    <xf numFmtId="10" fontId="110" fillId="0" borderId="3" xfId="10" applyNumberFormat="1" applyFont="1" applyFill="1" applyBorder="1" applyAlignment="1">
      <alignment horizontal="center" vertical="center" wrapText="1" shrinkToFit="1"/>
    </xf>
    <xf numFmtId="184" fontId="110" fillId="0" borderId="54" xfId="10" applyNumberFormat="1" applyFont="1" applyFill="1" applyBorder="1" applyAlignment="1">
      <alignment horizontal="left" vertical="center" wrapText="1" shrinkToFit="1"/>
    </xf>
    <xf numFmtId="9" fontId="110" fillId="0" borderId="13" xfId="10" applyNumberFormat="1" applyFont="1" applyFill="1" applyBorder="1" applyAlignment="1">
      <alignment horizontal="left" vertical="center" wrapText="1" shrinkToFit="1"/>
    </xf>
    <xf numFmtId="9" fontId="110" fillId="0" borderId="2" xfId="10" applyNumberFormat="1" applyFont="1" applyFill="1" applyBorder="1" applyAlignment="1">
      <alignment horizontal="left" vertical="center" wrapText="1" shrinkToFit="1"/>
    </xf>
    <xf numFmtId="9" fontId="273" fillId="5" borderId="1" xfId="10" applyNumberFormat="1" applyFont="1" applyFill="1" applyBorder="1" applyAlignment="1">
      <alignment horizontal="center" vertical="center" wrapText="1" shrinkToFit="1"/>
    </xf>
    <xf numFmtId="0" fontId="110" fillId="0" borderId="5"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right" vertical="center" wrapText="1" shrinkToFit="1"/>
    </xf>
    <xf numFmtId="0" fontId="110" fillId="0" borderId="54" xfId="10" applyFont="1" applyFill="1" applyBorder="1" applyAlignment="1">
      <alignment horizontal="left" vertical="center" wrapText="1" shrinkToFit="1"/>
    </xf>
    <xf numFmtId="0" fontId="110" fillId="0" borderId="3" xfId="10" applyFont="1" applyFill="1" applyBorder="1" applyAlignment="1">
      <alignment horizontal="left" vertical="center" wrapText="1" shrinkToFit="1"/>
    </xf>
    <xf numFmtId="181" fontId="110" fillId="0" borderId="1" xfId="10" applyNumberFormat="1" applyFont="1" applyFill="1" applyBorder="1" applyAlignment="1">
      <alignment horizontal="center" vertical="center" wrapText="1" shrinkToFit="1"/>
    </xf>
    <xf numFmtId="180" fontId="110" fillId="0" borderId="5" xfId="10" applyNumberFormat="1" applyFont="1" applyFill="1" applyBorder="1" applyAlignment="1">
      <alignment horizontal="right" vertical="center" wrapText="1" shrinkToFit="1"/>
    </xf>
    <xf numFmtId="180" fontId="110" fillId="0" borderId="54" xfId="10" applyNumberFormat="1" applyFont="1" applyFill="1" applyBorder="1" applyAlignment="1">
      <alignment horizontal="right" vertical="center" wrapText="1" shrinkToFit="1"/>
    </xf>
    <xf numFmtId="0" fontId="112" fillId="0" borderId="0" xfId="10" applyFont="1" applyFill="1" applyBorder="1" applyAlignment="1">
      <alignment horizontal="center" vertical="center" wrapText="1"/>
    </xf>
    <xf numFmtId="0" fontId="95" fillId="0" borderId="1" xfId="10" applyFont="1" applyBorder="1" applyAlignment="1">
      <alignment horizontal="center" vertical="center" wrapText="1"/>
    </xf>
    <xf numFmtId="0" fontId="110" fillId="0" borderId="46" xfId="10" applyFont="1" applyFill="1" applyBorder="1" applyAlignment="1">
      <alignment horizontal="center" vertical="center" wrapText="1" shrinkToFit="1"/>
    </xf>
    <xf numFmtId="0" fontId="110" fillId="0" borderId="36" xfId="10" applyFont="1" applyFill="1" applyBorder="1" applyAlignment="1">
      <alignment horizontal="center" vertical="center" wrapText="1" shrinkToFit="1"/>
    </xf>
    <xf numFmtId="0" fontId="110" fillId="0" borderId="22" xfId="10" applyFont="1" applyFill="1" applyBorder="1" applyAlignment="1">
      <alignment horizontal="center" vertical="center" wrapText="1" shrinkToFit="1"/>
    </xf>
    <xf numFmtId="0" fontId="110" fillId="0" borderId="58" xfId="10" applyFont="1" applyFill="1" applyBorder="1" applyAlignment="1">
      <alignment horizontal="center" vertical="center" wrapText="1" shrinkToFit="1"/>
    </xf>
    <xf numFmtId="0" fontId="110" fillId="0" borderId="0" xfId="10" applyFont="1" applyFill="1" applyBorder="1" applyAlignment="1">
      <alignment horizontal="center" vertical="center" wrapText="1" shrinkToFit="1"/>
    </xf>
    <xf numFmtId="0" fontId="110" fillId="0" borderId="35" xfId="10" applyFont="1" applyFill="1" applyBorder="1" applyAlignment="1">
      <alignment horizontal="center" vertical="center" wrapText="1" shrinkToFit="1"/>
    </xf>
    <xf numFmtId="0" fontId="110" fillId="0" borderId="4" xfId="10" applyFont="1" applyFill="1" applyBorder="1" applyAlignment="1">
      <alignment horizontal="center" vertical="center" wrapText="1" shrinkToFit="1"/>
    </xf>
    <xf numFmtId="0" fontId="110" fillId="0" borderId="60" xfId="10" applyFont="1" applyFill="1" applyBorder="1" applyAlignment="1">
      <alignment horizontal="center" vertical="center" wrapText="1" shrinkToFit="1"/>
    </xf>
    <xf numFmtId="0" fontId="110" fillId="0" borderId="7" xfId="10" applyFont="1" applyFill="1" applyBorder="1" applyAlignment="1">
      <alignment horizontal="center" vertical="center" wrapText="1" shrinkToFit="1"/>
    </xf>
    <xf numFmtId="0" fontId="95" fillId="0" borderId="1" xfId="10" applyFont="1" applyBorder="1" applyAlignment="1">
      <alignment horizontal="center" vertical="center" wrapText="1" shrinkToFi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181" fontId="94" fillId="12" borderId="0" xfId="0" applyNumberFormat="1" applyFont="1" applyFill="1" applyAlignment="1" applyProtection="1">
      <alignment horizontal="center" vertical="center"/>
      <protection locked="0"/>
    </xf>
  </cellXfs>
  <cellStyles count="104">
    <cellStyle name="百分比" xfId="17" builtinId="5"/>
    <cellStyle name="百分比 2" xfId="14"/>
    <cellStyle name="百分比 3" xfId="69"/>
    <cellStyle name="常规" xfId="0" builtinId="0"/>
    <cellStyle name="常规 11" xfId="18"/>
    <cellStyle name="常规 11 2" xfId="19"/>
    <cellStyle name="常规 11 2 2" xfId="70"/>
    <cellStyle name="常规 16" xfId="10"/>
    <cellStyle name="常规 16 2" xfId="63"/>
    <cellStyle name="常规 2" xfId="1"/>
    <cellStyle name="常规 2 2" xfId="8"/>
    <cellStyle name="常规 2 2 2" xfId="61"/>
    <cellStyle name="常规 2 2 2 2 3" xfId="15"/>
    <cellStyle name="常规 2 2 2 2 3 2" xfId="67"/>
    <cellStyle name="常规 2 3" xfId="54"/>
    <cellStyle name="常规 3" xfId="2"/>
    <cellStyle name="常规 3 10" xfId="20"/>
    <cellStyle name="常规 3 10 2" xfId="71"/>
    <cellStyle name="常规 3 11" xfId="21"/>
    <cellStyle name="常规 3 11 2" xfId="72"/>
    <cellStyle name="常规 3 12" xfId="22"/>
    <cellStyle name="常规 3 12 2" xfId="73"/>
    <cellStyle name="常规 3 13" xfId="55"/>
    <cellStyle name="常规 3 2" xfId="3"/>
    <cellStyle name="常规 3 2 2" xfId="23"/>
    <cellStyle name="常规 3 2 2 2" xfId="74"/>
    <cellStyle name="常规 3 2 3" xfId="56"/>
    <cellStyle name="常规 3 3" xfId="24"/>
    <cellStyle name="常规 3 3 2" xfId="75"/>
    <cellStyle name="常规 3 4" xfId="25"/>
    <cellStyle name="常规 3 4 2" xfId="76"/>
    <cellStyle name="常规 3 5" xfId="26"/>
    <cellStyle name="常规 3 5 2" xfId="77"/>
    <cellStyle name="常规 3 6" xfId="27"/>
    <cellStyle name="常规 3 6 2" xfId="78"/>
    <cellStyle name="常规 3 7" xfId="28"/>
    <cellStyle name="常规 3 7 2" xfId="79"/>
    <cellStyle name="常规 3 8" xfId="29"/>
    <cellStyle name="常规 3 8 2" xfId="80"/>
    <cellStyle name="常规 3 9" xfId="30"/>
    <cellStyle name="常规 3 9 2" xfId="81"/>
    <cellStyle name="常规 4" xfId="4"/>
    <cellStyle name="常规 4 10" xfId="31"/>
    <cellStyle name="常规 4 10 2" xfId="82"/>
    <cellStyle name="常规 4 11" xfId="32"/>
    <cellStyle name="常规 4 11 2" xfId="83"/>
    <cellStyle name="常规 4 12" xfId="33"/>
    <cellStyle name="常规 4 12 2" xfId="84"/>
    <cellStyle name="常规 4 13" xfId="57"/>
    <cellStyle name="常规 4 2" xfId="34"/>
    <cellStyle name="常规 4 2 2" xfId="85"/>
    <cellStyle name="常规 4 3" xfId="35"/>
    <cellStyle name="常规 4 3 2" xfId="86"/>
    <cellStyle name="常规 4 4" xfId="36"/>
    <cellStyle name="常规 4 4 2" xfId="87"/>
    <cellStyle name="常规 4 5" xfId="37"/>
    <cellStyle name="常规 4 5 2" xfId="88"/>
    <cellStyle name="常规 4 6" xfId="38"/>
    <cellStyle name="常规 4 6 2" xfId="89"/>
    <cellStyle name="常规 4 7" xfId="39"/>
    <cellStyle name="常规 4 7 2" xfId="90"/>
    <cellStyle name="常规 4 8" xfId="40"/>
    <cellStyle name="常规 4 8 2" xfId="91"/>
    <cellStyle name="常规 4 9" xfId="41"/>
    <cellStyle name="常规 4 9 2" xfId="92"/>
    <cellStyle name="常规 5" xfId="5"/>
    <cellStyle name="常规 5 10" xfId="42"/>
    <cellStyle name="常规 5 10 2" xfId="93"/>
    <cellStyle name="常规 5 11" xfId="43"/>
    <cellStyle name="常规 5 11 2" xfId="94"/>
    <cellStyle name="常规 5 12" xfId="44"/>
    <cellStyle name="常规 5 12 2" xfId="95"/>
    <cellStyle name="常规 5 13" xfId="58"/>
    <cellStyle name="常规 5 2" xfId="45"/>
    <cellStyle name="常规 5 2 2" xfId="96"/>
    <cellStyle name="常规 5 3" xfId="46"/>
    <cellStyle name="常规 5 3 2" xfId="97"/>
    <cellStyle name="常规 5 4" xfId="47"/>
    <cellStyle name="常规 5 4 2" xfId="98"/>
    <cellStyle name="常规 5 5" xfId="48"/>
    <cellStyle name="常规 5 5 2" xfId="99"/>
    <cellStyle name="常规 5 6" xfId="49"/>
    <cellStyle name="常规 5 6 2" xfId="100"/>
    <cellStyle name="常规 5 7" xfId="50"/>
    <cellStyle name="常规 5 7 2" xfId="101"/>
    <cellStyle name="常规 5 8" xfId="51"/>
    <cellStyle name="常规 5 8 2" xfId="102"/>
    <cellStyle name="常规 5 9" xfId="52"/>
    <cellStyle name="常规 5 9 2" xfId="103"/>
    <cellStyle name="常规 6" xfId="6"/>
    <cellStyle name="常规 6 2" xfId="9"/>
    <cellStyle name="常规 6 2 2" xfId="16"/>
    <cellStyle name="常规 6 2 2 2" xfId="68"/>
    <cellStyle name="常规 6 2 3" xfId="13"/>
    <cellStyle name="常规 6 2 3 2" xfId="66"/>
    <cellStyle name="常规 6 2 4" xfId="62"/>
    <cellStyle name="常规 6 3" xfId="59"/>
    <cellStyle name="常规 7" xfId="7"/>
    <cellStyle name="常规 7 2" xfId="60"/>
    <cellStyle name="常规 8" xfId="11"/>
    <cellStyle name="常规 8 2" xfId="64"/>
    <cellStyle name="常规 9" xfId="12"/>
    <cellStyle name="常规 9 2" xfId="65"/>
    <cellStyle name="千位分隔 2" xfId="53"/>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583406</xdr:colOff>
      <xdr:row>18</xdr:row>
      <xdr:rowOff>155295</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0"/>
          <a:ext cx="3298031" cy="3155670"/>
        </a:xfrm>
        <a:prstGeom prst="rect">
          <a:avLst/>
        </a:prstGeom>
      </xdr:spPr>
    </xdr:pic>
    <xdr:clientData/>
  </xdr:twoCellAnchor>
  <xdr:twoCellAnchor editAs="oneCell">
    <xdr:from>
      <xdr:col>0</xdr:col>
      <xdr:colOff>0</xdr:colOff>
      <xdr:row>14</xdr:row>
      <xdr:rowOff>83344</xdr:rowOff>
    </xdr:from>
    <xdr:to>
      <xdr:col>8</xdr:col>
      <xdr:colOff>639007</xdr:colOff>
      <xdr:row>53</xdr:row>
      <xdr:rowOff>58651</xdr:rowOff>
    </xdr:to>
    <xdr:pic>
      <xdr:nvPicPr>
        <xdr:cNvPr id="11" name="图片 10"/>
        <xdr:cNvPicPr>
          <a:picLocks noChangeAspect="1"/>
        </xdr:cNvPicPr>
      </xdr:nvPicPr>
      <xdr:blipFill>
        <a:blip xmlns:r="http://schemas.openxmlformats.org/officeDocument/2006/relationships" r:embed="rId2"/>
        <a:stretch>
          <a:fillRect/>
        </a:stretch>
      </xdr:blipFill>
      <xdr:spPr>
        <a:xfrm>
          <a:off x="0" y="2416969"/>
          <a:ext cx="6187320" cy="6476120"/>
        </a:xfrm>
        <a:prstGeom prst="rect">
          <a:avLst/>
        </a:prstGeom>
      </xdr:spPr>
    </xdr:pic>
    <xdr:clientData/>
  </xdr:twoCellAnchor>
  <xdr:twoCellAnchor editAs="oneCell">
    <xdr:from>
      <xdr:col>9</xdr:col>
      <xdr:colOff>83343</xdr:colOff>
      <xdr:row>14</xdr:row>
      <xdr:rowOff>83344</xdr:rowOff>
    </xdr:from>
    <xdr:to>
      <xdr:col>19</xdr:col>
      <xdr:colOff>68210</xdr:colOff>
      <xdr:row>54</xdr:row>
      <xdr:rowOff>63464</xdr:rowOff>
    </xdr:to>
    <xdr:pic>
      <xdr:nvPicPr>
        <xdr:cNvPr id="12" name="图片 11"/>
        <xdr:cNvPicPr>
          <a:picLocks noChangeAspect="1"/>
        </xdr:cNvPicPr>
      </xdr:nvPicPr>
      <xdr:blipFill>
        <a:blip xmlns:r="http://schemas.openxmlformats.org/officeDocument/2006/relationships" r:embed="rId3"/>
        <a:stretch>
          <a:fillRect/>
        </a:stretch>
      </xdr:blipFill>
      <xdr:spPr>
        <a:xfrm>
          <a:off x="6310312" y="2416969"/>
          <a:ext cx="6771429" cy="6647620"/>
        </a:xfrm>
        <a:prstGeom prst="rect">
          <a:avLst/>
        </a:prstGeom>
      </xdr:spPr>
    </xdr:pic>
    <xdr:clientData/>
  </xdr:twoCellAnchor>
  <xdr:twoCellAnchor editAs="oneCell">
    <xdr:from>
      <xdr:col>18</xdr:col>
      <xdr:colOff>619125</xdr:colOff>
      <xdr:row>14</xdr:row>
      <xdr:rowOff>83345</xdr:rowOff>
    </xdr:from>
    <xdr:to>
      <xdr:col>28</xdr:col>
      <xdr:colOff>632562</xdr:colOff>
      <xdr:row>57</xdr:row>
      <xdr:rowOff>58640</xdr:rowOff>
    </xdr:to>
    <xdr:pic>
      <xdr:nvPicPr>
        <xdr:cNvPr id="14" name="图片 13"/>
        <xdr:cNvPicPr>
          <a:picLocks noChangeAspect="1"/>
        </xdr:cNvPicPr>
      </xdr:nvPicPr>
      <xdr:blipFill>
        <a:blip xmlns:r="http://schemas.openxmlformats.org/officeDocument/2006/relationships" r:embed="rId4"/>
        <a:stretch>
          <a:fillRect/>
        </a:stretch>
      </xdr:blipFill>
      <xdr:spPr>
        <a:xfrm>
          <a:off x="12954000" y="2416970"/>
          <a:ext cx="6800000" cy="71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807;&#31243;/2023-1-0262-&#26143;&#22320;&#20013;&#24515;-&#20013;&#34892;&#31199;&#37329;-&#26087;&#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元)"/>
      <sheetName val="假设开发法"/>
      <sheetName val="租金比较法-商业"/>
      <sheetName val="比较法-商业-租金"/>
      <sheetName val="租金案例"/>
      <sheetName val="租金案例位置图"/>
      <sheetName val="收益法倒推-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比较法-商业-售价"/>
      <sheetName val="商业案例"/>
      <sheetName val="地价"/>
      <sheetName val="典型户型修正"/>
      <sheetName val="成本法（废）"/>
      <sheetName val="区片价"/>
      <sheetName val="因素修正幅度"/>
      <sheetName val="存贷款利率"/>
      <sheetName val="区片价（范围）"/>
      <sheetName val="售价比较法-办公"/>
      <sheetName val="售价案例"/>
      <sheetName val="系统读取表"/>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租金比较法-商业</v>
          </cell>
        </row>
        <row r="19">
          <cell r="A19" t="str">
            <v>宿舍</v>
          </cell>
          <cell r="B19" t="str">
            <v>售价比较法-商业</v>
          </cell>
        </row>
        <row r="20">
          <cell r="A20" t="str">
            <v>食堂</v>
          </cell>
          <cell r="B20" t="str">
            <v>收益法倒推-商业</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1层</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62">
          <cell r="A62" t="str">
            <v>交易情况</v>
          </cell>
          <cell r="C62" t="str">
            <v>正常</v>
          </cell>
          <cell r="D62" t="str">
            <v>挂牌</v>
          </cell>
        </row>
        <row r="64">
          <cell r="B64" t="str">
            <v>用途</v>
          </cell>
          <cell r="C64" t="str">
            <v>商业</v>
          </cell>
          <cell r="D64" t="str">
            <v>办公</v>
          </cell>
        </row>
        <row r="87">
          <cell r="B87" t="str">
            <v>毗邻道路的类型与等级</v>
          </cell>
          <cell r="C87" t="str">
            <v>高速</v>
          </cell>
          <cell r="D87" t="str">
            <v>城市主干道</v>
          </cell>
          <cell r="E87" t="str">
            <v>城市次干道</v>
          </cell>
          <cell r="F87" t="str">
            <v>城市支路</v>
          </cell>
        </row>
        <row r="89">
          <cell r="B89" t="str">
            <v>楼层</v>
          </cell>
          <cell r="C89">
            <v>1</v>
          </cell>
        </row>
        <row r="91">
          <cell r="B91" t="str">
            <v>朝向</v>
          </cell>
        </row>
        <row r="101">
          <cell r="B101" t="str">
            <v>建筑类型</v>
          </cell>
          <cell r="C101" t="str">
            <v>写字楼配套</v>
          </cell>
          <cell r="D101" t="str">
            <v>住宅配套</v>
          </cell>
        </row>
        <row r="106">
          <cell r="B106" t="str">
            <v>建筑结构</v>
          </cell>
          <cell r="C106" t="str">
            <v>钢混</v>
          </cell>
        </row>
        <row r="108">
          <cell r="B108" t="str">
            <v>公共部分装修</v>
          </cell>
          <cell r="C108" t="str">
            <v>精装修</v>
          </cell>
          <cell r="D108" t="str">
            <v>普通装修</v>
          </cell>
          <cell r="E108" t="str">
            <v>毛坯</v>
          </cell>
        </row>
        <row r="113">
          <cell r="B113" t="str">
            <v>写字楼等级</v>
          </cell>
          <cell r="C113" t="str">
            <v>甲级</v>
          </cell>
        </row>
        <row r="115">
          <cell r="B115" t="str">
            <v>物业管理</v>
          </cell>
          <cell r="C115" t="str">
            <v>物业公司管理</v>
          </cell>
        </row>
        <row r="117">
          <cell r="B117" t="str">
            <v>市政基础设施</v>
          </cell>
          <cell r="C117" t="str">
            <v>五通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ow r="61">
          <cell r="A61" t="str">
            <v>交易情况</v>
          </cell>
          <cell r="C61" t="str">
            <v>正常</v>
          </cell>
          <cell r="D61" t="str">
            <v>挂牌</v>
          </cell>
        </row>
        <row r="63">
          <cell r="B63" t="str">
            <v>用途</v>
          </cell>
          <cell r="C63" t="str">
            <v>商业</v>
          </cell>
        </row>
        <row r="86">
          <cell r="B86" t="str">
            <v>临街状况</v>
          </cell>
          <cell r="C86" t="str">
            <v>双面临街</v>
          </cell>
          <cell r="D86" t="str">
            <v>单面临街</v>
          </cell>
          <cell r="E86" t="str">
            <v>不临街</v>
          </cell>
        </row>
        <row r="90">
          <cell r="B90" t="str">
            <v>人流量</v>
          </cell>
          <cell r="C90" t="str">
            <v>好</v>
          </cell>
          <cell r="D90" t="str">
            <v>较好</v>
          </cell>
          <cell r="E90" t="str">
            <v>一般</v>
          </cell>
          <cell r="F90" t="str">
            <v>较差</v>
          </cell>
          <cell r="G90" t="str">
            <v>差</v>
          </cell>
        </row>
        <row r="92">
          <cell r="B92" t="str">
            <v>楼层</v>
          </cell>
          <cell r="C92" t="str">
            <v>1层</v>
          </cell>
          <cell r="D92" t="str">
            <v>1-2层</v>
          </cell>
          <cell r="E92" t="str">
            <v>中层</v>
          </cell>
          <cell r="F92" t="str">
            <v>高层</v>
          </cell>
        </row>
        <row r="100">
          <cell r="B100" t="str">
            <v>商业类型</v>
          </cell>
          <cell r="C100" t="str">
            <v>写字楼配套</v>
          </cell>
          <cell r="D100" t="str">
            <v>住宅配套</v>
          </cell>
        </row>
        <row r="105">
          <cell r="B105" t="str">
            <v>建筑结构</v>
          </cell>
          <cell r="C105" t="str">
            <v>钢混</v>
          </cell>
        </row>
        <row r="107">
          <cell r="B107" t="str">
            <v>公共部分装修</v>
          </cell>
          <cell r="C107" t="str">
            <v>精装修</v>
          </cell>
          <cell r="D107" t="str">
            <v>普通装修</v>
          </cell>
          <cell r="E107" t="str">
            <v>毛坯</v>
          </cell>
        </row>
        <row r="112">
          <cell r="B112" t="str">
            <v>市政基础设施</v>
          </cell>
          <cell r="C112" t="str">
            <v>五通</v>
          </cell>
        </row>
        <row r="114">
          <cell r="B114" t="str">
            <v>业态</v>
          </cell>
        </row>
        <row r="116">
          <cell r="B116" t="str">
            <v>层高</v>
          </cell>
          <cell r="C116" t="str">
            <v>非标层高</v>
          </cell>
          <cell r="D116" t="str">
            <v>标准层高</v>
          </cell>
        </row>
        <row r="120">
          <cell r="B120" t="str">
            <v>进深比</v>
          </cell>
          <cell r="C120" t="str">
            <v>较适宜</v>
          </cell>
        </row>
        <row r="122">
          <cell r="B122" t="str">
            <v>内部装修</v>
          </cell>
          <cell r="C122" t="str">
            <v>精装修</v>
          </cell>
          <cell r="D122" t="str">
            <v>普通装修</v>
          </cell>
          <cell r="E122" t="str">
            <v>毛坯</v>
          </cell>
        </row>
      </sheetData>
      <sheetData sheetId="40">
        <row r="4">
          <cell r="F4" t="str">
            <v>酒仙桥六街坊</v>
          </cell>
        </row>
      </sheetData>
      <sheetData sheetId="41" refreshError="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北京市石景山区玉泉西里一区2号楼1层107房地产市场价值预评估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受贵公司委托，我公司对北京市石景山区玉泉西里一区2号楼1层107房地产市场价值进行了预评估。</v>
      </c>
    </row>
    <row r="7" spans="1:2" s="1203" customFormat="1">
      <c r="A7" s="1201" t="s">
        <v>566</v>
      </c>
      <c r="B7" s="1202" t="str">
        <f>'预评函-1'!A7</f>
        <v>估价对象为北京市石景山区玉泉西里一区2号楼1层107房地产，为北京海德置业集团有限公司所有。根据《国有土地使用证》[]，估价对象（分摊）出让国有建设用地使用权面积为0平方米，建筑面积为642平方米。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石景山区玉泉西里一区2号楼1层107房地产,属北京海德置业集团有限公司开发建设的居住项目，该项目尚在开发建设中。根据《国有土地使用证》[]，估价对象（分摊）出让国有建设用地使用权面积为0平方米，规划建筑面积为642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2024年5月14日（评估专业人员实地查勘之日）</v>
      </c>
    </row>
    <row r="13" spans="1:2" s="1203" customFormat="1">
      <c r="A13" s="1201" t="s">
        <v>529</v>
      </c>
      <c r="B13" s="1202" t="str">
        <f>'预评函-1'!A18</f>
        <v>本次估价的“房地产价值”是指在正常市场情况下，在价值时点2024年5月14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北京市石景山区玉泉西里一区2号楼1层107房地产</v>
      </c>
    </row>
    <row r="42" spans="1:2" s="1203" customFormat="1">
      <c r="A42" s="1201" t="s">
        <v>590</v>
      </c>
      <c r="B42" s="1202" t="str">
        <f>'预评函-3'!B2</f>
        <v>建筑面积</v>
      </c>
    </row>
    <row r="43" spans="1:2" s="1203" customFormat="1">
      <c r="A43" s="1201" t="s">
        <v>591</v>
      </c>
      <c r="B43" s="1202">
        <f>'预评函-3'!B4</f>
        <v>642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2576</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2577</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2289</v>
      </c>
      <c r="C17" s="1547"/>
    </row>
    <row r="18" spans="1:3">
      <c r="A18" s="1546" t="s">
        <v>1046</v>
      </c>
      <c r="B18" s="1546" t="s">
        <v>2432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玉泉西里一区2号楼1层107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5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52"/>
      <c r="B54" s="1554" t="s">
        <v>385</v>
      </c>
      <c r="C54" s="1551" t="s">
        <v>583</v>
      </c>
    </row>
    <row r="55" spans="1:4">
      <c r="A55" s="3652"/>
      <c r="B55" s="1554" t="s">
        <v>386</v>
      </c>
      <c r="C55" s="1551" t="s">
        <v>584</v>
      </c>
    </row>
    <row r="56" spans="1:4">
      <c r="A56" s="3652"/>
      <c r="B56" s="1554" t="s">
        <v>387</v>
      </c>
      <c r="C56" s="1551" t="s">
        <v>588</v>
      </c>
    </row>
    <row r="57" spans="1:4">
      <c r="A57" s="365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2499</v>
      </c>
      <c r="B1" s="3011"/>
      <c r="C1" s="3011"/>
      <c r="D1" s="3011"/>
      <c r="E1" s="3011"/>
      <c r="F1" s="3012"/>
      <c r="I1" s="3434" t="s">
        <v>2592</v>
      </c>
      <c r="J1" s="3223"/>
      <c r="K1" s="3223"/>
      <c r="L1" s="3223"/>
      <c r="M1" s="3223"/>
      <c r="N1" s="3435"/>
      <c r="O1" s="3435"/>
      <c r="P1" s="3435"/>
      <c r="Q1" s="3435"/>
      <c r="R1" s="3435"/>
    </row>
    <row r="2" spans="1:18">
      <c r="A2" s="3014"/>
      <c r="B2" s="3015"/>
      <c r="C2" s="3015"/>
      <c r="D2" s="3015"/>
      <c r="E2" s="3015"/>
      <c r="F2" s="3016"/>
      <c r="I2" s="3653" t="s">
        <v>2579</v>
      </c>
      <c r="J2" s="3653"/>
      <c r="K2" s="3653"/>
      <c r="L2" s="3653"/>
      <c r="M2" s="3653"/>
      <c r="N2" s="3653"/>
      <c r="O2" s="3653"/>
      <c r="P2" s="3653"/>
      <c r="Q2" s="3653"/>
      <c r="R2" s="3653"/>
    </row>
    <row r="3" spans="1:18">
      <c r="A3" s="3017" t="s">
        <v>2500</v>
      </c>
      <c r="B3" s="3018">
        <f>项目基本情况!D3</f>
        <v>45426</v>
      </c>
      <c r="C3" s="3020"/>
      <c r="D3" s="3020"/>
      <c r="E3" s="3020"/>
      <c r="F3" s="3016"/>
      <c r="I3" s="3436"/>
      <c r="J3" s="3436" t="s">
        <v>2583</v>
      </c>
      <c r="K3" s="3436" t="s">
        <v>2584</v>
      </c>
      <c r="L3" s="3436" t="s">
        <v>2585</v>
      </c>
      <c r="M3" s="3436" t="s">
        <v>2586</v>
      </c>
      <c r="N3" s="3437" t="s">
        <v>2587</v>
      </c>
      <c r="O3" s="3437" t="s">
        <v>2588</v>
      </c>
      <c r="P3" s="3437" t="s">
        <v>2589</v>
      </c>
      <c r="Q3" s="3437" t="s">
        <v>2590</v>
      </c>
      <c r="R3" s="3437" t="s">
        <v>2591</v>
      </c>
    </row>
    <row r="4" spans="1:18">
      <c r="A4" s="3017" t="s">
        <v>2501</v>
      </c>
      <c r="B4" s="3020" t="s">
        <v>2502</v>
      </c>
      <c r="C4" s="3020" t="s">
        <v>2503</v>
      </c>
      <c r="D4" s="3020" t="s">
        <v>2504</v>
      </c>
      <c r="E4" s="3020" t="s">
        <v>2505</v>
      </c>
      <c r="F4" s="3016"/>
      <c r="I4" s="3436" t="s">
        <v>2580</v>
      </c>
      <c r="J4" s="3436">
        <v>80</v>
      </c>
      <c r="K4" s="3436">
        <v>70</v>
      </c>
      <c r="L4" s="3436">
        <v>20</v>
      </c>
      <c r="M4" s="3436">
        <v>30</v>
      </c>
      <c r="N4" s="3020">
        <v>45</v>
      </c>
      <c r="O4" s="3020">
        <v>60</v>
      </c>
      <c r="P4" s="3020">
        <v>50</v>
      </c>
      <c r="Q4" s="3020">
        <v>20</v>
      </c>
      <c r="R4" s="3020">
        <v>375</v>
      </c>
    </row>
    <row r="5" spans="1:18">
      <c r="A5" s="3021">
        <v>40</v>
      </c>
      <c r="B5" s="3018">
        <v>46375</v>
      </c>
      <c r="C5" s="3020">
        <f>ROUNDDOWN(MIN((B5-B3)/365,A5),2)</f>
        <v>2.6</v>
      </c>
      <c r="D5" s="3022">
        <f>IF(ISERROR(ROUND(POWER(1+E5,A5-C5)*(POWER(1+E5,C5)-1)/(POWER(1+E5,A5)-1),3)),0,ROUND(POWER(1+E5,A5-C5)*(POWER(1+E5,C5)-1)/(POWER(1+E5,A5)-1),4))</f>
        <v>0.1225</v>
      </c>
      <c r="E5" s="3023">
        <v>0.04</v>
      </c>
      <c r="F5" s="3016"/>
      <c r="I5" s="3436" t="s">
        <v>2581</v>
      </c>
      <c r="J5" s="3436">
        <v>70</v>
      </c>
      <c r="K5" s="3436">
        <v>60</v>
      </c>
      <c r="L5" s="3436">
        <v>15</v>
      </c>
      <c r="M5" s="3436">
        <v>25</v>
      </c>
      <c r="N5" s="3020">
        <v>40</v>
      </c>
      <c r="O5" s="3020">
        <v>50</v>
      </c>
      <c r="P5" s="3020">
        <v>40</v>
      </c>
      <c r="Q5" s="3020">
        <v>15</v>
      </c>
      <c r="R5" s="3020">
        <v>315</v>
      </c>
    </row>
    <row r="6" spans="1:18">
      <c r="A6" s="3021">
        <v>50</v>
      </c>
      <c r="B6" s="3018">
        <v>50028</v>
      </c>
      <c r="C6" s="3020">
        <f>ROUNDDOWN(MIN((B6-B3)/365,A6),2)</f>
        <v>12.6</v>
      </c>
      <c r="D6" s="3022">
        <f>IF(ISERROR(ROUND(POWER(1+E6,A6-C6)*(POWER(1+E6,C6)-1)/(POWER(1+E6,A6)-1),3)),0,ROUND(POWER(1+E6,A6-C6)*(POWER(1+E6,C6)-1)/(POWER(1+E6,A6)-1),4))</f>
        <v>0.45379999999999998</v>
      </c>
      <c r="E6" s="3023">
        <v>0.04</v>
      </c>
      <c r="F6" s="3016"/>
      <c r="I6" s="3436" t="s">
        <v>2582</v>
      </c>
      <c r="J6" s="3436">
        <v>60</v>
      </c>
      <c r="K6" s="3436">
        <v>50</v>
      </c>
      <c r="L6" s="3436">
        <v>10</v>
      </c>
      <c r="M6" s="3436">
        <v>20</v>
      </c>
      <c r="N6" s="3020">
        <v>35</v>
      </c>
      <c r="O6" s="3020">
        <v>40</v>
      </c>
      <c r="P6" s="3020">
        <v>30</v>
      </c>
      <c r="Q6" s="3020">
        <v>10</v>
      </c>
      <c r="R6" s="3020">
        <v>255</v>
      </c>
    </row>
    <row r="7" spans="1:18">
      <c r="A7" s="3021">
        <v>70</v>
      </c>
      <c r="B7" s="3018">
        <v>57333</v>
      </c>
      <c r="C7" s="3020">
        <f>ROUNDDOWN(MIN((B7-B3)/365,A7),2)</f>
        <v>32.619999999999997</v>
      </c>
      <c r="D7" s="3022">
        <f>IF(ISERROR(ROUND(POWER(1+E7,A7-C7)*(POWER(1+E7,C7)-1)/(POWER(1+E7,A7)-1),3)),0,ROUND(POWER(1+E7,A7-C7)*(POWER(1+E7,C7)-1)/(POWER(1+E7,A7)-1),4))</f>
        <v>0.77129999999999999</v>
      </c>
      <c r="E7" s="3023">
        <v>0.04</v>
      </c>
      <c r="F7" s="3016"/>
    </row>
    <row r="8" spans="1:18">
      <c r="A8" s="3014"/>
      <c r="B8" s="3015"/>
      <c r="C8" s="3015"/>
      <c r="D8" s="3015"/>
      <c r="E8" s="3015"/>
      <c r="F8" s="3016"/>
    </row>
    <row r="9" spans="1:18">
      <c r="A9" s="3017" t="s">
        <v>2506</v>
      </c>
      <c r="B9" s="3020"/>
      <c r="C9" s="3020"/>
      <c r="D9" s="3020"/>
      <c r="E9" s="3020"/>
      <c r="F9" s="3024"/>
    </row>
    <row r="10" spans="1:18">
      <c r="A10" s="3017" t="s">
        <v>2507</v>
      </c>
      <c r="B10" s="3020"/>
      <c r="C10" s="3020"/>
      <c r="D10" s="3020" t="s">
        <v>2505</v>
      </c>
      <c r="E10" s="3020"/>
      <c r="F10" s="3024" t="s">
        <v>2504</v>
      </c>
    </row>
    <row r="11" spans="1:18">
      <c r="A11" s="3017" t="s">
        <v>2508</v>
      </c>
      <c r="B11" s="3025">
        <v>70</v>
      </c>
      <c r="C11" s="3020" t="s">
        <v>2509</v>
      </c>
      <c r="D11" s="3026">
        <v>4.4999999999999998E-2</v>
      </c>
      <c r="E11" s="3020" t="s">
        <v>2510</v>
      </c>
      <c r="F11" s="3027">
        <f>ROUND(1-(1/(POWER(1+D11,B11))),4)</f>
        <v>0.95409999999999995</v>
      </c>
    </row>
    <row r="12" spans="1:18">
      <c r="A12" s="3017" t="s">
        <v>2511</v>
      </c>
      <c r="B12" s="3025">
        <v>40</v>
      </c>
      <c r="C12" s="3020" t="s">
        <v>2512</v>
      </c>
      <c r="D12" s="3026">
        <v>4.4999999999999998E-2</v>
      </c>
      <c r="E12" s="3020" t="s">
        <v>2513</v>
      </c>
      <c r="F12" s="3027">
        <f>ROUND(1-(1/(POWER(1+D12,B12))),4)</f>
        <v>0.82809999999999995</v>
      </c>
    </row>
    <row r="13" spans="1:18">
      <c r="A13" s="3017" t="s">
        <v>2514</v>
      </c>
      <c r="B13" s="3020"/>
      <c r="C13" s="3020"/>
      <c r="D13" s="3015"/>
      <c r="E13" s="3015"/>
      <c r="F13" s="3016"/>
    </row>
    <row r="14" spans="1:18">
      <c r="A14" s="3017" t="s">
        <v>2515</v>
      </c>
      <c r="B14" s="3025">
        <v>5000</v>
      </c>
      <c r="C14" s="3019"/>
      <c r="D14" s="3015"/>
      <c r="E14" s="3015"/>
      <c r="F14" s="3016"/>
    </row>
    <row r="15" spans="1:18">
      <c r="A15" s="3017" t="s">
        <v>2516</v>
      </c>
      <c r="B15" s="3020">
        <f>ROUND(B14*F12/F11,2)</f>
        <v>4339.6899999999996</v>
      </c>
      <c r="C15" s="3020">
        <f>ROUND(F12/F11,4)</f>
        <v>0.8679</v>
      </c>
      <c r="D15" s="3015"/>
      <c r="E15" s="3015"/>
      <c r="F15" s="3016"/>
    </row>
    <row r="16" spans="1:18">
      <c r="A16" s="3017" t="s">
        <v>2517</v>
      </c>
      <c r="B16" s="3020"/>
      <c r="C16" s="3020"/>
      <c r="D16" s="3015"/>
      <c r="E16" s="3015"/>
      <c r="F16" s="3016"/>
    </row>
    <row r="17" spans="1:13">
      <c r="A17" s="3017" t="s">
        <v>2516</v>
      </c>
      <c r="B17" s="3026">
        <v>4810</v>
      </c>
      <c r="C17" s="3019"/>
      <c r="D17" s="3015"/>
      <c r="E17" s="3015"/>
      <c r="F17" s="3016"/>
    </row>
    <row r="18" spans="1:13" ht="14.25" thickBot="1">
      <c r="A18" s="3028" t="s">
        <v>2515</v>
      </c>
      <c r="B18" s="3029">
        <f>ROUND(B17*F11/F12,2)</f>
        <v>5541.87</v>
      </c>
      <c r="C18" s="3029">
        <f>ROUND(F11/F12,4)</f>
        <v>1.1521999999999999</v>
      </c>
      <c r="D18" s="3030"/>
      <c r="E18" s="3030"/>
      <c r="F18" s="3031"/>
    </row>
    <row r="19" spans="1:13" ht="14.25" thickBot="1"/>
    <row r="20" spans="1:13" s="3066" customFormat="1" ht="14.25" thickTop="1">
      <c r="A20" s="3063" t="s">
        <v>2518</v>
      </c>
      <c r="B20" s="3064"/>
      <c r="C20" s="3064"/>
      <c r="D20" s="3064"/>
      <c r="E20" s="3064"/>
      <c r="F20" s="3064"/>
      <c r="G20" s="3065"/>
      <c r="I20" s="3067" t="s">
        <v>2563</v>
      </c>
      <c r="J20" s="3067" t="s">
        <v>2568</v>
      </c>
      <c r="K20" s="3067"/>
      <c r="L20" s="3067"/>
      <c r="M20" s="3067"/>
    </row>
    <row r="21" spans="1:13">
      <c r="A21" s="3032"/>
      <c r="B21" s="3033" t="s">
        <v>2519</v>
      </c>
      <c r="C21" s="3033" t="s">
        <v>2520</v>
      </c>
      <c r="D21" s="3033" t="s">
        <v>2521</v>
      </c>
      <c r="E21" s="3033" t="s">
        <v>2522</v>
      </c>
      <c r="F21" s="3033" t="s">
        <v>2523</v>
      </c>
      <c r="G21" s="3034" t="s">
        <v>2524</v>
      </c>
      <c r="I21" s="3055">
        <v>5</v>
      </c>
      <c r="J21" s="3055">
        <v>54.2</v>
      </c>
    </row>
    <row r="22" spans="1:13">
      <c r="A22" s="3032" t="s">
        <v>2525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2566</v>
      </c>
      <c r="M23" s="3055" t="s">
        <v>2567</v>
      </c>
    </row>
    <row r="24" spans="1:13">
      <c r="A24" s="3032" t="s">
        <v>2527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2565</v>
      </c>
      <c r="M24" s="3055">
        <v>10</v>
      </c>
    </row>
    <row r="25" spans="1:13">
      <c r="A25" s="3032" t="s">
        <v>2528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2569</v>
      </c>
      <c r="M25" s="3055">
        <v>8</v>
      </c>
    </row>
    <row r="26" spans="1:13">
      <c r="A26" s="3037"/>
      <c r="B26" s="3038"/>
      <c r="C26" s="3038"/>
      <c r="D26" s="3038"/>
      <c r="E26" s="3038"/>
      <c r="F26" s="3038"/>
      <c r="G26" s="3039"/>
      <c r="I26" s="3055">
        <v>30</v>
      </c>
      <c r="J26" s="3055">
        <v>90.5</v>
      </c>
      <c r="K26" s="3055">
        <f t="shared" si="2"/>
        <v>4.2000000000000028</v>
      </c>
      <c r="L26" s="3055" t="s">
        <v>2570</v>
      </c>
      <c r="M26" s="3055">
        <v>5</v>
      </c>
    </row>
    <row r="27" spans="1:13">
      <c r="A27" s="3037" t="s">
        <v>2529</v>
      </c>
      <c r="B27" s="3038"/>
      <c r="C27" s="3038"/>
      <c r="D27" s="3038"/>
      <c r="E27" s="3038"/>
      <c r="F27" s="3038"/>
      <c r="G27" s="3039"/>
      <c r="I27" s="3055">
        <v>35</v>
      </c>
      <c r="J27" s="3055">
        <v>93.8</v>
      </c>
      <c r="K27" s="3055">
        <f t="shared" si="2"/>
        <v>3.2999999999999972</v>
      </c>
      <c r="L27" s="3055" t="s">
        <v>2571</v>
      </c>
      <c r="M27" s="3055">
        <v>3</v>
      </c>
    </row>
    <row r="28" spans="1:13">
      <c r="A28" s="3037" t="s">
        <v>2530</v>
      </c>
      <c r="B28" s="3038"/>
      <c r="C28" s="3038"/>
      <c r="D28" s="3038"/>
      <c r="E28" s="3038"/>
      <c r="F28" s="3038"/>
      <c r="G28" s="3039"/>
      <c r="I28" s="3055">
        <v>40</v>
      </c>
      <c r="J28" s="3055">
        <v>96.4</v>
      </c>
      <c r="K28" s="3055">
        <f t="shared" si="2"/>
        <v>2.6000000000000085</v>
      </c>
      <c r="L28" s="3055" t="s">
        <v>2572</v>
      </c>
      <c r="M28" s="3055">
        <v>2</v>
      </c>
    </row>
    <row r="29" spans="1:13">
      <c r="A29" s="3037" t="s">
        <v>2531</v>
      </c>
      <c r="B29" s="3038"/>
      <c r="C29" s="3038"/>
      <c r="D29" s="3038"/>
      <c r="E29" s="3038"/>
      <c r="F29" s="3038"/>
      <c r="G29" s="3039"/>
      <c r="I29" s="3055">
        <v>45</v>
      </c>
      <c r="J29" s="3055">
        <v>98.4</v>
      </c>
      <c r="K29" s="3055">
        <f t="shared" si="2"/>
        <v>2</v>
      </c>
    </row>
    <row r="30" spans="1:13">
      <c r="A30" s="3037" t="s">
        <v>2532</v>
      </c>
      <c r="B30" s="3038"/>
      <c r="C30" s="3038"/>
      <c r="D30" s="3038"/>
      <c r="E30" s="3038"/>
      <c r="F30" s="3038"/>
      <c r="G30" s="3039"/>
      <c r="I30" s="3055">
        <v>50</v>
      </c>
      <c r="J30" s="3055">
        <v>100</v>
      </c>
      <c r="K30" s="3055">
        <f t="shared" si="2"/>
        <v>1.5999999999999943</v>
      </c>
    </row>
    <row r="31" spans="1:13">
      <c r="A31" s="3037" t="s">
        <v>2533</v>
      </c>
      <c r="B31" s="3038"/>
      <c r="C31" s="3038"/>
      <c r="D31" s="3038"/>
      <c r="E31" s="3038"/>
      <c r="F31" s="3038"/>
      <c r="G31" s="3039"/>
      <c r="I31" s="3055" t="s">
        <v>2564</v>
      </c>
    </row>
    <row r="32" spans="1:13">
      <c r="A32" s="3037" t="s">
        <v>2534</v>
      </c>
      <c r="B32" s="3038"/>
      <c r="C32" s="3038"/>
      <c r="D32" s="3038"/>
      <c r="E32" s="3038"/>
      <c r="F32" s="3038"/>
      <c r="G32" s="3039"/>
    </row>
    <row r="33" spans="1:13">
      <c r="A33" s="3037" t="s">
        <v>2535</v>
      </c>
      <c r="B33" s="3038"/>
      <c r="C33" s="3038"/>
      <c r="D33" s="3038"/>
      <c r="E33" s="3038"/>
      <c r="F33" s="3038"/>
      <c r="G33" s="3039"/>
      <c r="I33" s="3055" t="s">
        <v>2563</v>
      </c>
      <c r="J33" s="3055" t="s">
        <v>2573</v>
      </c>
    </row>
    <row r="34" spans="1:13">
      <c r="A34" s="3037" t="s">
        <v>2536</v>
      </c>
      <c r="B34" s="3038"/>
      <c r="C34" s="3038"/>
      <c r="D34" s="3038"/>
      <c r="E34" s="3038"/>
      <c r="F34" s="3038"/>
      <c r="G34" s="3039"/>
      <c r="I34" s="3055">
        <v>5</v>
      </c>
      <c r="J34" s="3055">
        <v>55.1</v>
      </c>
    </row>
    <row r="35" spans="1:13">
      <c r="A35" s="3037" t="s">
        <v>2537</v>
      </c>
      <c r="B35" s="3038"/>
      <c r="C35" s="3038"/>
      <c r="D35" s="3038"/>
      <c r="E35" s="3038"/>
      <c r="F35" s="3038"/>
      <c r="G35" s="3039"/>
      <c r="I35" s="3055">
        <v>10</v>
      </c>
      <c r="J35" s="3055">
        <v>67</v>
      </c>
      <c r="K35" s="3055">
        <f>J35-J34</f>
        <v>11.899999999999999</v>
      </c>
    </row>
    <row r="36" spans="1:13">
      <c r="A36" s="3037" t="s">
        <v>2538</v>
      </c>
      <c r="B36" s="3038"/>
      <c r="C36" s="3038"/>
      <c r="D36" s="3038"/>
      <c r="E36" s="3038"/>
      <c r="F36" s="3038"/>
      <c r="G36" s="3039"/>
      <c r="I36" s="3055">
        <v>15</v>
      </c>
      <c r="J36" s="3055">
        <v>76.3</v>
      </c>
      <c r="K36" s="3055">
        <f t="shared" ref="K36:K41" si="3">J36-J35</f>
        <v>9.2999999999999972</v>
      </c>
      <c r="L36" s="3055" t="s">
        <v>2566</v>
      </c>
      <c r="M36" s="3055" t="s">
        <v>2567</v>
      </c>
    </row>
    <row r="37" spans="1:13">
      <c r="A37" s="3037" t="s">
        <v>2539</v>
      </c>
      <c r="B37" s="3038"/>
      <c r="C37" s="3038"/>
      <c r="D37" s="3038"/>
      <c r="E37" s="3038"/>
      <c r="F37" s="3038"/>
      <c r="G37" s="3039"/>
      <c r="I37" s="3055">
        <v>20</v>
      </c>
      <c r="J37" s="3055">
        <v>83.6</v>
      </c>
      <c r="K37" s="3055">
        <f t="shared" si="3"/>
        <v>7.2999999999999972</v>
      </c>
      <c r="L37" s="3055" t="s">
        <v>2565</v>
      </c>
      <c r="M37" s="3055">
        <v>10</v>
      </c>
    </row>
    <row r="38" spans="1:13">
      <c r="A38" s="3037" t="s">
        <v>2540</v>
      </c>
      <c r="B38" s="3038"/>
      <c r="C38" s="3038"/>
      <c r="D38" s="3038"/>
      <c r="E38" s="3038"/>
      <c r="F38" s="3038"/>
      <c r="G38" s="3039"/>
      <c r="I38" s="3055">
        <v>25</v>
      </c>
      <c r="J38" s="3055">
        <v>89.3</v>
      </c>
      <c r="K38" s="3055">
        <f t="shared" si="3"/>
        <v>5.7000000000000028</v>
      </c>
      <c r="L38" s="3055" t="s">
        <v>2569</v>
      </c>
      <c r="M38" s="3055">
        <v>8</v>
      </c>
    </row>
    <row r="39" spans="1:13">
      <c r="A39" s="3037"/>
      <c r="B39" s="3038"/>
      <c r="C39" s="3038"/>
      <c r="D39" s="3038"/>
      <c r="E39" s="3038"/>
      <c r="F39" s="3038"/>
      <c r="G39" s="3039"/>
      <c r="I39" s="3055">
        <v>30</v>
      </c>
      <c r="J39" s="3055">
        <v>93.8</v>
      </c>
      <c r="K39" s="3055">
        <f t="shared" si="3"/>
        <v>4.5</v>
      </c>
      <c r="L39" s="3055" t="s">
        <v>2570</v>
      </c>
      <c r="M39" s="3055">
        <v>6</v>
      </c>
    </row>
    <row r="40" spans="1:13">
      <c r="A40" s="3040" t="s">
        <v>2541</v>
      </c>
      <c r="B40" s="3041"/>
      <c r="C40" s="3041"/>
      <c r="D40" s="3041"/>
      <c r="E40" s="3041"/>
      <c r="F40" s="3041"/>
      <c r="G40" s="3042"/>
      <c r="I40" s="3055">
        <v>35</v>
      </c>
      <c r="J40" s="3055">
        <v>97.2</v>
      </c>
      <c r="K40" s="3055">
        <f t="shared" si="3"/>
        <v>3.4000000000000057</v>
      </c>
      <c r="L40" s="3055" t="s">
        <v>2571</v>
      </c>
      <c r="M40" s="3055">
        <v>3</v>
      </c>
    </row>
    <row r="41" spans="1:13">
      <c r="A41" s="3043" t="s">
        <v>2542</v>
      </c>
      <c r="B41" s="3044" t="s">
        <v>2543</v>
      </c>
      <c r="C41" s="3045" t="s">
        <v>2544</v>
      </c>
      <c r="D41" s="3045" t="s">
        <v>2545</v>
      </c>
      <c r="E41" s="3046"/>
      <c r="F41" s="3047"/>
      <c r="G41" s="3048"/>
      <c r="I41" s="3055">
        <v>40</v>
      </c>
      <c r="J41" s="3055">
        <v>100</v>
      </c>
      <c r="K41" s="3055">
        <f t="shared" si="3"/>
        <v>2.7999999999999972</v>
      </c>
    </row>
    <row r="42" spans="1:13">
      <c r="A42" s="3043" t="s">
        <v>2546</v>
      </c>
      <c r="B42" s="3044" t="s">
        <v>2547</v>
      </c>
      <c r="C42" s="3045" t="s">
        <v>2548</v>
      </c>
      <c r="D42" s="3049" t="s">
        <v>2549</v>
      </c>
      <c r="E42" s="3041" t="s">
        <v>2550</v>
      </c>
      <c r="F42" s="3041"/>
      <c r="G42" s="3042"/>
    </row>
    <row r="43" spans="1:13">
      <c r="A43" s="3043" t="s">
        <v>2551</v>
      </c>
      <c r="B43" s="3044" t="s">
        <v>2552</v>
      </c>
      <c r="C43" s="3045" t="s">
        <v>2553</v>
      </c>
      <c r="D43" s="3045" t="s">
        <v>2554</v>
      </c>
      <c r="E43" s="3046" t="s">
        <v>2555</v>
      </c>
      <c r="F43" s="3047"/>
      <c r="G43" s="3048"/>
      <c r="I43" s="3055" t="s">
        <v>2563</v>
      </c>
      <c r="J43" s="3055" t="s">
        <v>2574</v>
      </c>
    </row>
    <row r="44" spans="1:13">
      <c r="A44" s="3043" t="s">
        <v>2556</v>
      </c>
      <c r="B44" s="3044" t="s">
        <v>2557</v>
      </c>
      <c r="C44" s="3045" t="s">
        <v>2558</v>
      </c>
      <c r="D44" s="3049">
        <v>0.5</v>
      </c>
      <c r="E44" s="3046" t="s">
        <v>2559</v>
      </c>
      <c r="F44" s="3047"/>
      <c r="G44" s="3048"/>
      <c r="I44" s="3055">
        <v>30</v>
      </c>
      <c r="J44" s="3055">
        <v>81.7</v>
      </c>
    </row>
    <row r="45" spans="1:13" ht="14.25" thickBot="1">
      <c r="A45" s="3050" t="s">
        <v>2560</v>
      </c>
      <c r="B45" s="3051" t="s">
        <v>2547</v>
      </c>
      <c r="C45" s="3052" t="s">
        <v>2547</v>
      </c>
      <c r="D45" s="3052" t="s">
        <v>2561</v>
      </c>
      <c r="E45" s="3053" t="s">
        <v>2562</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29" sqref="H2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662" t="str">
        <f>IF(B10="北京市","北京市",C10)&amp;F10&amp;IF(结果表!G1="在建","出让国有建设用地使用权及在建建筑物",IF(结果表!G1="土地","出让国有建设用地使用权",))&amp;B9&amp;"预评估"</f>
        <v>北京市石景山区玉泉西里一区2号楼1层107房地产市场价值预评估</v>
      </c>
      <c r="C1" s="3663"/>
      <c r="D1" s="3663"/>
      <c r="E1" s="3663"/>
      <c r="F1" s="3663"/>
      <c r="G1" s="3663"/>
      <c r="H1" s="3663"/>
      <c r="I1" s="3664"/>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北京市石景山区玉泉西里一区2号楼1层107房地产市场价值</v>
      </c>
      <c r="T1" s="1745"/>
      <c r="U1" s="1745"/>
      <c r="V1" s="1745"/>
      <c r="W1" s="1745"/>
      <c r="X1" s="1745"/>
      <c r="Y1" s="1745"/>
      <c r="Z1" s="1745"/>
      <c r="AA1" s="1745"/>
      <c r="AB1" s="1745"/>
    </row>
    <row r="2" spans="1:30">
      <c r="A2" s="2367" t="s">
        <v>2169</v>
      </c>
      <c r="B2" s="2371"/>
      <c r="C2" s="2372"/>
      <c r="D2" s="2667"/>
      <c r="E2" s="2659"/>
      <c r="F2" s="2659"/>
      <c r="G2" s="2660"/>
      <c r="H2" s="2660"/>
      <c r="I2" s="266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北京市石景山区玉泉西里一区2号楼1层107房地产</v>
      </c>
      <c r="T2" s="1745"/>
      <c r="U2" s="1745"/>
      <c r="V2" s="1745"/>
      <c r="W2" s="1745"/>
      <c r="X2" s="1745"/>
      <c r="Y2" s="1745"/>
      <c r="Z2" s="1745"/>
      <c r="AA2" s="1745"/>
      <c r="AB2" s="1745"/>
    </row>
    <row r="3" spans="1:30">
      <c r="A3" s="302" t="s">
        <v>2170</v>
      </c>
      <c r="B3" s="3527">
        <v>45426</v>
      </c>
      <c r="C3" s="2374" t="s">
        <v>2171</v>
      </c>
      <c r="D3" s="2373">
        <f>B3</f>
        <v>45426</v>
      </c>
      <c r="E3" s="2660"/>
      <c r="F3" s="2660"/>
      <c r="G3" s="2660"/>
      <c r="H3" s="2660"/>
      <c r="I3" s="266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3755</v>
      </c>
      <c r="C4" s="2376">
        <f ca="1">SUMIF(注册房地产估价师,B4,估价师及机构信息!B3:B24)</f>
        <v>1120100036</v>
      </c>
      <c r="D4" s="2375" t="s">
        <v>3756</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8"/>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1"/>
      <c r="F5" s="2661"/>
      <c r="G5" s="2661"/>
      <c r="H5" s="2661"/>
      <c r="I5" s="2661"/>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59"/>
      <c r="F6" s="2661"/>
      <c r="G6" s="2661"/>
      <c r="H6" s="2661"/>
      <c r="I6" s="2661"/>
      <c r="J6" s="2438"/>
      <c r="K6" s="2612" t="str">
        <f>IF(COUNTIF(B6,"*上海银行*"),"上海银行","")</f>
        <v/>
      </c>
      <c r="L6" s="2610"/>
      <c r="M6" s="2610"/>
      <c r="N6" s="2438"/>
      <c r="O6" s="2449"/>
      <c r="P6" s="2438"/>
      <c r="Q6" s="2438"/>
      <c r="R6" s="2438"/>
    </row>
    <row r="7" spans="1:30">
      <c r="A7" s="2383" t="s">
        <v>2175</v>
      </c>
      <c r="B7" s="2387"/>
      <c r="C7" s="2385"/>
      <c r="D7" s="2386"/>
      <c r="E7" s="2659"/>
      <c r="F7" s="2661"/>
      <c r="G7" s="2661"/>
      <c r="H7" s="2661"/>
      <c r="I7" s="2661"/>
      <c r="J7" s="2438"/>
      <c r="K7" s="2613"/>
      <c r="L7" s="2610"/>
      <c r="M7" s="2610"/>
      <c r="N7" s="2438"/>
      <c r="O7" s="2449"/>
      <c r="P7" s="2438"/>
      <c r="Q7" s="2438"/>
      <c r="R7" s="2438"/>
    </row>
    <row r="8" spans="1:30">
      <c r="A8" s="2388" t="s">
        <v>2176</v>
      </c>
      <c r="B8" s="2389" t="s">
        <v>3511</v>
      </c>
      <c r="C8" s="2390"/>
      <c r="D8" s="3665" t="s">
        <v>2177</v>
      </c>
      <c r="E8" s="2391"/>
      <c r="F8" s="2392"/>
      <c r="G8" s="2660"/>
      <c r="H8" s="2660"/>
      <c r="I8" s="2660"/>
      <c r="J8" s="2438"/>
      <c r="K8" s="2611"/>
      <c r="L8" s="2610"/>
      <c r="M8" s="2610"/>
      <c r="N8" s="2438"/>
      <c r="O8" s="2449"/>
      <c r="P8" s="2438"/>
      <c r="Q8" s="2438"/>
      <c r="R8" s="2438"/>
    </row>
    <row r="9" spans="1:30" ht="13.5" thickBot="1">
      <c r="A9" s="2393" t="s">
        <v>2178</v>
      </c>
      <c r="B9" s="2394" t="s">
        <v>3512</v>
      </c>
      <c r="C9" s="2395"/>
      <c r="D9" s="3666"/>
      <c r="E9" s="2394"/>
      <c r="F9" s="2396"/>
      <c r="G9" s="2662"/>
      <c r="H9" s="2662"/>
      <c r="I9" s="2662"/>
      <c r="J9" s="2438"/>
      <c r="K9" s="2613"/>
      <c r="L9" s="2610"/>
      <c r="M9" s="2610"/>
      <c r="N9" s="2438"/>
      <c r="O9" s="2449"/>
      <c r="P9" s="2438"/>
      <c r="Q9" s="2438"/>
      <c r="R9" s="2438"/>
    </row>
    <row r="10" spans="1:30" ht="13.5" thickTop="1">
      <c r="A10" s="2397" t="s">
        <v>2179</v>
      </c>
      <c r="B10" s="2398" t="s">
        <v>3513</v>
      </c>
      <c r="C10" s="2399"/>
      <c r="D10" s="2382"/>
      <c r="E10" s="2400" t="s">
        <v>2180</v>
      </c>
      <c r="F10" s="2663" t="s">
        <v>3757</v>
      </c>
      <c r="G10" s="2664"/>
      <c r="H10" s="2665"/>
      <c r="I10" s="2666"/>
      <c r="J10" s="2438"/>
      <c r="K10" s="2613"/>
      <c r="L10" s="2610"/>
      <c r="M10" s="2610"/>
      <c r="N10" s="2438"/>
      <c r="O10" s="2449"/>
      <c r="P10" s="2438"/>
      <c r="Q10" s="2438"/>
      <c r="R10" s="2438"/>
    </row>
    <row r="11" spans="1:30" ht="24">
      <c r="A11" s="2401" t="s">
        <v>2181</v>
      </c>
      <c r="B11" s="2402" t="s">
        <v>3514</v>
      </c>
      <c r="C11" s="3605" t="s">
        <v>3758</v>
      </c>
      <c r="D11" s="2403"/>
      <c r="E11" s="2370"/>
      <c r="F11" s="2370"/>
      <c r="G11" s="2370"/>
      <c r="H11" s="2370"/>
      <c r="I11" s="2370"/>
      <c r="J11" s="3058"/>
      <c r="K11" s="3057"/>
      <c r="L11" s="2610"/>
      <c r="M11" s="2610"/>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6" t="s">
        <v>2575</v>
      </c>
      <c r="J12" s="3059"/>
      <c r="K12" s="2610"/>
      <c r="L12" s="2610"/>
      <c r="M12" s="2438"/>
      <c r="N12" s="2449"/>
      <c r="O12" s="2438"/>
      <c r="P12" s="2438"/>
      <c r="Q12" s="2438"/>
      <c r="AD12" s="1745"/>
    </row>
    <row r="13" spans="1:30">
      <c r="A13" s="3420" t="s">
        <v>3596</v>
      </c>
      <c r="B13" s="2406" t="s">
        <v>2190</v>
      </c>
      <c r="C13" s="856"/>
      <c r="D13" s="856"/>
      <c r="E13" s="856"/>
      <c r="F13" s="856"/>
      <c r="G13" s="856"/>
      <c r="H13" s="856"/>
      <c r="I13" s="856"/>
      <c r="J13" s="3059"/>
      <c r="K13" s="2610"/>
      <c r="L13" s="2610"/>
      <c r="M13" s="2438"/>
      <c r="N13" s="2449"/>
      <c r="O13" s="2438"/>
      <c r="P13" s="2438"/>
      <c r="Q13" s="2438"/>
      <c r="AD13" s="1745"/>
    </row>
    <row r="14" spans="1:30">
      <c r="A14" s="1081"/>
      <c r="B14" s="2406" t="s">
        <v>2191</v>
      </c>
      <c r="C14" s="2407"/>
      <c r="D14" s="2407">
        <v>40</v>
      </c>
      <c r="E14" s="2407"/>
      <c r="F14" s="2407"/>
      <c r="G14" s="2407"/>
      <c r="H14" s="2407"/>
      <c r="I14" s="2407">
        <v>50</v>
      </c>
      <c r="J14" s="3060"/>
      <c r="K14" s="2610"/>
      <c r="L14" s="2610"/>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1"/>
      <c r="K15" s="2450"/>
      <c r="L15" s="2450"/>
      <c r="M15" s="2506"/>
      <c r="N15" s="2450"/>
      <c r="O15" s="2506"/>
      <c r="P15" s="2438"/>
      <c r="Q15" s="2438"/>
      <c r="AD15" s="1745"/>
    </row>
    <row r="16" spans="1:30">
      <c r="A16" s="2400" t="s">
        <v>2193</v>
      </c>
      <c r="B16" s="3672"/>
      <c r="C16" s="3673"/>
      <c r="D16" s="3674"/>
      <c r="E16" s="2412" t="s">
        <v>2194</v>
      </c>
      <c r="F16" s="3675"/>
      <c r="G16" s="3676"/>
      <c r="H16" s="3676"/>
      <c r="I16" s="3677"/>
      <c r="J16" s="2438"/>
      <c r="K16" s="2614"/>
      <c r="L16" s="2450"/>
      <c r="M16" s="2450"/>
      <c r="N16" s="2506"/>
      <c r="O16" s="2450"/>
      <c r="P16" s="2506"/>
      <c r="Q16" s="2438"/>
      <c r="R16" s="2438"/>
    </row>
    <row r="17" spans="1:28">
      <c r="A17" s="313" t="s">
        <v>2195</v>
      </c>
      <c r="B17" s="302" t="s">
        <v>2196</v>
      </c>
      <c r="C17" s="8">
        <f>'数据-汇总表'!E3</f>
        <v>642</v>
      </c>
      <c r="D17" s="2322" t="s">
        <v>2197</v>
      </c>
      <c r="E17" s="3678" t="s">
        <v>2198</v>
      </c>
      <c r="F17" s="3679"/>
      <c r="G17" s="3679"/>
      <c r="H17" s="3679"/>
      <c r="I17" s="3680"/>
      <c r="J17" s="2438"/>
      <c r="K17" s="2615"/>
      <c r="L17" s="2450"/>
      <c r="M17" s="2450"/>
      <c r="N17" s="2506"/>
      <c r="O17" s="2450"/>
      <c r="P17" s="2506"/>
      <c r="Q17" s="2438"/>
      <c r="R17" s="2438"/>
      <c r="S17" s="2438"/>
      <c r="T17" s="2438"/>
      <c r="U17" s="2438"/>
      <c r="V17" s="2438"/>
    </row>
    <row r="18" spans="1:28" ht="24.75" thickBot="1">
      <c r="A18" s="2413" t="s">
        <v>2199</v>
      </c>
      <c r="B18" s="1090" t="s">
        <v>2200</v>
      </c>
      <c r="C18" s="2414">
        <f>'数据-汇总表'!D3</f>
        <v>0</v>
      </c>
      <c r="D18" s="1092" t="s">
        <v>2201</v>
      </c>
      <c r="E18" s="3681" t="s">
        <v>2202</v>
      </c>
      <c r="F18" s="3682"/>
      <c r="G18" s="3682"/>
      <c r="H18" s="3682"/>
      <c r="I18" s="3683"/>
      <c r="J18" s="2438"/>
      <c r="K18" s="2615"/>
      <c r="L18" s="2450"/>
      <c r="M18" s="2450"/>
      <c r="N18" s="2506"/>
      <c r="O18" s="2450"/>
      <c r="P18" s="2506"/>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1"/>
      <c r="I19" s="2661"/>
      <c r="J19" s="2438"/>
      <c r="K19" s="2613"/>
      <c r="L19" s="2610"/>
      <c r="M19" s="2610"/>
      <c r="N19" s="2506"/>
      <c r="O19" s="2450"/>
      <c r="P19" s="2506"/>
      <c r="Q19" s="2438"/>
      <c r="R19" s="2438"/>
      <c r="S19" s="2438"/>
      <c r="T19" s="2438"/>
      <c r="U19" s="2438"/>
      <c r="V19" s="2438"/>
    </row>
    <row r="20" spans="1:28">
      <c r="A20" s="2629" t="s">
        <v>2205</v>
      </c>
      <c r="B20" s="3668" t="s">
        <v>2206</v>
      </c>
      <c r="C20" s="3669"/>
      <c r="D20" s="3670" t="s">
        <v>2207</v>
      </c>
      <c r="E20" s="3671"/>
      <c r="F20" s="2644" t="s">
        <v>1056</v>
      </c>
      <c r="G20" s="2661"/>
      <c r="H20" s="2661"/>
      <c r="I20" s="2661"/>
      <c r="J20" s="2438"/>
      <c r="K20" s="3667" t="s">
        <v>2208</v>
      </c>
      <c r="L20" s="68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29"/>
      <c r="B21" s="2630" t="s">
        <v>2209</v>
      </c>
      <c r="C21" s="2631" t="s">
        <v>3759</v>
      </c>
      <c r="D21" s="1568" t="s">
        <v>2210</v>
      </c>
      <c r="E21" s="2632" t="s">
        <v>1057</v>
      </c>
      <c r="F21" s="2645"/>
      <c r="G21" s="2661"/>
      <c r="H21" s="2661"/>
      <c r="I21" s="2661"/>
      <c r="J21" s="2438"/>
      <c r="K21" s="366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29"/>
      <c r="B22" s="2633" t="s">
        <v>2211</v>
      </c>
      <c r="C22" s="2631" t="s">
        <v>1058</v>
      </c>
      <c r="D22" s="2660"/>
      <c r="E22" s="2660"/>
      <c r="F22" s="2660"/>
      <c r="G22" s="2661"/>
      <c r="H22" s="2661"/>
      <c r="I22" s="2661"/>
      <c r="J22" s="2438"/>
      <c r="K22" s="366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4" t="s">
        <v>2212</v>
      </c>
      <c r="B23" s="2499" t="s">
        <v>2213</v>
      </c>
      <c r="C23" s="2635"/>
      <c r="D23" s="2636" t="s">
        <v>2213</v>
      </c>
      <c r="E23" s="2637"/>
      <c r="F23" s="2660"/>
      <c r="G23" s="2661"/>
      <c r="H23" s="2661"/>
      <c r="I23" s="2661"/>
      <c r="J23" s="2438"/>
      <c r="K23" s="2616"/>
      <c r="L23" s="2472"/>
      <c r="M23" s="2610"/>
      <c r="N23" s="2506"/>
      <c r="O23" s="2450"/>
      <c r="P23" s="2506"/>
      <c r="Q23" s="2438"/>
      <c r="R23" s="2438"/>
      <c r="S23" s="2438"/>
      <c r="T23" s="2438"/>
      <c r="U23" s="2438"/>
      <c r="V23" s="2438"/>
    </row>
    <row r="24" spans="1:28">
      <c r="A24" s="2634"/>
      <c r="B24" s="2499" t="s">
        <v>1059</v>
      </c>
      <c r="C24" s="2638"/>
      <c r="D24" s="2634" t="s">
        <v>1059</v>
      </c>
      <c r="E24" s="2639"/>
      <c r="F24" s="2660"/>
      <c r="G24" s="2661"/>
      <c r="H24" s="2661"/>
      <c r="I24" s="2661"/>
      <c r="J24" s="2438"/>
      <c r="K24" s="2616"/>
      <c r="L24" s="2472"/>
      <c r="M24" s="2610"/>
      <c r="N24" s="2506"/>
      <c r="O24" s="2450"/>
      <c r="P24" s="2506"/>
      <c r="Q24" s="2438"/>
      <c r="R24" s="2438"/>
      <c r="S24" s="2438"/>
      <c r="T24" s="2438"/>
      <c r="U24" s="2438"/>
      <c r="V24" s="2438"/>
    </row>
    <row r="25" spans="1:28">
      <c r="A25" s="2634"/>
      <c r="B25" s="2499" t="s">
        <v>1060</v>
      </c>
      <c r="C25" s="2638"/>
      <c r="D25" s="2634" t="s">
        <v>1060</v>
      </c>
      <c r="E25" s="2639"/>
      <c r="F25" s="2660"/>
      <c r="G25" s="2661"/>
      <c r="H25" s="2661"/>
      <c r="I25" s="2661"/>
      <c r="J25" s="2438"/>
      <c r="K25" s="2613"/>
      <c r="L25" s="2610"/>
      <c r="M25" s="2610"/>
      <c r="N25" s="2506"/>
      <c r="O25" s="2450"/>
      <c r="P25" s="2506"/>
      <c r="Q25" s="2438"/>
      <c r="R25" s="2438"/>
      <c r="S25" s="2438"/>
      <c r="T25" s="2438"/>
      <c r="U25" s="2438"/>
      <c r="V25" s="2438"/>
    </row>
    <row r="26" spans="1:28" ht="13.5" thickBot="1">
      <c r="A26" s="2640"/>
      <c r="B26" s="2641" t="s">
        <v>1061</v>
      </c>
      <c r="C26" s="2642"/>
      <c r="D26" s="2640" t="s">
        <v>1061</v>
      </c>
      <c r="E26" s="2643"/>
      <c r="F26" s="2662"/>
      <c r="G26" s="2662"/>
      <c r="H26" s="2662"/>
      <c r="I26" s="2662"/>
      <c r="J26" s="2438"/>
      <c r="K26" s="2613"/>
      <c r="L26" s="2610"/>
      <c r="M26" s="2610"/>
      <c r="N26" s="2506"/>
      <c r="O26" s="2450"/>
      <c r="P26" s="2506"/>
      <c r="Q26" s="2438"/>
      <c r="R26" s="2438"/>
      <c r="S26" s="2438"/>
      <c r="T26" s="2438"/>
      <c r="U26" s="2438"/>
      <c r="V26" s="2438"/>
    </row>
    <row r="27" spans="1:28" ht="13.5" thickTop="1">
      <c r="A27" s="3655" t="s">
        <v>2214</v>
      </c>
      <c r="B27" s="320" t="s">
        <v>2215</v>
      </c>
      <c r="C27" s="2415" t="s">
        <v>3760</v>
      </c>
      <c r="D27" s="2416"/>
      <c r="E27" s="2661"/>
      <c r="F27" s="2661"/>
      <c r="G27" s="2661"/>
      <c r="H27" s="2661"/>
      <c r="I27" s="2661"/>
      <c r="J27" s="2438"/>
      <c r="K27" s="2614"/>
      <c r="L27" s="2450"/>
      <c r="M27" s="2450"/>
      <c r="N27" s="2506"/>
      <c r="O27" s="2450"/>
      <c r="P27" s="2506"/>
      <c r="Q27" s="2438"/>
      <c r="R27" s="2438"/>
      <c r="S27" s="2438"/>
      <c r="T27" s="2438"/>
      <c r="U27" s="2438"/>
      <c r="V27" s="2438"/>
    </row>
    <row r="28" spans="1:28">
      <c r="A28" s="3655"/>
      <c r="B28" s="302" t="s">
        <v>2216</v>
      </c>
      <c r="C28" s="2417"/>
      <c r="D28" s="2418"/>
      <c r="E28" s="2661"/>
      <c r="F28" s="2661"/>
      <c r="G28" s="2661"/>
      <c r="H28" s="2661"/>
      <c r="I28" s="2661"/>
      <c r="J28" s="2438"/>
      <c r="K28" s="2613"/>
      <c r="L28" s="2610"/>
      <c r="M28" s="2610"/>
      <c r="N28" s="2438"/>
      <c r="O28" s="2449"/>
      <c r="P28" s="2438"/>
      <c r="Q28" s="2438"/>
      <c r="R28" s="2438"/>
      <c r="S28" s="2438"/>
      <c r="T28" s="2438"/>
      <c r="U28" s="2438"/>
      <c r="V28" s="2438"/>
    </row>
    <row r="29" spans="1:28">
      <c r="A29" s="3655"/>
      <c r="B29" s="302" t="s">
        <v>2217</v>
      </c>
      <c r="C29" s="2419"/>
      <c r="D29" s="2420"/>
      <c r="E29" s="2661"/>
      <c r="F29" s="2661"/>
      <c r="G29" s="2661"/>
      <c r="H29" s="2661"/>
      <c r="I29" s="2661"/>
      <c r="J29" s="2438"/>
      <c r="K29" s="2613"/>
      <c r="L29" s="2610"/>
      <c r="M29" s="2610"/>
      <c r="N29" s="2438"/>
      <c r="O29" s="2449"/>
      <c r="P29" s="2438"/>
      <c r="Q29" s="2438"/>
      <c r="R29" s="2438"/>
      <c r="S29" s="2438"/>
      <c r="T29" s="2438"/>
      <c r="U29" s="2438"/>
      <c r="V29" s="2438"/>
    </row>
    <row r="30" spans="1:28">
      <c r="A30" s="3656"/>
      <c r="B30" s="302" t="s">
        <v>2218</v>
      </c>
      <c r="C30" s="3657"/>
      <c r="D30" s="3658"/>
      <c r="E30" s="2661"/>
      <c r="F30" s="2661"/>
      <c r="G30" s="2661"/>
      <c r="H30" s="2661"/>
      <c r="I30" s="2661"/>
      <c r="J30" s="2438"/>
      <c r="K30" s="2613"/>
      <c r="L30" s="2610"/>
      <c r="M30" s="2610"/>
      <c r="N30" s="2438"/>
      <c r="O30" s="2449"/>
      <c r="P30" s="2438"/>
      <c r="Q30" s="2438"/>
      <c r="R30" s="2438"/>
      <c r="S30" s="2438"/>
      <c r="T30" s="2438"/>
      <c r="U30" s="2438"/>
      <c r="V30" s="2438"/>
    </row>
    <row r="31" spans="1:28">
      <c r="A31" s="3659" t="s">
        <v>2219</v>
      </c>
      <c r="B31" s="2421"/>
      <c r="C31" s="2323" t="str">
        <f>IF(B31="现房","成新及维护状况正常否",IF(B31="在建","工程状态是否正常",IF(B31="土地","是否闲置","-")))</f>
        <v>-</v>
      </c>
      <c r="D31" s="1373"/>
      <c r="E31" s="2422"/>
      <c r="F31" s="2661"/>
      <c r="G31" s="2661"/>
      <c r="H31" s="2661"/>
      <c r="I31" s="2661"/>
      <c r="J31" s="2438"/>
      <c r="K31" s="2612"/>
      <c r="L31" s="2610"/>
      <c r="M31" s="2610"/>
      <c r="N31" s="2438"/>
      <c r="O31" s="2449"/>
      <c r="P31" s="2438"/>
      <c r="Q31" s="2438"/>
      <c r="R31" s="2438"/>
      <c r="S31" s="2438"/>
      <c r="T31" s="2438"/>
      <c r="U31" s="2438"/>
      <c r="V31" s="2438"/>
    </row>
    <row r="32" spans="1:28">
      <c r="A32" s="3660"/>
      <c r="B32" s="2421"/>
      <c r="C32" s="2323" t="str">
        <f>IF(B32="现房","成新及维护状况是否正常",IF(B32="在建","工程状态是否正常",IF(B32="土地","是否闲置","-")))</f>
        <v>-</v>
      </c>
      <c r="D32" s="1373"/>
      <c r="E32" s="2422"/>
      <c r="F32" s="2661"/>
      <c r="G32" s="2661"/>
      <c r="H32" s="2661"/>
      <c r="I32" s="2661"/>
      <c r="J32" s="2438"/>
      <c r="K32" s="2613"/>
      <c r="L32" s="2610"/>
      <c r="M32" s="2610"/>
      <c r="N32" s="2438"/>
      <c r="O32" s="2449"/>
      <c r="P32" s="2438"/>
      <c r="Q32" s="2438"/>
      <c r="R32" s="2438"/>
      <c r="S32" s="2438"/>
      <c r="T32" s="2438"/>
      <c r="U32" s="2438"/>
      <c r="V32" s="2438"/>
    </row>
    <row r="33" spans="1:30">
      <c r="A33" s="3660"/>
      <c r="B33" s="2424"/>
      <c r="C33" s="1590" t="str">
        <f>IF(B33="现房","成新及维护状况是否正常",IF(B33="在建","工程状态是否正常",IF(B33="土地","是否闲置","-")))</f>
        <v>-</v>
      </c>
      <c r="D33" s="1365"/>
      <c r="E33" s="2425"/>
      <c r="F33" s="2661"/>
      <c r="G33" s="2661"/>
      <c r="H33" s="2661"/>
      <c r="I33" s="2661"/>
      <c r="J33" s="2438"/>
      <c r="K33" s="2613"/>
      <c r="L33" s="2610"/>
      <c r="M33" s="2610"/>
      <c r="N33" s="2438"/>
      <c r="O33" s="2449"/>
      <c r="P33" s="2438"/>
      <c r="Q33" s="2438"/>
      <c r="R33" s="2438"/>
      <c r="S33" s="2438"/>
      <c r="T33" s="2438"/>
      <c r="U33" s="2438"/>
      <c r="V33" s="2438"/>
    </row>
    <row r="34" spans="1:30">
      <c r="A34" s="302" t="s">
        <v>2220</v>
      </c>
      <c r="B34" s="2026" t="s">
        <v>3515</v>
      </c>
      <c r="C34" s="2026" t="s">
        <v>3516</v>
      </c>
      <c r="D34" s="2026" t="s">
        <v>3517</v>
      </c>
      <c r="E34" s="2026" t="s">
        <v>3518</v>
      </c>
      <c r="F34" s="2026" t="s">
        <v>3519</v>
      </c>
      <c r="G34" s="2026"/>
      <c r="H34" s="2026"/>
      <c r="I34" s="2661"/>
      <c r="J34" s="2438"/>
      <c r="K34" s="2426">
        <f>COUNTIF(B34:H34,"——")</f>
        <v>0</v>
      </c>
      <c r="L34" s="323" t="s">
        <v>2221</v>
      </c>
      <c r="M34" s="323" t="s">
        <v>2222</v>
      </c>
      <c r="N34" s="323" t="s">
        <v>2223</v>
      </c>
      <c r="O34" s="323" t="s">
        <v>2224</v>
      </c>
      <c r="P34" s="323" t="s">
        <v>2225</v>
      </c>
      <c r="Q34" s="323" t="s">
        <v>2226</v>
      </c>
      <c r="R34" s="323" t="s">
        <v>2227</v>
      </c>
      <c r="S34" s="3654" t="s">
        <v>2228</v>
      </c>
      <c r="T34" s="2427" t="str">
        <f>NUMBERSTRING(7-K34,1)&amp;"通"</f>
        <v>七通</v>
      </c>
      <c r="U34" s="2438"/>
      <c r="V34" s="2438"/>
    </row>
    <row r="35" spans="1:30">
      <c r="A35" s="2428"/>
      <c r="B35" s="3661" t="s">
        <v>2229</v>
      </c>
      <c r="C35" s="3661"/>
      <c r="D35" s="3661"/>
      <c r="E35" s="3661"/>
      <c r="F35" s="664">
        <f>C10</f>
        <v>0</v>
      </c>
      <c r="G35" s="2661"/>
      <c r="H35" s="2661"/>
      <c r="I35" s="2661"/>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654"/>
      <c r="T35" s="329" t="str">
        <f>IF(T34="一通",L35,IF(T34="二通",M35,IF(T34="三通",N35,IF(T34="四通",O35,IF(T34="五通",P35,IF(T34="六通",Q35,R35))))))</f>
        <v>通路、通电、通讯、通上水、通下水、、</v>
      </c>
      <c r="U35" s="2438"/>
      <c r="V35" s="2438"/>
    </row>
    <row r="36" spans="1:30">
      <c r="A36" s="2429"/>
      <c r="B36" s="664" t="s">
        <v>2185</v>
      </c>
      <c r="C36" s="664" t="s">
        <v>2186</v>
      </c>
      <c r="D36" s="664" t="s">
        <v>2184</v>
      </c>
      <c r="E36" s="664" t="s">
        <v>2189</v>
      </c>
      <c r="F36" s="3062" t="s">
        <v>2578</v>
      </c>
      <c r="G36" s="2661"/>
      <c r="H36" s="2661"/>
      <c r="I36" s="2661"/>
      <c r="J36" s="2438"/>
      <c r="K36" s="2613"/>
      <c r="L36" s="2610"/>
      <c r="M36" s="2610"/>
      <c r="N36" s="2438"/>
      <c r="O36" s="2449"/>
      <c r="P36" s="2438"/>
      <c r="Q36" s="2438"/>
      <c r="R36" s="2438"/>
      <c r="S36" s="2438"/>
      <c r="T36" s="2438"/>
      <c r="U36" s="2438"/>
      <c r="V36" s="2438"/>
    </row>
    <row r="37" spans="1:30">
      <c r="A37" s="2627" t="s">
        <v>2230</v>
      </c>
      <c r="B37" s="2430"/>
      <c r="C37" s="2430"/>
      <c r="D37" s="2430"/>
      <c r="E37" s="2430"/>
      <c r="F37" s="2430"/>
      <c r="G37" s="2661"/>
      <c r="H37" s="2661"/>
      <c r="I37" s="2661"/>
      <c r="J37" s="2438"/>
      <c r="K37" s="2613"/>
      <c r="L37" s="2610"/>
      <c r="M37" s="2610"/>
      <c r="N37" s="2438"/>
      <c r="O37" s="2449"/>
      <c r="P37" s="2438"/>
      <c r="Q37" s="2438"/>
      <c r="R37" s="2438"/>
      <c r="S37" s="2438"/>
      <c r="T37" s="2438"/>
      <c r="U37" s="2438"/>
      <c r="V37" s="2438"/>
    </row>
    <row r="38" spans="1:30" ht="13.5" thickBot="1">
      <c r="A38" s="2628" t="s">
        <v>2231</v>
      </c>
      <c r="B38" s="2431"/>
      <c r="C38" s="2431"/>
      <c r="D38" s="2431"/>
      <c r="E38" s="2431"/>
      <c r="F38" s="2431"/>
      <c r="G38" s="2662"/>
      <c r="H38" s="2662"/>
      <c r="I38" s="2662"/>
      <c r="J38" s="2438"/>
      <c r="K38" s="2613"/>
      <c r="L38" s="2610"/>
      <c r="M38" s="2610"/>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50"/>
      <c r="M40" s="2450"/>
      <c r="N40" s="2506"/>
      <c r="O40" s="2450"/>
      <c r="P40" s="2438"/>
      <c r="Q40" s="2438"/>
      <c r="R40" s="2438"/>
      <c r="S40" s="2438"/>
      <c r="T40" s="2438"/>
      <c r="U40" s="2438"/>
      <c r="V40" s="2438"/>
    </row>
    <row r="41" spans="1:30">
      <c r="A41" s="2435" t="s">
        <v>2233</v>
      </c>
      <c r="B41" s="1757"/>
      <c r="C41" s="1373"/>
      <c r="D41" s="2370"/>
      <c r="E41" s="2370"/>
      <c r="F41" s="2370"/>
      <c r="G41" s="2370"/>
      <c r="H41" s="2370"/>
      <c r="I41" s="1576"/>
      <c r="J41" s="2438"/>
      <c r="K41" s="2613"/>
      <c r="L41" s="2610"/>
      <c r="M41" s="2610"/>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642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642</v>
      </c>
      <c r="H5" s="13">
        <f t="shared" ref="H5:AT5" si="0">SUM(H13:H656)</f>
        <v>642</v>
      </c>
      <c r="I5" s="13">
        <f t="shared" si="0"/>
        <v>642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642</v>
      </c>
      <c r="BA5" s="15">
        <f t="shared" si="1"/>
        <v>642</v>
      </c>
      <c r="BB5" s="15">
        <f t="shared" si="1"/>
        <v>642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3520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3521</v>
      </c>
      <c r="E13" s="13">
        <f>IF($C$3="是",ROUND($A$3*G13/$B$3,2),ROUND($A$3*(G13-AT13)/$B$3,2))</f>
        <v>0</v>
      </c>
      <c r="F13" s="29"/>
      <c r="G13" s="30">
        <f>H13+AC13+AT13</f>
        <v>642</v>
      </c>
      <c r="H13" s="17">
        <f>SUMIF(I$12:AB$12,"总值",I13:AB13)</f>
        <v>642</v>
      </c>
      <c r="I13" s="1626">
        <v>642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642</v>
      </c>
      <c r="BA13" s="13">
        <f>SUM(BB13:BK13)</f>
        <v>642</v>
      </c>
      <c r="BB13" s="13">
        <f>IF($D13="是",I13-J13,0)</f>
        <v>642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693" t="s">
        <v>1131</v>
      </c>
      <c r="B2" s="3693"/>
      <c r="C2" s="3693"/>
      <c r="D2" s="796" t="s">
        <v>1107</v>
      </c>
      <c r="E2" s="1639" t="s">
        <v>1108</v>
      </c>
      <c r="F2" s="2656"/>
      <c r="G2" s="2647"/>
      <c r="H2" s="2648"/>
      <c r="I2" s="2325" t="s">
        <v>1132</v>
      </c>
      <c r="J2" s="2656"/>
      <c r="K2" s="2656"/>
      <c r="L2" s="2656"/>
      <c r="M2" s="2656"/>
      <c r="N2" s="2658"/>
      <c r="O2" s="2656"/>
      <c r="P2" s="2656"/>
    </row>
    <row r="3" spans="1:16" ht="15.75" thickBot="1">
      <c r="A3" s="3694" t="s">
        <v>1105</v>
      </c>
      <c r="B3" s="3694"/>
      <c r="C3" s="3694"/>
      <c r="D3" s="43">
        <f>'数据-基础表'!AY6</f>
        <v>0</v>
      </c>
      <c r="E3" s="43">
        <f>'数据-基础表'!AZ5</f>
        <v>642</v>
      </c>
      <c r="F3" s="2656"/>
      <c r="G3" s="1145"/>
      <c r="H3" s="1026" t="s">
        <v>1106</v>
      </c>
      <c r="I3" s="855" t="e">
        <f>ROUND('数据-基础表'!B3/'数据-基础表'!A3,2)</f>
        <v>#DIV/0!</v>
      </c>
      <c r="J3" s="2656"/>
      <c r="K3" s="2656"/>
      <c r="L3" s="2656"/>
      <c r="M3" s="2656"/>
      <c r="N3" s="2658"/>
      <c r="O3" s="2656"/>
      <c r="P3" s="2656"/>
    </row>
    <row r="4" spans="1:16" ht="15">
      <c r="A4" s="3695"/>
      <c r="B4" s="3696"/>
      <c r="C4" s="3697"/>
      <c r="D4" s="1641" t="s">
        <v>1107</v>
      </c>
      <c r="E4" s="1642" t="s">
        <v>1108</v>
      </c>
      <c r="F4" s="2656"/>
      <c r="G4" s="2649" t="s">
        <v>1133</v>
      </c>
      <c r="H4" s="1026" t="s">
        <v>1113</v>
      </c>
      <c r="I4" s="855" t="e">
        <f>ROUND(SUMIF('数据-基础表'!I9:AS9,"地上",'数据-基础表'!I5:AS5)/'数据-基础表'!A3,2)</f>
        <v>#DIV/0!</v>
      </c>
      <c r="J4" s="2656"/>
      <c r="K4" s="2656"/>
      <c r="L4" s="2656"/>
      <c r="M4" s="2656"/>
      <c r="N4" s="2658"/>
      <c r="O4" s="2656"/>
      <c r="P4" s="2656"/>
    </row>
    <row r="5" spans="1:16">
      <c r="A5" s="44" t="s">
        <v>1109</v>
      </c>
      <c r="B5" s="3698" t="s">
        <v>1110</v>
      </c>
      <c r="C5" s="3698"/>
      <c r="D5" s="45">
        <f>ROUND($D$3*E5/$E$3,2)</f>
        <v>0</v>
      </c>
      <c r="E5" s="46">
        <f>SUMIF('数据-基础表'!$11:$11,"住宅",'数据-基础表'!$5:$5)</f>
        <v>0</v>
      </c>
      <c r="F5" s="2656"/>
      <c r="G5" s="1145"/>
      <c r="H5" s="1026" t="s">
        <v>1106</v>
      </c>
      <c r="I5" s="855" t="e">
        <f>ROUND(E31/D31,2)</f>
        <v>#DIV/0!</v>
      </c>
      <c r="J5" s="2656"/>
      <c r="K5" s="2656"/>
      <c r="L5" s="2656"/>
      <c r="M5" s="2656"/>
      <c r="N5" s="2656"/>
      <c r="O5" s="2656"/>
      <c r="P5" s="2656"/>
    </row>
    <row r="6" spans="1:16" ht="15" thickBot="1">
      <c r="A6" s="1644"/>
      <c r="B6" s="3698" t="s">
        <v>1111</v>
      </c>
      <c r="C6" s="3698"/>
      <c r="D6" s="45">
        <f>ROUND($D$3*E6/$E$3,2)</f>
        <v>0</v>
      </c>
      <c r="E6" s="46">
        <f>E3-E5</f>
        <v>642</v>
      </c>
      <c r="F6" s="2656"/>
      <c r="G6" s="2650" t="s">
        <v>1112</v>
      </c>
      <c r="H6" s="1146" t="s">
        <v>1113</v>
      </c>
      <c r="I6" s="2651" t="e">
        <f>ROUND(F31/D31,2)</f>
        <v>#DIV/0!</v>
      </c>
      <c r="J6" s="2656"/>
      <c r="K6" s="2656"/>
      <c r="L6" s="2656"/>
      <c r="M6" s="2656"/>
      <c r="N6" s="2656"/>
      <c r="O6" s="2656"/>
      <c r="P6" s="2656"/>
    </row>
    <row r="7" spans="1:16" ht="15.75" thickBot="1">
      <c r="A7" s="3690"/>
      <c r="B7" s="3691"/>
      <c r="C7" s="3692"/>
      <c r="D7" s="1641" t="s">
        <v>1107</v>
      </c>
      <c r="E7" s="1645" t="s">
        <v>1114</v>
      </c>
      <c r="F7" s="2656"/>
      <c r="G7" s="2652" t="s">
        <v>1115</v>
      </c>
      <c r="H7" s="2653"/>
      <c r="I7" s="2654">
        <v>2.5</v>
      </c>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642</v>
      </c>
      <c r="F8" s="2656"/>
      <c r="G8" s="2657"/>
      <c r="H8" s="2657"/>
      <c r="I8" s="2656"/>
      <c r="J8" s="2656"/>
      <c r="K8" s="2656"/>
      <c r="L8" s="2656"/>
      <c r="M8" s="2656"/>
      <c r="N8" s="2656"/>
      <c r="O8" s="2656"/>
      <c r="P8" s="2656"/>
    </row>
    <row r="9" spans="1:16">
      <c r="A9" s="1646"/>
      <c r="B9" s="1647"/>
      <c r="C9" s="45" t="s">
        <v>1119</v>
      </c>
      <c r="D9" s="45">
        <f t="shared" si="0"/>
        <v>0</v>
      </c>
      <c r="E9" s="49">
        <v>0</v>
      </c>
      <c r="F9" s="2656"/>
      <c r="G9" s="2657"/>
      <c r="H9" s="2657"/>
      <c r="I9" s="2656"/>
      <c r="J9" s="2656"/>
      <c r="K9" s="2656"/>
      <c r="L9" s="2656"/>
      <c r="M9" s="2656"/>
      <c r="N9" s="2656"/>
      <c r="O9" s="2656"/>
      <c r="P9" s="2656"/>
    </row>
    <row r="10" spans="1:16">
      <c r="A10" s="1646"/>
      <c r="B10" s="1647"/>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1123</v>
      </c>
      <c r="D16" s="47">
        <f>SUM(D8:D15)</f>
        <v>0</v>
      </c>
      <c r="E16" s="50">
        <f>SUM(E8:E15)</f>
        <v>642</v>
      </c>
      <c r="F16" s="2656"/>
      <c r="G16" s="2657"/>
      <c r="H16" s="1648" t="s">
        <v>1135</v>
      </c>
      <c r="I16" s="1649"/>
      <c r="J16" s="1139"/>
      <c r="K16" s="3687" t="s">
        <v>1135</v>
      </c>
      <c r="L16" s="3688"/>
      <c r="M16" s="3688"/>
      <c r="N16" s="3688"/>
      <c r="O16" s="3688"/>
      <c r="P16" s="3689"/>
    </row>
    <row r="17" spans="1:19" ht="15">
      <c r="A17" s="1650" t="s">
        <v>1136</v>
      </c>
      <c r="B17" s="1651" t="s">
        <v>1137</v>
      </c>
      <c r="C17" s="1652" t="s">
        <v>1138</v>
      </c>
      <c r="D17" s="1653" t="s">
        <v>1126</v>
      </c>
      <c r="E17" s="1654" t="s">
        <v>1127</v>
      </c>
      <c r="F17" s="1655"/>
      <c r="G17" s="1656"/>
      <c r="H17" s="1657" t="s">
        <v>1139</v>
      </c>
      <c r="I17" s="1658" t="s">
        <v>1124</v>
      </c>
      <c r="J17" s="1139"/>
      <c r="K17" s="3684" t="s">
        <v>1140</v>
      </c>
      <c r="L17" s="3685"/>
      <c r="M17" s="3686"/>
      <c r="N17" s="3684" t="s">
        <v>1141</v>
      </c>
      <c r="O17" s="3685"/>
      <c r="P17" s="368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4" t="s">
        <v>3522</v>
      </c>
      <c r="D19" s="45">
        <f>ROUND($D$3*E19/$E$3,2)</f>
        <v>0</v>
      </c>
      <c r="E19" s="53">
        <f t="shared" ref="E19:E26" si="1">SUM(F19:G19)</f>
        <v>642</v>
      </c>
      <c r="F19" s="2792">
        <f>'数据-基础表'!I5</f>
        <v>642</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642</v>
      </c>
    </row>
    <row r="20" spans="1:19">
      <c r="A20" s="1670"/>
      <c r="B20" s="47" t="s">
        <v>1153</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642</v>
      </c>
      <c r="F27" s="1140">
        <f>IF(SUM(F19:F26)=E8,SUM(F19:F26),"地上面积有误")</f>
        <v>642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642</v>
      </c>
    </row>
    <row r="28" spans="1:19">
      <c r="A28" s="1670"/>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1154</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1158</v>
      </c>
      <c r="D31" s="676">
        <f>D27+D30</f>
        <v>0</v>
      </c>
      <c r="E31" s="676">
        <f>E27+E30</f>
        <v>642</v>
      </c>
      <c r="F31" s="677">
        <f>F27+F30</f>
        <v>642</v>
      </c>
      <c r="G31" s="678">
        <f>G27+G30</f>
        <v>0</v>
      </c>
      <c r="H31" s="2656"/>
      <c r="I31" s="2656"/>
      <c r="J31" s="2656"/>
      <c r="K31" s="2656"/>
      <c r="L31" s="2656"/>
      <c r="M31" s="2656"/>
      <c r="N31" s="2656"/>
      <c r="O31" s="2656"/>
      <c r="P31" s="2656"/>
    </row>
    <row r="32" spans="1:19">
      <c r="A32" s="1643"/>
      <c r="B32" s="1643" t="s">
        <v>1159</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AN6" sqref="AN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1161</v>
      </c>
      <c r="B2" s="1045">
        <f>项目基本情况!D3</f>
        <v>45426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3525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1层</v>
      </c>
      <c r="B6" s="1713" t="str">
        <f>IF(A6=0,"","经营性")</f>
        <v>经营性</v>
      </c>
      <c r="C6" s="1714" t="s">
        <v>673</v>
      </c>
      <c r="D6" s="858">
        <f>SUMIF(项目基本情况!C$12:I$12,C6,项目基本情况!C$14:I$14)</f>
        <v>40</v>
      </c>
      <c r="E6" s="857">
        <f>IF(B6="","",SUMIF(项目基本情况!C$12:I$12,C6,项目基本情况!C$13:I$13))</f>
        <v>0</v>
      </c>
      <c r="F6" s="64">
        <f>SUMIF(项目基本情况!C$12:I$12,C6,项目基本情况!C$15:I$15)</f>
        <v>0</v>
      </c>
      <c r="G6" s="65">
        <f>IF(ISERROR(ROUND(POWER(1+H6,D6-F6)*(POWER(1+H6,F6)-1)/(POWER(1+H6,D6)-1),3)),0,ROUND(POWER(1+H6,D6-F6)*(POWER(1+H6,F6)-1)/(POWER(1+H6,D6)-1),3))</f>
        <v>0</v>
      </c>
      <c r="H6" s="732">
        <v>0.05</v>
      </c>
      <c r="I6" s="732">
        <v>0.06</v>
      </c>
      <c r="J6" s="66">
        <v>7.0000000000000007E-2</v>
      </c>
      <c r="K6" s="1030">
        <f>SUMIF('数据-汇总表'!C$19:C$33,A6,'数据-汇总表'!E$19:E$33)</f>
        <v>642</v>
      </c>
      <c r="L6" s="733">
        <v>4500</v>
      </c>
      <c r="M6" s="67">
        <f t="shared" ref="M6:M14" si="0">ROUND(K6*L6/10000,0)</f>
        <v>289</v>
      </c>
      <c r="N6" s="731">
        <f>N20</f>
        <v>0.77500000000000002</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5">
        <v>13</v>
      </c>
      <c r="V6" s="70">
        <v>2.5000000000000001E-2</v>
      </c>
      <c r="W6" s="70">
        <v>0.05</v>
      </c>
      <c r="X6" s="1040"/>
      <c r="Y6" s="71">
        <f>N6</f>
        <v>0.77500000000000002</v>
      </c>
      <c r="Z6" s="72"/>
      <c r="AA6" s="66"/>
      <c r="AB6" s="66"/>
      <c r="AC6" s="1040"/>
      <c r="AD6" s="73"/>
      <c r="AE6" s="1041">
        <f ca="1">IF(AN6="",0,SUMIF(INDIRECT("'"&amp;AN6&amp;"'"&amp;"!E:E"),$AE$5,INDIRECT("'"&amp;AN6&amp;"'"&amp;"!F:F")))</f>
        <v>0</v>
      </c>
      <c r="AF6" s="1348"/>
      <c r="AG6" s="138">
        <f>IF(AF6="",0,AE6-AF6)</f>
        <v>0</v>
      </c>
      <c r="AH6" s="74"/>
      <c r="AI6" s="76">
        <v>365</v>
      </c>
      <c r="AJ6" s="77"/>
      <c r="AK6" s="78">
        <v>1.4999999999999999E-2</v>
      </c>
      <c r="AL6" s="79">
        <v>1.5E-3</v>
      </c>
      <c r="AM6" s="80">
        <v>0.01</v>
      </c>
      <c r="AN6" s="1715" t="s">
        <v>3575</v>
      </c>
      <c r="AO6" s="52">
        <f ca="1">SUMIF(INDIRECT("'"&amp;AN6&amp;"'"&amp;"!A:A"),"总价",INDIRECT("'"&amp;AN6&amp;"'"&amp;"!B:B"))</f>
        <v>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f>ROUND(SUMPRODUCT(H6:H13,K6:K13)/SUMPRODUCT((H6:H13&gt;0)*(K6:K13)),3)</f>
        <v>0.05</v>
      </c>
      <c r="I16" s="91"/>
      <c r="J16" s="91"/>
      <c r="K16" s="92">
        <f>SUM(K6:K15)</f>
        <v>642</v>
      </c>
      <c r="L16" s="93">
        <f>ROUND(M16*10000/SUM(K6:K14),0)</f>
        <v>4502</v>
      </c>
      <c r="M16" s="93">
        <f>SUM(M6:M14)</f>
        <v>289</v>
      </c>
      <c r="N16" s="94">
        <f>ROUND(SUMPRODUCT(M6:M14,N6:N14)/M16,3)</f>
        <v>0.77500000000000002</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3528" t="s">
        <v>3523</v>
      </c>
      <c r="N17" s="2668">
        <v>2008</v>
      </c>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3528" t="s">
        <v>3524</v>
      </c>
      <c r="N18" s="2668">
        <f>ROUND(1-(2023-N17)/60,2)</f>
        <v>0.75</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1211</v>
      </c>
      <c r="B19" s="103">
        <v>0</v>
      </c>
      <c r="C19" s="2796" t="s">
        <v>2301</v>
      </c>
      <c r="D19" s="2673"/>
      <c r="E19" s="2670"/>
      <c r="F19" s="2670"/>
      <c r="G19" s="2670"/>
      <c r="H19" s="2670"/>
      <c r="I19" s="2670"/>
      <c r="J19" s="2670"/>
      <c r="K19" s="2669"/>
      <c r="L19" s="2669"/>
      <c r="M19" s="3528" t="s">
        <v>3576</v>
      </c>
      <c r="N19" s="3545">
        <v>0.8</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1212</v>
      </c>
      <c r="B20" s="104">
        <v>2</v>
      </c>
      <c r="C20" s="2797" t="s">
        <v>2299</v>
      </c>
      <c r="D20" s="2673"/>
      <c r="E20" s="2670"/>
      <c r="F20" s="2670"/>
      <c r="G20" s="2670"/>
      <c r="H20" s="2670"/>
      <c r="I20" s="2670"/>
      <c r="J20" s="2670"/>
      <c r="K20" s="2669"/>
      <c r="L20" s="2669"/>
      <c r="M20" s="2668"/>
      <c r="N20" s="2668">
        <f>(N19+N18)/2</f>
        <v>0.77500000000000002</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1213</v>
      </c>
      <c r="B21" s="104">
        <f>B20</f>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1217</v>
      </c>
      <c r="B26" s="1726"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1220</v>
      </c>
      <c r="B27" s="107">
        <v>160</v>
      </c>
      <c r="C27" s="2798" t="s">
        <v>2303</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(元)'!C10/10000</f>
        <v>12.84</v>
      </c>
      <c r="C29" s="2799" t="s">
        <v>2290</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0" t="s">
        <v>2291</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0" t="s">
        <v>2292</v>
      </c>
      <c r="D34" s="2681" t="s">
        <v>2300</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800" t="s">
        <v>2293</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0" t="s">
        <v>2294</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1230</v>
      </c>
      <c r="B37" s="115">
        <v>0.02</v>
      </c>
      <c r="C37" s="2800" t="s">
        <v>2295</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1231</v>
      </c>
      <c r="B38" s="113">
        <v>0.02</v>
      </c>
      <c r="C38" s="2800" t="s">
        <v>2295</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3577</v>
      </c>
      <c r="B40" s="1078">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1236</v>
      </c>
      <c r="B44" s="119">
        <v>7.0000000000000007E-2</v>
      </c>
      <c r="C44" s="2800" t="s">
        <v>2304</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1237</v>
      </c>
      <c r="B45" s="117">
        <v>0.03</v>
      </c>
      <c r="C45" s="2799" t="s">
        <v>2296</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1238</v>
      </c>
      <c r="B46" s="117">
        <v>0.02</v>
      </c>
      <c r="C46" s="2799" t="s">
        <v>2297</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1239</v>
      </c>
      <c r="B47" s="120">
        <v>0</v>
      </c>
      <c r="C47" s="2802" t="s">
        <v>2305</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1240</v>
      </c>
      <c r="B48" s="121">
        <v>0.03</v>
      </c>
      <c r="C48" s="2799" t="s">
        <v>2296</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1241</v>
      </c>
      <c r="B49" s="117">
        <v>5.0000000000000001E-4</v>
      </c>
      <c r="C49" s="2799" t="s">
        <v>2298</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1244</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1245</v>
      </c>
      <c r="B53" s="1738"/>
      <c r="C53" s="2658" t="s">
        <v>1246</v>
      </c>
      <c r="D53" s="2801" t="s">
        <v>2302</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1252</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6" customFormat="1" ht="18.75" thickBot="1">
      <c r="A1" s="3699" t="s">
        <v>2282</v>
      </c>
      <c r="B1" s="3700"/>
      <c r="C1" s="3700"/>
      <c r="D1" s="3700"/>
      <c r="E1" s="3700"/>
      <c r="F1" s="3700"/>
      <c r="G1" s="3700"/>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9"/>
      <c r="I2" s="799"/>
      <c r="J2" s="799"/>
      <c r="K2" s="799"/>
      <c r="L2" s="799"/>
      <c r="M2" s="799"/>
      <c r="N2" s="799"/>
      <c r="O2" s="799"/>
      <c r="P2" s="799"/>
      <c r="Q2" s="799"/>
      <c r="R2" s="799"/>
    </row>
    <row r="3" spans="1:29" ht="25.5">
      <c r="A3" s="2440" t="s">
        <v>2280</v>
      </c>
      <c r="B3" s="2462" t="s">
        <v>2252</v>
      </c>
      <c r="C3" s="3529" t="s">
        <v>3526</v>
      </c>
      <c r="D3" s="2463"/>
      <c r="E3" s="2441" t="s">
        <v>2280</v>
      </c>
      <c r="F3" s="2464" t="s">
        <v>2253</v>
      </c>
      <c r="G3" s="2465" t="s">
        <v>2281</v>
      </c>
      <c r="H3" s="799"/>
      <c r="I3" s="799"/>
      <c r="J3" s="799"/>
      <c r="K3" s="799"/>
      <c r="L3" s="799"/>
      <c r="M3" s="799"/>
      <c r="N3" s="799"/>
      <c r="O3" s="799"/>
      <c r="P3" s="799"/>
      <c r="Q3" s="799"/>
      <c r="R3" s="799"/>
    </row>
    <row r="4" spans="1:29" ht="36">
      <c r="A4" s="2441"/>
      <c r="B4" s="323" t="s">
        <v>2254</v>
      </c>
      <c r="C4" s="3530" t="s">
        <v>3578</v>
      </c>
      <c r="D4" s="2463"/>
      <c r="E4" s="2466"/>
      <c r="F4" s="1373" t="s">
        <v>2255</v>
      </c>
      <c r="G4" s="2467" t="s">
        <v>2256</v>
      </c>
      <c r="H4" s="799"/>
      <c r="I4" s="799"/>
      <c r="J4" s="799"/>
      <c r="K4" s="799"/>
      <c r="L4" s="799"/>
      <c r="M4" s="799"/>
      <c r="N4" s="799"/>
      <c r="O4" s="799"/>
      <c r="P4" s="799"/>
      <c r="Q4" s="799"/>
      <c r="R4" s="799"/>
    </row>
    <row r="5" spans="1:29" ht="24">
      <c r="A5" s="2441"/>
      <c r="B5" s="323" t="s">
        <v>2257</v>
      </c>
      <c r="C5" s="3530" t="s">
        <v>3527</v>
      </c>
      <c r="D5" s="2463"/>
      <c r="E5" s="2466"/>
      <c r="F5" s="323" t="s">
        <v>2258</v>
      </c>
      <c r="G5" s="2467" t="s">
        <v>2259</v>
      </c>
      <c r="H5" s="799"/>
      <c r="I5" s="799"/>
      <c r="J5" s="799"/>
      <c r="K5" s="799"/>
      <c r="L5" s="799"/>
      <c r="M5" s="799"/>
      <c r="N5" s="799"/>
      <c r="O5" s="799"/>
      <c r="P5" s="799"/>
      <c r="Q5" s="799"/>
      <c r="R5" s="799"/>
    </row>
    <row r="6" spans="1:29">
      <c r="A6" s="2441"/>
      <c r="B6" s="323" t="s">
        <v>2260</v>
      </c>
      <c r="C6" s="3531" t="s">
        <v>3527</v>
      </c>
      <c r="D6" s="2463"/>
      <c r="E6" s="2466"/>
      <c r="F6" s="323" t="s">
        <v>2261</v>
      </c>
      <c r="G6" s="2467" t="s">
        <v>2262</v>
      </c>
      <c r="H6" s="799"/>
      <c r="I6" s="799"/>
      <c r="J6" s="799"/>
      <c r="K6" s="799"/>
      <c r="L6" s="799"/>
      <c r="M6" s="799"/>
      <c r="N6" s="799"/>
      <c r="O6" s="799"/>
      <c r="P6" s="799"/>
      <c r="Q6" s="799"/>
      <c r="R6" s="799"/>
    </row>
    <row r="7" spans="1:29" ht="24.75" thickBot="1">
      <c r="A7" s="2441"/>
      <c r="B7" s="323" t="s">
        <v>2258</v>
      </c>
      <c r="C7" s="3531" t="s">
        <v>3527</v>
      </c>
      <c r="D7" s="2468"/>
      <c r="E7" s="2469"/>
      <c r="F7" s="2470" t="s">
        <v>2263</v>
      </c>
      <c r="G7" s="2471" t="s">
        <v>2264</v>
      </c>
      <c r="H7" s="799"/>
      <c r="I7" s="799"/>
      <c r="J7" s="799"/>
      <c r="K7" s="799"/>
      <c r="L7" s="799"/>
      <c r="M7" s="799"/>
      <c r="N7" s="799"/>
      <c r="O7" s="799"/>
      <c r="P7" s="799"/>
      <c r="Q7" s="799"/>
      <c r="R7" s="799"/>
    </row>
    <row r="8" spans="1:29">
      <c r="A8" s="2441"/>
      <c r="B8" s="323" t="s">
        <v>2261</v>
      </c>
      <c r="C8" s="3531" t="s">
        <v>3528</v>
      </c>
      <c r="D8" s="2468"/>
      <c r="E8" s="2468"/>
      <c r="F8" s="2472"/>
      <c r="G8" s="2472"/>
      <c r="H8" s="799"/>
      <c r="I8" s="799"/>
      <c r="J8" s="799"/>
      <c r="K8" s="799"/>
      <c r="L8" s="799"/>
      <c r="M8" s="799"/>
      <c r="N8" s="799"/>
      <c r="O8" s="799"/>
      <c r="P8" s="799"/>
      <c r="Q8" s="799"/>
      <c r="R8" s="799"/>
    </row>
    <row r="9" spans="1:29">
      <c r="A9" s="2441"/>
      <c r="B9" s="323" t="s">
        <v>2265</v>
      </c>
      <c r="C9" s="3530" t="s">
        <v>3527</v>
      </c>
      <c r="D9" s="2463"/>
      <c r="E9" s="2468"/>
      <c r="F9" s="2472"/>
      <c r="G9" s="2472"/>
      <c r="H9" s="799"/>
      <c r="I9" s="799"/>
      <c r="J9" s="799"/>
      <c r="K9" s="799"/>
      <c r="L9" s="799"/>
      <c r="M9" s="799"/>
      <c r="N9" s="799"/>
      <c r="O9" s="799"/>
      <c r="P9" s="799"/>
      <c r="Q9" s="799"/>
      <c r="R9" s="799"/>
    </row>
    <row r="10" spans="1:29" s="2478" customFormat="1" ht="15" thickBot="1">
      <c r="A10" s="2442"/>
      <c r="B10" s="2473" t="s">
        <v>2266</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2283</v>
      </c>
      <c r="B13" s="2481"/>
      <c r="C13" s="2481"/>
      <c r="D13" s="2479"/>
      <c r="E13" s="2481"/>
      <c r="F13" s="2481"/>
      <c r="G13" s="2481"/>
    </row>
    <row r="14" spans="1:29" ht="15" thickBot="1">
      <c r="A14" s="2491"/>
      <c r="B14" s="2491"/>
      <c r="C14" s="2492" t="s">
        <v>2267</v>
      </c>
      <c r="D14" s="2463"/>
      <c r="E14" s="2493"/>
      <c r="F14" s="2493"/>
      <c r="G14" s="2459" t="s">
        <v>2268</v>
      </c>
    </row>
    <row r="15" spans="1:29" ht="25.5">
      <c r="A15" s="2443" t="s">
        <v>2269</v>
      </c>
      <c r="B15" s="2494" t="s">
        <v>2252</v>
      </c>
      <c r="C15" s="2495" t="str">
        <f>C3</f>
        <v>较好</v>
      </c>
      <c r="D15" s="2463"/>
      <c r="E15" s="2444" t="s">
        <v>2270</v>
      </c>
      <c r="F15" s="2494" t="s">
        <v>2271</v>
      </c>
      <c r="G15" s="2496" t="str">
        <f>G3</f>
        <v>估价对象位于XX开发区，园区建设成熟度XX，产业集聚程度XX</v>
      </c>
    </row>
    <row r="16" spans="1:29" ht="38.25">
      <c r="A16" s="2445"/>
      <c r="B16" s="2497" t="s">
        <v>2254</v>
      </c>
      <c r="C16" s="2498" t="str">
        <f>C4</f>
        <v>较好</v>
      </c>
      <c r="D16" s="2463"/>
      <c r="E16" s="2446"/>
      <c r="F16" s="2499" t="s">
        <v>2255</v>
      </c>
      <c r="G16" s="2500" t="str">
        <f>G4</f>
        <v>估价对象周边道路状况、公共交通通达情况、停车便捷程度，综合评价交通便捷度较好</v>
      </c>
    </row>
    <row r="17" spans="1:18">
      <c r="A17" s="2445"/>
      <c r="B17" s="2497" t="s">
        <v>2257</v>
      </c>
      <c r="C17" s="2498" t="str">
        <f>C5</f>
        <v>较好</v>
      </c>
      <c r="D17" s="2468"/>
      <c r="E17" s="2446"/>
      <c r="F17" s="2499" t="s">
        <v>2272</v>
      </c>
      <c r="G17" s="2501"/>
    </row>
    <row r="18" spans="1:18" ht="25.5">
      <c r="A18" s="2445"/>
      <c r="B18" s="2499" t="s">
        <v>2260</v>
      </c>
      <c r="C18" s="2500" t="str">
        <f>C6</f>
        <v>较好</v>
      </c>
      <c r="D18" s="2468"/>
      <c r="E18" s="2446"/>
      <c r="F18" s="2499" t="s">
        <v>2263</v>
      </c>
      <c r="G18" s="2500" t="str">
        <f>G7</f>
        <v>该园区内是否有污染型企业，绿化情况，卫生条件，整体环境状况判断</v>
      </c>
    </row>
    <row r="19" spans="1:18" ht="25.5">
      <c r="A19" s="2445"/>
      <c r="B19" s="2499" t="s">
        <v>2273</v>
      </c>
      <c r="C19" s="2501"/>
      <c r="D19" s="2463"/>
      <c r="E19" s="2446"/>
      <c r="F19" s="323" t="s">
        <v>2258</v>
      </c>
      <c r="G19" s="2500" t="str">
        <f>G5</f>
        <v>估价对象所在区域公共配套设施齐备情况</v>
      </c>
    </row>
    <row r="20" spans="1:18">
      <c r="A20" s="2445"/>
      <c r="B20" s="2499" t="s">
        <v>2274</v>
      </c>
      <c r="C20" s="2498" t="str">
        <f>C9</f>
        <v>较好</v>
      </c>
      <c r="D20" s="2468"/>
      <c r="E20" s="2446"/>
      <c r="F20" s="323" t="s">
        <v>2261</v>
      </c>
      <c r="G20" s="2500" t="str">
        <f>G6</f>
        <v>估价对象所在区域基础设施水平</v>
      </c>
    </row>
    <row r="21" spans="1:18">
      <c r="A21" s="2445"/>
      <c r="B21" s="323" t="s">
        <v>2258</v>
      </c>
      <c r="C21" s="2500" t="str">
        <f>C7</f>
        <v>较好</v>
      </c>
      <c r="D21" s="2463"/>
      <c r="E21" s="2446"/>
      <c r="F21" s="2499" t="s">
        <v>2275</v>
      </c>
      <c r="G21" s="2502"/>
    </row>
    <row r="22" spans="1:18" ht="13.5" customHeight="1">
      <c r="A22" s="2445"/>
      <c r="B22" s="323" t="s">
        <v>2261</v>
      </c>
      <c r="C22" s="2500" t="str">
        <f>C8</f>
        <v>七通</v>
      </c>
      <c r="D22" s="2463"/>
      <c r="E22" s="2446"/>
      <c r="F22" s="2499" t="s">
        <v>2266</v>
      </c>
      <c r="G22" s="2501"/>
    </row>
    <row r="23" spans="1:18" s="799" customFormat="1" ht="15" thickBot="1">
      <c r="A23" s="2445"/>
      <c r="B23" s="2499" t="s">
        <v>2275</v>
      </c>
      <c r="C23" s="2502"/>
      <c r="D23" s="1741"/>
      <c r="E23" s="2447"/>
      <c r="F23" s="2503" t="s">
        <v>2276</v>
      </c>
      <c r="G23" s="2504"/>
      <c r="H23" s="2488"/>
      <c r="I23" s="2489"/>
      <c r="J23" s="2488"/>
      <c r="K23" s="2488"/>
      <c r="L23" s="2489"/>
      <c r="M23" s="2488"/>
      <c r="N23" s="2488"/>
      <c r="O23" s="2489"/>
      <c r="P23" s="2488"/>
      <c r="Q23" s="2488"/>
      <c r="R23" s="2490"/>
    </row>
    <row r="24" spans="1:18" s="799" customFormat="1" ht="15" thickBot="1">
      <c r="A24" s="2448"/>
      <c r="B24" s="2503" t="s">
        <v>2277</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K19" sqref="K19"/>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642</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45426</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SUM(D14:D23)</f>
        <v>4242</v>
      </c>
      <c r="C5" s="2509" t="e">
        <f ca="1">IF(B5=D14,结果表!H102,ROUND(B5*10000/$B$1,0))</f>
        <v>#DIV/0!</v>
      </c>
      <c r="D5" s="2509" t="e">
        <f>ROUND(B5*10000/$B$2,0)</f>
        <v>#DIV/0!</v>
      </c>
      <c r="E5" s="2683"/>
      <c r="F5" s="2684"/>
      <c r="G5" s="2684"/>
      <c r="H5" s="2685"/>
      <c r="I5" s="2685"/>
      <c r="J5" s="2685"/>
      <c r="K5" s="2685"/>
    </row>
    <row r="6" spans="1:11" ht="16.5">
      <c r="A6" s="2509" t="s">
        <v>656</v>
      </c>
      <c r="B6" s="2509">
        <f>SUM(G14:G23)</f>
        <v>4242</v>
      </c>
      <c r="C6" s="2509" t="e">
        <f ca="1">IF(B6=G14,结果表!H108,ROUND(B6*10000/$B$1,0))</f>
        <v>#DIV/0!</v>
      </c>
      <c r="D6" s="2509" t="e">
        <f>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4242</v>
      </c>
      <c r="C10" s="2509" t="s">
        <v>3357</v>
      </c>
      <c r="D10" s="2509" t="s">
        <v>3358</v>
      </c>
      <c r="E10" s="3438">
        <f>'比较法-商业'!C49</f>
        <v>10.5</v>
      </c>
      <c r="F10" s="3441" t="s">
        <v>3359</v>
      </c>
      <c r="G10" s="3544">
        <v>5.8000000000000003E-2</v>
      </c>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'数据-汇总表'!F19</f>
        <v>642</v>
      </c>
      <c r="C14" s="2515"/>
      <c r="D14" s="2515">
        <f>B10</f>
        <v>4242</v>
      </c>
      <c r="E14" s="2515">
        <f>ROUND(D14*10000/B14,0)</f>
        <v>66075</v>
      </c>
      <c r="F14" s="2515" t="e">
        <f>ROUND(D14*10000/C14,0)</f>
        <v>#DIV/0!</v>
      </c>
      <c r="G14" s="2515">
        <f>D14</f>
        <v>4242</v>
      </c>
      <c r="H14" s="2515"/>
      <c r="I14" s="2515"/>
      <c r="J14" s="2684" t="s">
        <v>3793</v>
      </c>
      <c r="K14" s="2685"/>
    </row>
    <row r="15" spans="1:11" ht="16.5">
      <c r="A15" s="2514" t="s">
        <v>649</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648</v>
      </c>
      <c r="B16" s="2516"/>
      <c r="C16" s="2516"/>
      <c r="D16" s="2516"/>
      <c r="E16" s="2515" t="e">
        <f t="shared" si="0"/>
        <v>#DIV/0!</v>
      </c>
      <c r="F16" s="2515" t="e">
        <f t="shared" si="1"/>
        <v>#DIV/0!</v>
      </c>
      <c r="G16" s="1331"/>
      <c r="H16" s="1331"/>
      <c r="I16" s="2516"/>
      <c r="J16" s="2685"/>
      <c r="K16" s="2685"/>
    </row>
    <row r="17" spans="1:11" ht="16.5">
      <c r="A17" s="2514" t="s">
        <v>647</v>
      </c>
      <c r="B17" s="2516"/>
      <c r="C17" s="2516"/>
      <c r="D17" s="2516"/>
      <c r="E17" s="2515" t="e">
        <f t="shared" si="0"/>
        <v>#DIV/0!</v>
      </c>
      <c r="F17" s="2515" t="e">
        <f t="shared" si="1"/>
        <v>#DIV/0!</v>
      </c>
      <c r="G17" s="1331"/>
      <c r="H17" s="1331"/>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K24" sqref="K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3504</v>
      </c>
      <c r="D1" s="1747"/>
      <c r="E1" s="1747"/>
      <c r="F1" s="1749" t="s">
        <v>1263</v>
      </c>
      <c r="G1" s="1561" t="s">
        <v>3570</v>
      </c>
      <c r="H1" s="1750" t="str">
        <f>IF(G1="现房","——","估价对象范围")</f>
        <v>——</v>
      </c>
      <c r="I1" s="1751" t="s">
        <v>3571</v>
      </c>
    </row>
    <row r="2" spans="1:12" ht="21.75" customHeight="1" thickBot="1">
      <c r="A2" s="3735" t="str">
        <f>项目基本情况!S2</f>
        <v>北京市石景山区玉泉西里一区2号楼1层107房地产</v>
      </c>
      <c r="B2" s="3736"/>
      <c r="C2" s="3736"/>
      <c r="D2" s="3736"/>
      <c r="E2" s="3736"/>
      <c r="F2" s="3736"/>
      <c r="G2" s="3736"/>
      <c r="H2" s="3736"/>
      <c r="I2" s="3737"/>
    </row>
    <row r="3" spans="1:12" ht="12.75">
      <c r="A3" s="3739" t="s">
        <v>1264</v>
      </c>
      <c r="B3" s="3740"/>
      <c r="C3" s="3740"/>
      <c r="D3" s="3740"/>
      <c r="E3" s="3740"/>
      <c r="F3" s="3740"/>
      <c r="G3" s="3740"/>
      <c r="H3" s="3740"/>
      <c r="I3" s="3740"/>
    </row>
    <row r="4" spans="1:12" ht="14.25">
      <c r="A4" s="1754" t="s">
        <v>1265</v>
      </c>
      <c r="B4" s="1755" t="s">
        <v>1266</v>
      </c>
      <c r="C4" s="1756"/>
      <c r="D4" s="1756"/>
      <c r="E4" s="3741" t="s">
        <v>1267</v>
      </c>
      <c r="F4" s="3742"/>
      <c r="G4" s="3742"/>
      <c r="H4" s="3742"/>
      <c r="I4" s="3743"/>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715" t="s">
        <v>1268</v>
      </c>
      <c r="B5" s="3702">
        <v>25</v>
      </c>
      <c r="C5" s="3718"/>
      <c r="D5" s="3738"/>
      <c r="E5" s="131" t="s">
        <v>1269</v>
      </c>
      <c r="F5" s="1757"/>
      <c r="G5" s="1757"/>
      <c r="H5" s="1757"/>
      <c r="I5" s="1373"/>
    </row>
    <row r="6" spans="1:12" ht="12.75">
      <c r="A6" s="3715"/>
      <c r="B6" s="3702"/>
      <c r="C6" s="3719"/>
      <c r="D6" s="3738"/>
      <c r="E6" s="131" t="s">
        <v>1270</v>
      </c>
      <c r="F6" s="1757"/>
      <c r="G6" s="1757"/>
      <c r="H6" s="1757"/>
      <c r="I6" s="1373"/>
    </row>
    <row r="7" spans="1:12" ht="12.75">
      <c r="A7" s="3715"/>
      <c r="B7" s="3702"/>
      <c r="C7" s="3720"/>
      <c r="D7" s="3738"/>
      <c r="E7" s="131" t="s">
        <v>1271</v>
      </c>
      <c r="F7" s="1757"/>
      <c r="G7" s="1757"/>
      <c r="H7" s="1757"/>
      <c r="I7" s="1373"/>
    </row>
    <row r="8" spans="1:12" ht="12.75">
      <c r="A8" s="3715" t="s">
        <v>1272</v>
      </c>
      <c r="B8" s="3702">
        <v>15</v>
      </c>
      <c r="C8" s="3718"/>
      <c r="D8" s="3738"/>
      <c r="E8" s="131" t="s">
        <v>1273</v>
      </c>
      <c r="F8" s="1757"/>
      <c r="G8" s="1757"/>
      <c r="H8" s="1757"/>
      <c r="I8" s="1373"/>
    </row>
    <row r="9" spans="1:12" ht="12.75">
      <c r="A9" s="3715"/>
      <c r="B9" s="3702"/>
      <c r="C9" s="3720"/>
      <c r="D9" s="3738"/>
      <c r="E9" s="131" t="s">
        <v>1274</v>
      </c>
      <c r="F9" s="1757"/>
      <c r="G9" s="1757"/>
      <c r="H9" s="1757"/>
      <c r="I9" s="1373"/>
    </row>
    <row r="10" spans="1:12" ht="12.75">
      <c r="A10" s="3715" t="s">
        <v>1275</v>
      </c>
      <c r="B10" s="3702">
        <v>15</v>
      </c>
      <c r="C10" s="3718"/>
      <c r="D10" s="3738"/>
      <c r="E10" s="131" t="s">
        <v>1276</v>
      </c>
      <c r="F10" s="1757"/>
      <c r="G10" s="1757"/>
      <c r="H10" s="1757"/>
      <c r="I10" s="1373"/>
    </row>
    <row r="11" spans="1:12" ht="12.75">
      <c r="A11" s="3715"/>
      <c r="B11" s="3702"/>
      <c r="C11" s="3720"/>
      <c r="D11" s="3738"/>
      <c r="E11" s="131" t="s">
        <v>1277</v>
      </c>
      <c r="F11" s="1757"/>
      <c r="G11" s="1757"/>
      <c r="H11" s="1757"/>
      <c r="I11" s="1373"/>
    </row>
    <row r="12" spans="1:12" ht="12.75">
      <c r="A12" s="3715" t="s">
        <v>1278</v>
      </c>
      <c r="B12" s="3702">
        <v>15</v>
      </c>
      <c r="C12" s="3718"/>
      <c r="D12" s="3738"/>
      <c r="E12" s="131" t="s">
        <v>1279</v>
      </c>
      <c r="F12" s="1757"/>
      <c r="G12" s="1757"/>
      <c r="H12" s="1757"/>
      <c r="I12" s="1373"/>
    </row>
    <row r="13" spans="1:12" ht="12.75">
      <c r="A13" s="3715"/>
      <c r="B13" s="3702"/>
      <c r="C13" s="3720"/>
      <c r="D13" s="3738"/>
      <c r="E13" s="131" t="s">
        <v>1280</v>
      </c>
      <c r="F13" s="1757"/>
      <c r="G13" s="1757"/>
      <c r="H13" s="1757"/>
      <c r="I13" s="1373"/>
    </row>
    <row r="14" spans="1:12" ht="12.75">
      <c r="A14" s="3715" t="s">
        <v>1281</v>
      </c>
      <c r="B14" s="3702">
        <v>30</v>
      </c>
      <c r="C14" s="3718"/>
      <c r="D14" s="3738"/>
      <c r="E14" s="131" t="s">
        <v>1282</v>
      </c>
      <c r="F14" s="1757"/>
      <c r="G14" s="1757"/>
      <c r="H14" s="1757"/>
      <c r="I14" s="1373"/>
    </row>
    <row r="15" spans="1:12" ht="12.75">
      <c r="A15" s="3715"/>
      <c r="B15" s="3702"/>
      <c r="C15" s="3719"/>
      <c r="D15" s="3738"/>
      <c r="E15" s="131" t="s">
        <v>1283</v>
      </c>
      <c r="F15" s="1757"/>
      <c r="G15" s="1757"/>
      <c r="H15" s="1757"/>
      <c r="I15" s="1373"/>
    </row>
    <row r="16" spans="1:12" ht="12.75">
      <c r="A16" s="3715"/>
      <c r="B16" s="3702"/>
      <c r="C16" s="3720"/>
      <c r="D16" s="3738"/>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725" t="s">
        <v>2131</v>
      </c>
      <c r="F18" s="3726"/>
      <c r="G18" s="3726"/>
      <c r="H18" s="3726"/>
      <c r="I18" s="3726"/>
      <c r="K18" s="302" t="s">
        <v>1289</v>
      </c>
      <c r="L18" s="302">
        <f>IF(C1="",'数据-汇总表'!E3,SUMIF(项目类型,C1,'数据-汇总表'!E17:E26)+SUMIF(项目类型,C1,'数据-汇总表'!I17:I26))</f>
        <v>642</v>
      </c>
      <c r="M18" s="302">
        <f>IF(C1="",'数据-汇总表'!E3,SUMIF(项目类型,C1,'数据-汇总表'!E17:E26))</f>
        <v>642</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709" t="s">
        <v>1299</v>
      </c>
      <c r="B24" s="1762" t="s">
        <v>1291</v>
      </c>
      <c r="C24" s="136">
        <f>IF(B30=0,0,D30)</f>
        <v>0</v>
      </c>
      <c r="D24" s="1769"/>
      <c r="E24" s="129"/>
      <c r="F24" s="129"/>
      <c r="G24" s="129"/>
      <c r="H24" s="129"/>
      <c r="I24" s="129"/>
    </row>
    <row r="25" spans="1:36" ht="14.25">
      <c r="A25" s="371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729" t="s">
        <v>1312</v>
      </c>
      <c r="B36" s="1787" t="s">
        <v>1313</v>
      </c>
      <c r="C36" s="145"/>
      <c r="D36" s="1788"/>
      <c r="E36" s="1789"/>
      <c r="F36" s="1790"/>
      <c r="G36" s="129"/>
      <c r="H36" s="129"/>
      <c r="I36" s="129"/>
    </row>
    <row r="37" spans="1:15" ht="15.75" thickBot="1">
      <c r="A37" s="3730"/>
      <c r="B37" s="1674" t="s">
        <v>1314</v>
      </c>
      <c r="C37" s="147"/>
      <c r="D37" s="1139"/>
      <c r="E37" s="1139"/>
      <c r="F37" s="1790"/>
      <c r="G37" s="129"/>
      <c r="H37" s="129"/>
      <c r="I37" s="129"/>
    </row>
    <row r="38" spans="1:15" ht="15.75" thickBot="1">
      <c r="A38" s="373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706" t="s">
        <v>1326</v>
      </c>
      <c r="B45" s="3707"/>
      <c r="C45" s="3708"/>
      <c r="D45" s="155" t="e">
        <f ca="1">ROUND(H101*F45,0)</f>
        <v>#REF!</v>
      </c>
      <c r="E45" s="156" t="s">
        <v>1327</v>
      </c>
      <c r="F45" s="157">
        <v>1</v>
      </c>
      <c r="G45" s="158" t="s">
        <v>1328</v>
      </c>
      <c r="H45" s="129"/>
      <c r="I45" s="129"/>
      <c r="J45" s="3784" t="s">
        <v>1329</v>
      </c>
      <c r="K45" s="3784"/>
      <c r="L45" s="3784"/>
      <c r="M45" s="3784"/>
      <c r="N45" s="3784"/>
      <c r="O45" s="3784"/>
    </row>
    <row r="46" spans="1:15" ht="14.25" customHeight="1">
      <c r="A46" s="3703" t="s">
        <v>1330</v>
      </c>
      <c r="B46" s="3704"/>
      <c r="C46" s="3704"/>
      <c r="D46" s="3704"/>
      <c r="E46" s="3704"/>
      <c r="F46" s="3704"/>
      <c r="G46" s="3705"/>
      <c r="H46" s="1806"/>
      <c r="I46" s="159"/>
      <c r="J46" s="2520">
        <v>1</v>
      </c>
      <c r="K46" s="3765" t="s">
        <v>1331</v>
      </c>
      <c r="L46" s="3765"/>
      <c r="M46" s="3785"/>
      <c r="N46" s="3785"/>
      <c r="O46" s="3785"/>
    </row>
    <row r="47" spans="1:15" ht="12" customHeight="1">
      <c r="A47" s="160" t="s">
        <v>1332</v>
      </c>
      <c r="B47" s="161"/>
      <c r="C47" s="162"/>
      <c r="D47" s="1087" t="s">
        <v>1333</v>
      </c>
      <c r="E47" s="302" t="s">
        <v>1334</v>
      </c>
      <c r="F47" s="163" t="s">
        <v>1335</v>
      </c>
      <c r="G47" s="2543" t="s">
        <v>1336</v>
      </c>
      <c r="H47" s="2544"/>
      <c r="I47" s="159"/>
      <c r="J47" s="2520">
        <v>2</v>
      </c>
      <c r="K47" s="3765" t="s">
        <v>1337</v>
      </c>
      <c r="L47" s="3765"/>
      <c r="M47" s="3786">
        <f>'数据-取费表'!B2</f>
        <v>45426</v>
      </c>
      <c r="N47" s="3786"/>
      <c r="O47" s="3786"/>
    </row>
    <row r="48" spans="1:15" ht="25.5">
      <c r="A48" s="3734" t="s">
        <v>1338</v>
      </c>
      <c r="B48" s="3717"/>
      <c r="C48" s="3717"/>
      <c r="D48" s="2324" t="b">
        <f>IF(H48="情况1",0,IF(H48="情况2",D52,IF(H48="情况3",D53,IF(H48="情况4",D54))))</f>
        <v>0</v>
      </c>
      <c r="E48" s="2334" t="str">
        <f>IF(H48="情况4","(销售额-原购置价)×税（费）率","销售额×税（费）率")</f>
        <v>销售额×税（费）率</v>
      </c>
      <c r="F48" s="2545">
        <f>IF(H48="情况1","免征",'数据-取费表'!B41)</f>
        <v>5.6000000000000001E-2</v>
      </c>
      <c r="G48" s="2546" t="s">
        <v>1339</v>
      </c>
      <c r="H48" s="2547"/>
      <c r="I48" s="1806"/>
      <c r="J48" s="2520">
        <v>3</v>
      </c>
      <c r="K48" s="3765" t="s">
        <v>1340</v>
      </c>
      <c r="L48" s="3765"/>
      <c r="M48" s="3787" t="e">
        <f ca="1">H101</f>
        <v>#REF!</v>
      </c>
      <c r="N48" s="3787"/>
      <c r="O48" s="3787"/>
    </row>
    <row r="49" spans="1:35" ht="25.5" customHeight="1">
      <c r="A49" s="2333" t="s">
        <v>1341</v>
      </c>
      <c r="B49" s="3701" t="s">
        <v>1342</v>
      </c>
      <c r="C49" s="3701"/>
      <c r="D49" s="1590">
        <v>0</v>
      </c>
      <c r="E49" s="324" t="s">
        <v>1343</v>
      </c>
      <c r="F49" s="2423" t="s">
        <v>28</v>
      </c>
      <c r="G49" s="3771"/>
      <c r="H49" s="2310" t="s">
        <v>2134</v>
      </c>
      <c r="I49" s="2311"/>
      <c r="J49" s="2520">
        <v>4</v>
      </c>
      <c r="K49" s="3765" t="str">
        <f>IF(项目基本情况!E8="房地产抵押价值","房地产抵押价值","抵押担保权已注销时的房地产抵押价值")</f>
        <v>抵押担保权已注销时的房地产抵押价值</v>
      </c>
      <c r="L49" s="3765"/>
      <c r="M49" s="3787" t="str">
        <f>IF(项目基本情况!E8="房地产抵押价值",H107,H109)</f>
        <v>——</v>
      </c>
      <c r="N49" s="3787"/>
      <c r="O49" s="3787"/>
    </row>
    <row r="50" spans="1:35" ht="25.5" customHeight="1">
      <c r="A50" s="2548"/>
      <c r="B50" s="3701" t="s">
        <v>1344</v>
      </c>
      <c r="C50" s="3701"/>
      <c r="D50" s="2549"/>
      <c r="E50" s="332"/>
      <c r="F50" s="2423"/>
      <c r="G50" s="3772"/>
      <c r="H50" s="2312" t="s">
        <v>2135</v>
      </c>
      <c r="I50" s="2311"/>
      <c r="J50" s="3784" t="s">
        <v>1345</v>
      </c>
      <c r="K50" s="3784"/>
      <c r="L50" s="3784"/>
      <c r="M50" s="3784"/>
      <c r="N50" s="3784"/>
      <c r="O50" s="3784"/>
    </row>
    <row r="51" spans="1:35" ht="20.45" customHeight="1">
      <c r="A51" s="2550"/>
      <c r="B51" s="3701" t="s">
        <v>1346</v>
      </c>
      <c r="C51" s="3701"/>
      <c r="D51" s="1087"/>
      <c r="E51" s="327"/>
      <c r="F51" s="2423"/>
      <c r="G51" s="3773"/>
      <c r="H51" s="2312" t="s">
        <v>2136</v>
      </c>
      <c r="I51" s="2311"/>
      <c r="J51" s="2521" t="s">
        <v>1347</v>
      </c>
      <c r="K51" s="3765" t="s">
        <v>1348</v>
      </c>
      <c r="L51" s="3765"/>
      <c r="M51" s="2521" t="s">
        <v>1349</v>
      </c>
      <c r="N51" s="2521" t="s">
        <v>1350</v>
      </c>
      <c r="O51" s="2521" t="s">
        <v>1351</v>
      </c>
    </row>
    <row r="52" spans="1:35" ht="24" customHeight="1">
      <c r="A52" s="2335" t="s">
        <v>1352</v>
      </c>
      <c r="B52" s="3701" t="s">
        <v>1353</v>
      </c>
      <c r="C52" s="3701"/>
      <c r="D52" s="1087" t="e">
        <f ca="1">ROUND(D45*'数据-取费表'!B41/(1+'数据-取费表'!C42),0)</f>
        <v>#REF!</v>
      </c>
      <c r="E52" s="2334" t="s">
        <v>1354</v>
      </c>
      <c r="F52" s="2551">
        <f>'数据-取费表'!B41</f>
        <v>5.6000000000000001E-2</v>
      </c>
      <c r="G52" s="2552"/>
      <c r="H52" s="2541"/>
      <c r="I52" s="1807"/>
      <c r="J52" s="2520">
        <v>1</v>
      </c>
      <c r="K52" s="3766" t="s">
        <v>1355</v>
      </c>
      <c r="L52" s="3766"/>
      <c r="M52" s="2522" t="b">
        <f>D48</f>
        <v>0</v>
      </c>
      <c r="N52" s="2520" t="str">
        <f>E48</f>
        <v>销售额×税（费）率</v>
      </c>
      <c r="O52" s="2523">
        <f>F48</f>
        <v>5.6000000000000001E-2</v>
      </c>
    </row>
    <row r="53" spans="1:35" ht="12" customHeight="1">
      <c r="A53" s="2335" t="s">
        <v>1356</v>
      </c>
      <c r="B53" s="3727" t="s">
        <v>2287</v>
      </c>
      <c r="C53" s="3728"/>
      <c r="D53" s="1087" t="e">
        <f ca="1">ROUND(D45*'数据-取费表'!B41/(1+'数据-取费表'!C42),0)</f>
        <v>#REF!</v>
      </c>
      <c r="E53" s="2334" t="s">
        <v>1354</v>
      </c>
      <c r="F53" s="2551">
        <f>'数据-取费表'!B41</f>
        <v>5.6000000000000001E-2</v>
      </c>
      <c r="G53" s="2552"/>
      <c r="H53" s="2541"/>
      <c r="I53" s="1807"/>
      <c r="J53" s="2520">
        <v>2</v>
      </c>
      <c r="K53" s="3766" t="s">
        <v>1357</v>
      </c>
      <c r="L53" s="3766"/>
      <c r="M53" s="2522" t="e">
        <f t="shared" ref="M53:O54" ca="1" si="0">D55</f>
        <v>#REF!</v>
      </c>
      <c r="N53" s="2520" t="str">
        <f t="shared" si="0"/>
        <v>销售额×税（费）率</v>
      </c>
      <c r="O53" s="2523" t="str">
        <f t="shared" si="0"/>
        <v>免征</v>
      </c>
    </row>
    <row r="54" spans="1:35" ht="12" customHeight="1">
      <c r="A54" s="2335" t="s">
        <v>1358</v>
      </c>
      <c r="B54" s="3727" t="s">
        <v>2288</v>
      </c>
      <c r="C54" s="3728"/>
      <c r="D54" s="1087" t="e">
        <f ca="1">C68</f>
        <v>#REF!</v>
      </c>
      <c r="E54" s="327" t="s">
        <v>1359</v>
      </c>
      <c r="F54" s="2551">
        <f>'数据-取费表'!B41</f>
        <v>5.6000000000000001E-2</v>
      </c>
      <c r="G54" s="2552"/>
      <c r="H54" s="2553"/>
      <c r="I54" s="1807"/>
      <c r="J54" s="2520">
        <v>3</v>
      </c>
      <c r="K54" s="3766" t="s">
        <v>1360</v>
      </c>
      <c r="L54" s="3766"/>
      <c r="M54" s="2522" t="e">
        <f t="shared" ca="1" si="0"/>
        <v>#REF!</v>
      </c>
      <c r="N54" s="2520" t="str">
        <f t="shared" si="0"/>
        <v>增值额×税（费）率</v>
      </c>
      <c r="O54" s="2524" t="str">
        <f t="shared" si="0"/>
        <v>免征</v>
      </c>
    </row>
    <row r="55" spans="1:35" ht="24" customHeight="1">
      <c r="A55" s="3716" t="s">
        <v>1361</v>
      </c>
      <c r="B55" s="3717"/>
      <c r="C55" s="3717"/>
      <c r="D55" s="2324" t="e">
        <f ca="1">IF(H55="个人住宅",0,ROUND(D45*I55,0))</f>
        <v>#REF!</v>
      </c>
      <c r="E55" s="2334" t="s">
        <v>1362</v>
      </c>
      <c r="F55" s="2551" t="str">
        <f>IF(H55="正常",I55,"免征")</f>
        <v>免征</v>
      </c>
      <c r="G55" s="2552"/>
      <c r="H55" s="2547"/>
      <c r="I55" s="165">
        <f>'数据-取费表'!B49</f>
        <v>5.0000000000000001E-4</v>
      </c>
      <c r="J55" s="2520">
        <f>IF(H59="非个人房产","",4)</f>
        <v>4</v>
      </c>
      <c r="K55" s="3766" t="str">
        <f>IF(H59="非个人房产","——","个人所得税")</f>
        <v>个人所得税</v>
      </c>
      <c r="L55" s="3766"/>
      <c r="M55" s="2525" t="e">
        <f ca="1">D59</f>
        <v>#REF!</v>
      </c>
      <c r="N55" s="2040" t="str">
        <f>E59</f>
        <v>差额计税</v>
      </c>
      <c r="O55" s="2526">
        <f>F59</f>
        <v>0.01</v>
      </c>
    </row>
    <row r="56" spans="1:35" ht="24.75">
      <c r="A56" s="3716" t="s">
        <v>1363</v>
      </c>
      <c r="B56" s="3717"/>
      <c r="C56" s="3717"/>
      <c r="D56" s="2324" t="e">
        <f ca="1">IF(H56="个人住宅",D57,D58)</f>
        <v>#REF!</v>
      </c>
      <c r="E56" s="2334" t="s">
        <v>1364</v>
      </c>
      <c r="F56" s="2551" t="str">
        <f>IF(H56="正常",F58,"免征")</f>
        <v>免征</v>
      </c>
      <c r="G56" s="2554" t="s">
        <v>1365</v>
      </c>
      <c r="H56" s="2555"/>
      <c r="I56" s="1808"/>
      <c r="J56" s="2520" t="str">
        <f>IF(项目基本情况!K6="上海银行",IF(J55="",4,J55+1),"")</f>
        <v/>
      </c>
      <c r="K56" s="3789" t="str">
        <f>IF(项目基本情况!K6="上海银行","其他处置费用","")</f>
        <v/>
      </c>
      <c r="L56" s="3790"/>
      <c r="M56" s="2522" t="str">
        <f>IF(项目基本情况!K6="上海银行",M69,"")</f>
        <v/>
      </c>
      <c r="N56" s="3789" t="str">
        <f>IF(项目基本情况!K6="上海银行","包含处置中涉及的律师、诉讼、拍卖、评估等费用","")</f>
        <v/>
      </c>
      <c r="O56" s="3792"/>
    </row>
    <row r="57" spans="1:35" ht="12.75">
      <c r="A57" s="2335" t="s">
        <v>1341</v>
      </c>
      <c r="B57" s="3727" t="s">
        <v>1366</v>
      </c>
      <c r="C57" s="3728"/>
      <c r="D57" s="1590">
        <v>0</v>
      </c>
      <c r="E57" s="324" t="s">
        <v>1343</v>
      </c>
      <c r="F57" s="302"/>
      <c r="G57" s="2552"/>
      <c r="H57" s="2556"/>
      <c r="I57" s="1808"/>
      <c r="J57" s="3766">
        <f>IF(AND(J55="",J56=""),4,IF(项目基本情况!K6="上海银行",结果表!J56+1,结果表!J55+1))</f>
        <v>5</v>
      </c>
      <c r="K57" s="3766" t="s">
        <v>1367</v>
      </c>
      <c r="L57" s="2527" t="s">
        <v>1368</v>
      </c>
      <c r="M57" s="2528"/>
      <c r="N57" s="2529">
        <f ca="1">SUMIF(M52:M56,"&lt;9e307")</f>
        <v>0</v>
      </c>
      <c r="O57" s="2530"/>
      <c r="P57" s="2687" t="e">
        <f ca="1">N57/M49</f>
        <v>#VALUE!</v>
      </c>
    </row>
    <row r="58" spans="1:35" ht="24.75">
      <c r="A58" s="2335" t="s">
        <v>1352</v>
      </c>
      <c r="B58" s="3727" t="s">
        <v>1369</v>
      </c>
      <c r="C58" s="3701"/>
      <c r="D58" s="2324" t="e">
        <f ca="1">IF(H58="转让取得",C81,C97)</f>
        <v>#REF!</v>
      </c>
      <c r="E58" s="2334" t="s">
        <v>1364</v>
      </c>
      <c r="F58" s="302" t="s">
        <v>28</v>
      </c>
      <c r="G58" s="2552"/>
      <c r="H58" s="2555"/>
      <c r="I58" s="1808"/>
      <c r="J58" s="3766"/>
      <c r="K58" s="3766"/>
      <c r="L58" s="2527" t="s">
        <v>1370</v>
      </c>
      <c r="M58" s="2531"/>
      <c r="N58" s="2532" t="str">
        <f ca="1">NUMBERSTRING(INT(N57*10000),2)&amp;"元整"</f>
        <v>零元整</v>
      </c>
      <c r="O58" s="2533"/>
    </row>
    <row r="59" spans="1:35" ht="24.75" thickBot="1">
      <c r="A59" s="3769" t="s">
        <v>1371</v>
      </c>
      <c r="B59" s="3770"/>
      <c r="C59" s="3770"/>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4"/>
      <c r="I59" s="2313" t="s">
        <v>2137</v>
      </c>
      <c r="J59" s="3767">
        <f>J57+1</f>
        <v>6</v>
      </c>
      <c r="K59" s="3766" t="s">
        <v>1372</v>
      </c>
      <c r="L59" s="2520" t="s">
        <v>1368</v>
      </c>
      <c r="M59" s="2534"/>
      <c r="N59" s="2535" t="e">
        <f ca="1">M49-N57</f>
        <v>#VALUE!</v>
      </c>
      <c r="O59" s="2536"/>
    </row>
    <row r="60" spans="1:35" ht="12" customHeight="1">
      <c r="A60" s="1809"/>
      <c r="B60" s="1747"/>
      <c r="C60" s="1747"/>
      <c r="D60" s="1747"/>
      <c r="E60" s="1578"/>
      <c r="F60" s="1808"/>
      <c r="G60" s="1808"/>
      <c r="H60" s="1810"/>
      <c r="I60" s="129"/>
      <c r="J60" s="3768"/>
      <c r="K60" s="3766"/>
      <c r="L60" s="2527" t="s">
        <v>1370</v>
      </c>
      <c r="M60" s="2531"/>
      <c r="N60" s="2532" t="e">
        <f ca="1">NUMBERSTRING(INT(N59*10000),2)&amp;"元整"</f>
        <v>#VALUE!</v>
      </c>
      <c r="O60" s="2533"/>
    </row>
    <row r="61" spans="1:35" ht="13.5" thickBot="1">
      <c r="A61" s="3714" t="s">
        <v>1373</v>
      </c>
      <c r="B61" s="3714"/>
      <c r="C61" s="3714"/>
      <c r="D61" s="3714"/>
      <c r="E61" s="3714"/>
      <c r="F61" s="1808"/>
      <c r="G61" s="1808"/>
      <c r="H61" s="1810"/>
      <c r="I61" s="129"/>
      <c r="J61" s="2520">
        <f>J59+1</f>
        <v>7</v>
      </c>
      <c r="K61" s="3766" t="s">
        <v>1374</v>
      </c>
      <c r="L61" s="3766"/>
      <c r="M61" s="2537"/>
      <c r="N61" s="2538" t="e">
        <f ca="1">ROUND(N59*10000/'数据-汇总表'!E3,0)</f>
        <v>#VALUE!</v>
      </c>
      <c r="O61" s="2539"/>
    </row>
    <row r="62" spans="1:35" ht="12.75">
      <c r="A62" s="3732" t="s">
        <v>1375</v>
      </c>
      <c r="B62" s="3733"/>
      <c r="C62" s="2021"/>
      <c r="D62" s="2021" t="s">
        <v>1376</v>
      </c>
      <c r="E62" s="166" t="s">
        <v>1377</v>
      </c>
      <c r="F62" s="1808"/>
      <c r="G62" s="1808"/>
      <c r="H62" s="1810"/>
      <c r="I62" s="129"/>
    </row>
    <row r="63" spans="1:35" ht="12.75">
      <c r="A63" s="173" t="s">
        <v>330</v>
      </c>
      <c r="B63" s="167" t="s">
        <v>1378</v>
      </c>
      <c r="C63" s="2561" t="e">
        <f ca="1">ROUND((C64+C65)/(1+'数据-取费表'!C42),0)</f>
        <v>#REF!</v>
      </c>
      <c r="D63" s="167"/>
      <c r="E63" s="168"/>
      <c r="F63" s="1808"/>
      <c r="G63" s="1808"/>
      <c r="H63" s="1810"/>
      <c r="I63" s="129"/>
      <c r="J63" s="3791" t="s">
        <v>1379</v>
      </c>
      <c r="K63" s="1332" t="s">
        <v>1380</v>
      </c>
      <c r="L63" s="1332" t="e">
        <f>IF(M49&gt;10000,M49*0.5%,IF(AND(M49&gt;1000,M49&lt;=10000),M49*1%,IF(AND(M49&gt;100,M49&lt;=1000),M49*3%,IF(AND(M49&gt;10,M49&lt;=100),M49*5%,M49*8%))))</f>
        <v>#VALUE!</v>
      </c>
      <c r="M63" s="302" t="e">
        <f>ROUND(L63,1)</f>
        <v>#VALUE!</v>
      </c>
      <c r="N63" s="2540"/>
      <c r="Z63" s="1752"/>
      <c r="AI63" s="1753"/>
    </row>
    <row r="64" spans="1:35" ht="14.25" customHeight="1">
      <c r="A64" s="169" t="s">
        <v>325</v>
      </c>
      <c r="B64" s="170" t="s">
        <v>1381</v>
      </c>
      <c r="C64" s="2562" t="e">
        <f ca="1">D45</f>
        <v>#REF!</v>
      </c>
      <c r="D64" s="170" t="s">
        <v>26</v>
      </c>
      <c r="E64" s="172"/>
      <c r="F64" s="1808"/>
      <c r="G64" s="1808"/>
      <c r="H64" s="1810"/>
      <c r="I64" s="129"/>
      <c r="J64" s="3791"/>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1383</v>
      </c>
      <c r="Z64" s="1752"/>
      <c r="AI64" s="1753"/>
    </row>
    <row r="65" spans="1:35" ht="14.25" customHeight="1">
      <c r="A65" s="169" t="s">
        <v>326</v>
      </c>
      <c r="B65" s="170" t="s">
        <v>1384</v>
      </c>
      <c r="C65" s="2563"/>
      <c r="D65" s="170"/>
      <c r="E65" s="172"/>
      <c r="F65" s="1808"/>
      <c r="G65" s="1808"/>
      <c r="H65" s="1810"/>
      <c r="I65" s="129"/>
      <c r="J65" s="3791"/>
      <c r="K65" s="1332" t="s">
        <v>1385</v>
      </c>
      <c r="L65" s="1332" t="e">
        <f>IF(M49&gt;1000,M49*0.1%,IF(AND(M49&gt;500,M49&lt;=1000),M49*0.5%,IF(AND(M49&gt;50,M49&lt;=500),M49*1%,IF(AND(M49&gt;1,M49&lt;=50),M49*1.5%))))</f>
        <v>#VALUE!</v>
      </c>
      <c r="M65" s="302" t="e">
        <f t="shared" si="1"/>
        <v>#VALUE!</v>
      </c>
      <c r="N65" s="2541" t="s">
        <v>1383</v>
      </c>
      <c r="Z65" s="1752"/>
      <c r="AI65" s="1753"/>
    </row>
    <row r="66" spans="1:35" ht="14.25" customHeight="1">
      <c r="A66" s="173" t="s">
        <v>327</v>
      </c>
      <c r="B66" s="174" t="s">
        <v>1386</v>
      </c>
      <c r="C66" s="2564"/>
      <c r="D66" s="174" t="s">
        <v>26</v>
      </c>
      <c r="E66" s="1338" t="s">
        <v>671</v>
      </c>
      <c r="F66" s="1808"/>
      <c r="G66" s="1808"/>
      <c r="H66" s="1810"/>
      <c r="I66" s="129"/>
      <c r="J66" s="3791"/>
      <c r="K66" s="1332" t="s">
        <v>1387</v>
      </c>
      <c r="L66" s="1332" t="e">
        <f>M49*0.5%</f>
        <v>#VALUE!</v>
      </c>
      <c r="M66" s="302" t="e">
        <f>IF(L66&gt;0.5,0.5,ROUND(L66,0))</f>
        <v>#VALUE!</v>
      </c>
      <c r="N66" s="2541" t="s">
        <v>1388</v>
      </c>
      <c r="Z66" s="1752"/>
      <c r="AI66" s="1753"/>
    </row>
    <row r="67" spans="1:35" ht="14.25" customHeight="1">
      <c r="A67" s="173" t="s">
        <v>328</v>
      </c>
      <c r="B67" s="174" t="s">
        <v>1389</v>
      </c>
      <c r="C67" s="2565" t="e">
        <f ca="1">C63-C66</f>
        <v>#REF!</v>
      </c>
      <c r="D67" s="170" t="s">
        <v>26</v>
      </c>
      <c r="E67" s="172"/>
      <c r="F67" s="1808"/>
      <c r="G67" s="1808"/>
      <c r="H67" s="1810"/>
      <c r="I67" s="129"/>
      <c r="J67" s="3791"/>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2"/>
      <c r="AI67" s="1753"/>
    </row>
    <row r="68" spans="1:35" ht="14.25" customHeight="1" thickBot="1">
      <c r="A68" s="176" t="s">
        <v>329</v>
      </c>
      <c r="B68" s="177" t="s">
        <v>1391</v>
      </c>
      <c r="C68" s="2566" t="e">
        <f ca="1">IF(C67&lt;=0,0,ROUND(C67*D68,0))</f>
        <v>#REF!</v>
      </c>
      <c r="D68" s="2567">
        <f>'数据-取费表'!B41</f>
        <v>5.6000000000000001E-2</v>
      </c>
      <c r="E68" s="178"/>
      <c r="F68" s="1808"/>
      <c r="G68" s="1808"/>
      <c r="H68" s="1810"/>
      <c r="I68" s="129"/>
      <c r="J68" s="3791"/>
      <c r="K68" s="1332" t="s">
        <v>1392</v>
      </c>
      <c r="L68" s="1332" t="e">
        <f>IF(M49&gt;10000,M49*0.5%,IF(AND(M49&gt;5000,M49&lt;=10000),M49*1%,IF(AND(M49&gt;1000,M49&lt;=5000),M49*2%,IF(AND(M49&gt;200,M49&lt;=1000),M49*3%,M49*5%))))</f>
        <v>#VALUE!</v>
      </c>
      <c r="M68" s="302" t="e">
        <f>ROUND(L68,1)</f>
        <v>#VALUE!</v>
      </c>
      <c r="N68" s="2540"/>
      <c r="Z68" s="1752"/>
      <c r="AI68" s="1753"/>
    </row>
    <row r="69" spans="1:35" s="1772" customFormat="1" ht="16.5" customHeight="1">
      <c r="A69" s="1811"/>
      <c r="B69" s="1812"/>
      <c r="C69" s="1813"/>
      <c r="D69" s="1814"/>
      <c r="E69" s="1815"/>
      <c r="F69" s="1578"/>
      <c r="G69" s="1578"/>
      <c r="H69" s="1577"/>
      <c r="I69" s="1747"/>
      <c r="J69" s="3791"/>
      <c r="K69" s="1332" t="s">
        <v>1393</v>
      </c>
      <c r="L69" s="1332"/>
      <c r="M69" s="302" t="e">
        <f>ROUND(SUM(M63:M68),0)</f>
        <v>#VALUE!</v>
      </c>
      <c r="N69" s="2542"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753" t="s">
        <v>1394</v>
      </c>
      <c r="B70" s="3754"/>
      <c r="C70" s="3754"/>
      <c r="D70" s="3754"/>
      <c r="E70" s="3754"/>
      <c r="F70" s="3754"/>
      <c r="G70" s="3754"/>
      <c r="H70" s="3754"/>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732" t="s">
        <v>1375</v>
      </c>
      <c r="B71" s="3733"/>
      <c r="C71" s="2021"/>
      <c r="D71" s="2021" t="s">
        <v>1376</v>
      </c>
      <c r="E71" s="179" t="s">
        <v>1377</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5" t="e">
        <f ca="1">ROUND(D45/(1+'数据-取费表'!C42),0)</f>
        <v>#REF!</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5"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8"/>
      <c r="D75" s="170" t="s">
        <v>26</v>
      </c>
      <c r="E75" s="184" t="s">
        <v>1399</v>
      </c>
      <c r="F75" s="2569"/>
      <c r="G75" s="184" t="s">
        <v>1400</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1">
        <v>0.05</v>
      </c>
      <c r="E76" s="3727" t="s">
        <v>1402</v>
      </c>
      <c r="F76" s="3701"/>
      <c r="G76" s="3701"/>
      <c r="H76" s="375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2">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3" t="e">
        <f ca="1">ROUND(D45*D78/(1+'数据-取费表'!C42),0)</f>
        <v>#REF!</v>
      </c>
      <c r="D78" s="2574">
        <f>'数据-取费表'!B43</f>
        <v>6.000000000000001E-3</v>
      </c>
      <c r="E78" s="3711" t="s">
        <v>1406</v>
      </c>
      <c r="F78" s="3712"/>
      <c r="G78" s="3712"/>
      <c r="H78" s="372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5"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5"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6" t="e">
        <f ca="1">ROUND(IF(C79&lt;=0,0,IF(C80&gt;=200%,C79*60%-C73*35%,IF(C80&gt;=100%,C79*50%-C73*15%,IF(C80&gt;=50%,C79*40%-C73*5%,IF(C80&lt;50%,C79*30%,0))))),0)</f>
        <v>#REF!</v>
      </c>
      <c r="D81" s="2577"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753" t="s">
        <v>1410</v>
      </c>
      <c r="B83" s="3754"/>
      <c r="C83" s="3754"/>
      <c r="D83" s="3754"/>
      <c r="E83" s="3754"/>
      <c r="F83" s="3754"/>
      <c r="G83" s="3754"/>
      <c r="H83" s="375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732" t="s">
        <v>1375</v>
      </c>
      <c r="B84" s="373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5"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5" t="e">
        <f ca="1">IF(H88="仅含出让金",C87+C90+C91+C92+C93+C94,C87+C91+C92+C93+C94)</f>
        <v>#REF!</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9"/>
      <c r="D88" s="2574"/>
      <c r="E88" s="193" t="s">
        <v>1413</v>
      </c>
      <c r="F88" s="2327"/>
      <c r="G88" s="194" t="s">
        <v>1414</v>
      </c>
      <c r="H88" s="1824"/>
      <c r="I88" s="1821"/>
      <c r="J88" s="2518"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3">
        <f>ROUND(C88*D89,0)</f>
        <v>0</v>
      </c>
      <c r="D89" s="2574">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9"/>
      <c r="D90" s="2574"/>
      <c r="E90" s="193" t="str">
        <f>IF(H88="-","土地取得成本中已包含该笔费用"," ")</f>
        <v xml:space="preserve"> </v>
      </c>
      <c r="F90" s="2327"/>
      <c r="G90" s="3793" t="s">
        <v>2129</v>
      </c>
      <c r="H90" s="3794"/>
      <c r="I90" s="1821"/>
      <c r="J90" s="2518"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3">
        <f>IF(H91="——",成本法!C33,I91)</f>
        <v>0</v>
      </c>
      <c r="D91" s="2574"/>
      <c r="E91" s="3711" t="s">
        <v>1419</v>
      </c>
      <c r="F91" s="3712"/>
      <c r="G91" s="371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3">
        <f>ROUND((C87+C90+C91)*D92,0)</f>
        <v>0</v>
      </c>
      <c r="D92" s="2580"/>
      <c r="E92" s="3711" t="s">
        <v>1422</v>
      </c>
      <c r="F92" s="3712"/>
      <c r="G92" s="3712"/>
      <c r="H92" s="3721"/>
      <c r="I92" s="1821"/>
      <c r="J92" s="2519"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3" t="e">
        <f ca="1">ROUND(D45*D93/(1+'数据-取费表'!C42),0)</f>
        <v>#REF!</v>
      </c>
      <c r="D93" s="2574">
        <f>'数据-取费表'!B43</f>
        <v>6.000000000000001E-3</v>
      </c>
      <c r="E93" s="3711" t="s">
        <v>1406</v>
      </c>
      <c r="F93" s="3712"/>
      <c r="G93" s="3712"/>
      <c r="H93" s="372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9">
        <f>ROUND((C87+C90+C91)*D94,0)</f>
        <v>0</v>
      </c>
      <c r="D94" s="2574">
        <v>0.2</v>
      </c>
      <c r="E94" s="3722" t="s">
        <v>1426</v>
      </c>
      <c r="F94" s="3723"/>
      <c r="G94" s="3723"/>
      <c r="H94" s="372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5"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5"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6" t="e">
        <f ca="1">ROUND(IF(C95&lt;=0,0,IF(C96&gt;=200%,C95*60%-C86*35%,IF(C96&gt;=100%,C95*50%-C86*15%,IF(C96&gt;=50%,C95*40%-C86*5%,IF(C96&lt;50%,C95*30%,0))))),0)</f>
        <v>#REF!</v>
      </c>
      <c r="D97" s="2577"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95" t="s">
        <v>1428</v>
      </c>
      <c r="B100" s="3696"/>
      <c r="C100" s="3696"/>
      <c r="D100" s="3713"/>
      <c r="E100" s="3696" t="s">
        <v>1429</v>
      </c>
      <c r="F100" s="3696"/>
      <c r="G100" s="3696"/>
      <c r="H100" s="3713"/>
      <c r="I100" s="129"/>
    </row>
    <row r="101" spans="1:35" ht="18.75" customHeight="1">
      <c r="A101" s="3774" t="s">
        <v>1430</v>
      </c>
      <c r="B101" s="3775"/>
      <c r="C101" s="2582">
        <f>C4</f>
        <v>0</v>
      </c>
      <c r="D101" s="2583">
        <f>D4</f>
        <v>0</v>
      </c>
      <c r="E101" s="3788" t="s">
        <v>1431</v>
      </c>
      <c r="F101" s="3745"/>
      <c r="G101" s="1827" t="s">
        <v>1432</v>
      </c>
      <c r="H101" s="2592" t="e">
        <f ca="1">H118</f>
        <v>#REF!</v>
      </c>
      <c r="I101" s="129"/>
    </row>
    <row r="102" spans="1:35" ht="18.75" customHeight="1">
      <c r="A102" s="3747" t="s">
        <v>1433</v>
      </c>
      <c r="B102" s="2581" t="s">
        <v>1432</v>
      </c>
      <c r="C102" s="2582" t="e">
        <f ca="1">IF(D32="楼面单价",ROUND(C19,0),C19)</f>
        <v>#REF!</v>
      </c>
      <c r="D102" s="2583" t="e">
        <f ca="1">IF(D32="楼面单价",ROUND(D19,0),D19)</f>
        <v>#REF!</v>
      </c>
      <c r="E102" s="3788"/>
      <c r="F102" s="3745"/>
      <c r="G102" s="1827" t="s">
        <v>1434</v>
      </c>
      <c r="H102" s="2552" t="e">
        <f ca="1">I118</f>
        <v>#REF!</v>
      </c>
      <c r="I102" s="129"/>
    </row>
    <row r="103" spans="1:35" ht="42.75" customHeight="1">
      <c r="A103" s="3747"/>
      <c r="B103" s="2581" t="s">
        <v>1434</v>
      </c>
      <c r="C103" s="2584" t="e">
        <f ca="1">C20</f>
        <v>#REF!</v>
      </c>
      <c r="D103" s="2585" t="e">
        <f ca="1">D20</f>
        <v>#REF!</v>
      </c>
      <c r="E103" s="3782" t="s">
        <v>1435</v>
      </c>
      <c r="F103" s="3783"/>
      <c r="G103" s="1828" t="s">
        <v>1436</v>
      </c>
      <c r="H103" s="2592">
        <f>IF(D36="正常操作",H104+H105+H106,H105+H106)</f>
        <v>0</v>
      </c>
      <c r="I103" s="129"/>
    </row>
    <row r="104" spans="1:35" ht="18.75" customHeight="1">
      <c r="A104" s="3747" t="s">
        <v>1437</v>
      </c>
      <c r="B104" s="2586" t="s">
        <v>1432</v>
      </c>
      <c r="C104" s="2587" t="e">
        <f ca="1">H118</f>
        <v>#REF!</v>
      </c>
      <c r="D104" s="2588"/>
      <c r="E104" s="1674" t="s">
        <v>1438</v>
      </c>
      <c r="F104" s="1666"/>
      <c r="G104" s="1828" t="s">
        <v>1436</v>
      </c>
      <c r="H104" s="2593">
        <f>IF(D36="同一抵押权人同一抵押物续贷",C36&amp;"（续贷，未扣减，详见特别提示）",C36)</f>
        <v>0</v>
      </c>
      <c r="I104" s="129"/>
    </row>
    <row r="105" spans="1:35" ht="18.75" customHeight="1" thickBot="1">
      <c r="A105" s="3748"/>
      <c r="B105" s="2589" t="s">
        <v>1434</v>
      </c>
      <c r="C105" s="2590" t="e">
        <f ca="1">I118</f>
        <v>#REF!</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744" t="str">
        <f>IF(项目基本情况!E8="已注销","——","3.房地产抵押价值")</f>
        <v>3.房地产抵押价值</v>
      </c>
      <c r="F107" s="3745"/>
      <c r="G107" s="1827" t="s">
        <v>1432</v>
      </c>
      <c r="H107" s="2592" t="e">
        <f ca="1">IF(E107="——","——",H101-H103)</f>
        <v>#REF!</v>
      </c>
      <c r="I107" s="129"/>
    </row>
    <row r="108" spans="1:35" ht="18.75" customHeight="1">
      <c r="A108" s="129"/>
      <c r="B108" s="129"/>
      <c r="C108" s="129"/>
      <c r="D108" s="129"/>
      <c r="E108" s="3744"/>
      <c r="F108" s="3745"/>
      <c r="G108" s="1827" t="s">
        <v>1434</v>
      </c>
      <c r="H108" s="2552" t="e">
        <f ca="1">IF(H107=H101,H102,ROUND(H107*10000/'数据-汇总表'!E3,0))</f>
        <v>#REF!</v>
      </c>
      <c r="I108" s="129"/>
    </row>
    <row r="109" spans="1:35" ht="18.75" customHeight="1">
      <c r="A109" s="129"/>
      <c r="B109" s="129"/>
      <c r="C109" s="129"/>
      <c r="D109" s="129"/>
      <c r="E109" s="3744" t="str">
        <f>IF(项目基本情况!E8="已注销及未注销","4.抵押担保权已注销时的房地产抵押价值",IF(项目基本情况!E8="已注销","3.抵押担保权已注销时的房地产抵押价值","——"))</f>
        <v>——</v>
      </c>
      <c r="F109" s="3745"/>
      <c r="G109" s="1827" t="s">
        <v>1432</v>
      </c>
      <c r="H109" s="2595" t="str">
        <f>IF(E109="——","——",H101-H105-H106)</f>
        <v>——</v>
      </c>
      <c r="I109" s="129"/>
    </row>
    <row r="110" spans="1:35" ht="18.75" customHeight="1">
      <c r="A110" s="129"/>
      <c r="B110" s="129"/>
      <c r="C110" s="129"/>
      <c r="D110" s="129"/>
      <c r="E110" s="3744"/>
      <c r="F110" s="3745"/>
      <c r="G110" s="1827" t="s">
        <v>1434</v>
      </c>
      <c r="H110" s="2552" t="str">
        <f>IF(H109="——","——",ROUND(H109*10000/'数据-汇总表'!E3,0))</f>
        <v>——</v>
      </c>
      <c r="I110" s="129"/>
    </row>
    <row r="111" spans="1:35" ht="18.75" customHeight="1">
      <c r="A111" s="129"/>
      <c r="B111" s="129"/>
      <c r="C111" s="129"/>
      <c r="D111" s="129"/>
      <c r="E111" s="3776" t="str">
        <f>IF(项目基本情况!E9="抵押净值",IF(OR(项目基本情况!E8="已注销",项目基本情况!E8="房地产抵押价值"),"4.抵押净值","5.抵押净值"),"——")</f>
        <v>——</v>
      </c>
      <c r="F111" s="3746"/>
      <c r="G111" s="1827" t="s">
        <v>1432</v>
      </c>
      <c r="H111" s="2592" t="str">
        <f>IF(E111="——","——",N59)</f>
        <v>——</v>
      </c>
      <c r="I111" s="129"/>
    </row>
    <row r="112" spans="1:35" ht="18.75" customHeight="1" thickBot="1">
      <c r="A112" s="129"/>
      <c r="B112" s="129"/>
      <c r="C112" s="129"/>
      <c r="D112" s="129"/>
      <c r="E112" s="3777"/>
      <c r="F112" s="3778"/>
      <c r="G112" s="1830" t="s">
        <v>1434</v>
      </c>
      <c r="H112" s="2596" t="str">
        <f>IF(E111="——","——",N61)</f>
        <v>——</v>
      </c>
      <c r="I112" s="129"/>
    </row>
    <row r="113" spans="1:27" ht="18.75" customHeight="1">
      <c r="A113" s="129"/>
      <c r="B113" s="129"/>
      <c r="C113" s="129"/>
      <c r="D113" s="129"/>
      <c r="E113" s="3749" t="s">
        <v>1440</v>
      </c>
      <c r="F113" s="3749"/>
      <c r="G113" s="3749"/>
      <c r="H113" s="3749"/>
      <c r="I113" s="129"/>
    </row>
    <row r="114" spans="1:27" ht="3.75" customHeight="1">
      <c r="A114" s="1747"/>
      <c r="B114" s="1747"/>
      <c r="C114" s="1747"/>
      <c r="D114" s="1747"/>
      <c r="E114" s="1809"/>
      <c r="F114" s="1809"/>
      <c r="G114" s="1809"/>
      <c r="H114" s="1809"/>
      <c r="I114" s="1747"/>
    </row>
    <row r="115" spans="1:27" ht="18.75" customHeight="1">
      <c r="A115" s="3759" t="s">
        <v>1442</v>
      </c>
      <c r="B115" s="3760"/>
      <c r="C115" s="3760"/>
      <c r="D115" s="3760"/>
      <c r="E115" s="3760"/>
      <c r="F115" s="3760"/>
      <c r="G115" s="3760"/>
      <c r="H115" s="3760"/>
      <c r="I115" s="3761"/>
    </row>
    <row r="116" spans="1:27" ht="27" customHeight="1">
      <c r="A116" s="3715" t="s">
        <v>1443</v>
      </c>
      <c r="B116" s="3750" t="s">
        <v>1444</v>
      </c>
      <c r="C116" s="3750" t="s">
        <v>1445</v>
      </c>
      <c r="D116" s="3763" t="s">
        <v>1446</v>
      </c>
      <c r="E116" s="3764"/>
      <c r="F116" s="3758" t="s">
        <v>1447</v>
      </c>
      <c r="G116" s="3758"/>
      <c r="H116" s="3715" t="s">
        <v>1448</v>
      </c>
      <c r="I116" s="3715"/>
    </row>
    <row r="117" spans="1:27" ht="18.75" customHeight="1">
      <c r="A117" s="3715"/>
      <c r="B117" s="3751"/>
      <c r="C117" s="3751"/>
      <c r="D117" s="2329" t="s">
        <v>1449</v>
      </c>
      <c r="E117" s="2329" t="s">
        <v>1450</v>
      </c>
      <c r="F117" s="2329" t="s">
        <v>1449</v>
      </c>
      <c r="G117" s="2329" t="s">
        <v>1451</v>
      </c>
      <c r="H117" s="2329" t="s">
        <v>1449</v>
      </c>
      <c r="I117" s="2329" t="s">
        <v>1451</v>
      </c>
    </row>
    <row r="118" spans="1:27" ht="24.75" customHeight="1">
      <c r="A118" s="2597" t="str">
        <f>项目基本情况!S2</f>
        <v>北京市石景山区玉泉西里一区2号楼1层107房地产</v>
      </c>
      <c r="B118" s="2329">
        <f>M18</f>
        <v>642</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715" t="s">
        <v>1452</v>
      </c>
      <c r="B119" s="3715"/>
      <c r="C119" s="3715"/>
      <c r="D119" s="3755" t="e">
        <f ca="1">NUMBERSTRING(INT(D118*10000),2)&amp;"元整"</f>
        <v>#REF!</v>
      </c>
      <c r="E119" s="3757"/>
      <c r="F119" s="3755" t="e">
        <f ca="1">NUMBERSTRING(INT(F118*10000),2)&amp;"元整"</f>
        <v>#REF!</v>
      </c>
      <c r="G119" s="3757"/>
      <c r="H119" s="3755" t="e">
        <f ca="1">NUMBERSTRING(INT(H118*10000),2)&amp;"元整"</f>
        <v>#REF!</v>
      </c>
      <c r="I119" s="3757"/>
    </row>
    <row r="120" spans="1:27" ht="18.75" customHeight="1">
      <c r="A120" s="3779" t="str">
        <f>IF(项目基本情况!B9="房地产市场价值","",MID(E103,3,LEN(E103)-2))</f>
        <v/>
      </c>
      <c r="B120" s="3780"/>
      <c r="C120" s="3781"/>
      <c r="D120" s="3779">
        <f>H103</f>
        <v>0</v>
      </c>
      <c r="E120" s="3780"/>
      <c r="F120" s="3780"/>
      <c r="G120" s="3780"/>
      <c r="H120" s="3780"/>
      <c r="I120" s="3781"/>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755" t="s">
        <v>1452</v>
      </c>
      <c r="B121" s="3756"/>
      <c r="C121" s="3757"/>
      <c r="D121" s="3755" t="str">
        <f>IF(D120=0,"零元整",NUMBERSTRING(INT(D120*10000),2)&amp;"元整")</f>
        <v>零元整</v>
      </c>
      <c r="E121" s="3756"/>
      <c r="F121" s="3756"/>
      <c r="G121" s="3756"/>
      <c r="H121" s="3756"/>
      <c r="I121" s="3757"/>
      <c r="AA121" s="725"/>
    </row>
    <row r="122" spans="1:27" ht="18.75" customHeight="1">
      <c r="A122" s="3746" t="str">
        <f>IF(项目基本情况!B9="房地产市场价值","",MID(E107,3,LEN(E107)-2))</f>
        <v/>
      </c>
      <c r="B122" s="3746"/>
      <c r="C122" s="3746"/>
      <c r="D122" s="3779" t="e">
        <f ca="1">H107</f>
        <v>#REF!</v>
      </c>
      <c r="E122" s="3780"/>
      <c r="F122" s="3780"/>
      <c r="G122" s="3780"/>
      <c r="H122" s="3780"/>
      <c r="I122" s="3781"/>
      <c r="AA122" s="725"/>
    </row>
    <row r="123" spans="1:27" ht="18.75" customHeight="1">
      <c r="A123" s="3715" t="s">
        <v>1452</v>
      </c>
      <c r="B123" s="3715"/>
      <c r="C123" s="3715"/>
      <c r="D123" s="3755" t="e">
        <f ca="1">NUMBERSTRING(INT(D122*10000),2)&amp;"元整"</f>
        <v>#REF!</v>
      </c>
      <c r="E123" s="3756"/>
      <c r="F123" s="3756"/>
      <c r="G123" s="3756"/>
      <c r="H123" s="3756"/>
      <c r="I123" s="3757"/>
      <c r="AA123" s="725"/>
    </row>
    <row r="124" spans="1:27" ht="18.75" customHeight="1">
      <c r="A124" s="3746" t="str">
        <f>IF(项目基本情况!B9="房地产市场价值","",MID(E109,3,LEN(E109)-2))</f>
        <v/>
      </c>
      <c r="B124" s="3746"/>
      <c r="C124" s="3746"/>
      <c r="D124" s="3779" t="str">
        <f>H109</f>
        <v>——</v>
      </c>
      <c r="E124" s="3780"/>
      <c r="F124" s="3780"/>
      <c r="G124" s="3780"/>
      <c r="H124" s="3780"/>
      <c r="I124" s="3781"/>
      <c r="AA124" s="725"/>
    </row>
    <row r="125" spans="1:27" ht="18.75" customHeight="1">
      <c r="A125" s="3715" t="s">
        <v>1452</v>
      </c>
      <c r="B125" s="3715"/>
      <c r="C125" s="3715"/>
      <c r="D125" s="3755" t="e">
        <f>NUMBERSTRING(INT(D124*10000),2)&amp;"元整"</f>
        <v>#VALUE!</v>
      </c>
      <c r="E125" s="3756"/>
      <c r="F125" s="3756"/>
      <c r="G125" s="3756"/>
      <c r="H125" s="3756"/>
      <c r="I125" s="3757"/>
      <c r="AA125" s="725"/>
    </row>
    <row r="126" spans="1:27" ht="18.75" customHeight="1">
      <c r="A126" s="3746" t="str">
        <f>IF(项目基本情况!B9="房地产市场价值","",MID(E111,3,LEN(E111)-2))</f>
        <v/>
      </c>
      <c r="B126" s="3746"/>
      <c r="C126" s="3746"/>
      <c r="D126" s="3779" t="str">
        <f>H111</f>
        <v>——</v>
      </c>
      <c r="E126" s="3780"/>
      <c r="F126" s="3780"/>
      <c r="G126" s="3780"/>
      <c r="H126" s="3780"/>
      <c r="I126" s="3781"/>
      <c r="AA126" s="725"/>
    </row>
    <row r="127" spans="1:27" ht="18.75" customHeight="1">
      <c r="A127" s="3715" t="s">
        <v>1452</v>
      </c>
      <c r="B127" s="3715"/>
      <c r="C127" s="3715"/>
      <c r="D127" s="3755" t="e">
        <f>NUMBERSTRING(INT(D126*10000),2)&amp;"元整"</f>
        <v>#VALUE!</v>
      </c>
      <c r="E127" s="3756"/>
      <c r="F127" s="3756"/>
      <c r="G127" s="3756"/>
      <c r="H127" s="3756"/>
      <c r="I127" s="3757"/>
      <c r="AA127" s="725"/>
    </row>
    <row r="128" spans="1:27" ht="21.75" customHeight="1">
      <c r="A128" s="3762" t="s">
        <v>1453</v>
      </c>
      <c r="B128" s="3762"/>
      <c r="C128" s="3762"/>
      <c r="D128" s="3762"/>
      <c r="E128" s="3762"/>
      <c r="F128" s="3762"/>
      <c r="G128" s="3762"/>
      <c r="H128" s="3762"/>
      <c r="I128" s="376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36" sqref="I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370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5763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12.84</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12.84</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13</v>
      </c>
      <c r="D10" s="845">
        <f ca="1">IF(B1="",'数据-汇总表'!E6,IF(INDIRECT("'数据-取费表'!c"&amp;$G$1)="住宅",INDIRECT("'数据-取费表'!s"&amp;$G$1),INDIRECT("'数据-取费表'!k"&amp;$G$1)+INDIRECT("'数据-取费表'!s"&amp;$G$1)))</f>
        <v>642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13</v>
      </c>
      <c r="D19" s="849">
        <f ca="1">D9+D10</f>
        <v>642</v>
      </c>
      <c r="E19" s="211">
        <f>'数据-取费表'!B31</f>
        <v>200</v>
      </c>
      <c r="F19" s="231"/>
      <c r="G19" s="1856"/>
    </row>
    <row r="20" spans="1:7" s="214" customFormat="1" ht="13.5" customHeight="1">
      <c r="A20" s="255" t="s">
        <v>1493</v>
      </c>
      <c r="B20" s="210" t="s">
        <v>1494</v>
      </c>
      <c r="C20" s="232">
        <f ca="1">ROUND((C5+C19)*F20,0)</f>
        <v>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5</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315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289</v>
      </c>
      <c r="D34" s="217"/>
      <c r="E34" s="220"/>
      <c r="F34" s="257">
        <f ca="1">IF('数据-取费表'!B24=0,1,IF(B1="",'数据-取费表'!N16,INDIRECT("'数据-取费表'!n"&amp;$G$1)))</f>
        <v>1</v>
      </c>
      <c r="G34" s="219" t="s">
        <v>1526</v>
      </c>
    </row>
    <row r="35" spans="1:7" ht="13.5" customHeight="1">
      <c r="A35" s="780" t="s">
        <v>351</v>
      </c>
      <c r="B35" s="215" t="s">
        <v>1527</v>
      </c>
      <c r="C35" s="220">
        <f ca="1">ROUND(C34*F35,0)</f>
        <v>9</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13</v>
      </c>
      <c r="D37" s="217">
        <f ca="1">D19</f>
        <v>642</v>
      </c>
      <c r="E37" s="249">
        <f>'数据-取费表'!B35</f>
        <v>200</v>
      </c>
      <c r="F37" s="259"/>
      <c r="G37" s="261" t="s">
        <v>1532</v>
      </c>
    </row>
    <row r="38" spans="1:7" ht="13.5" customHeight="1">
      <c r="A38" s="780" t="s">
        <v>354</v>
      </c>
      <c r="B38" s="215" t="s">
        <v>1533</v>
      </c>
      <c r="C38" s="220">
        <f ca="1">ROUND(C34*F38,0)</f>
        <v>4</v>
      </c>
      <c r="D38" s="220"/>
      <c r="E38" s="220"/>
      <c r="F38" s="259">
        <f>'数据-取费表'!B36</f>
        <v>1.4999999999999999E-2</v>
      </c>
      <c r="G38" s="219" t="s">
        <v>1528</v>
      </c>
    </row>
    <row r="39" spans="1:7" s="214" customFormat="1" ht="13.5" customHeight="1">
      <c r="A39" s="255" t="s">
        <v>1534</v>
      </c>
      <c r="B39" s="210" t="s">
        <v>1535</v>
      </c>
      <c r="C39" s="232">
        <f ca="1">ROUND(C33*F20,0)</f>
        <v>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11</v>
      </c>
      <c r="D42" s="238"/>
      <c r="E42" s="238"/>
      <c r="F42" s="239"/>
      <c r="G42" s="3795" t="s">
        <v>1544</v>
      </c>
    </row>
    <row r="43" spans="1:7" ht="13.5" customHeight="1">
      <c r="A43" s="780" t="s">
        <v>347</v>
      </c>
      <c r="B43" s="215" t="s">
        <v>1545</v>
      </c>
      <c r="C43" s="238">
        <f ca="1">ROUND(IF('数据-取费表'!B22&lt;=1,C39*F22*'数据-取费表'!B21/2,C39*(POWER((1+F22),'数据-取费表'!B21/2)-1)),0)</f>
        <v>0</v>
      </c>
      <c r="D43" s="238"/>
      <c r="E43" s="238"/>
      <c r="F43" s="239"/>
      <c r="G43" s="3796"/>
    </row>
    <row r="44" spans="1:7" ht="13.5" customHeight="1">
      <c r="A44" s="780" t="s">
        <v>348</v>
      </c>
      <c r="B44" s="215" t="s">
        <v>1546</v>
      </c>
      <c r="C44" s="238">
        <f ca="1">ROUND(IF('数据-取费表'!B22&lt;=1,C40*F22*'数据-取费表'!B21/2,C40*(POWER((1+F22),'数据-取费表'!B21/2)-1)),4)</f>
        <v>6.9999999999999999E-4</v>
      </c>
      <c r="D44" s="238"/>
      <c r="E44" s="238"/>
      <c r="F44" s="239"/>
      <c r="G44" s="3797"/>
    </row>
    <row r="45" spans="1:7" s="214" customFormat="1" ht="13.5" customHeight="1">
      <c r="A45" s="255" t="s">
        <v>1547</v>
      </c>
      <c r="B45" s="244" t="s">
        <v>1513</v>
      </c>
      <c r="C45" s="245">
        <f ca="1">C46</f>
        <v>64</v>
      </c>
      <c r="D45" s="235">
        <f ca="1">C47</f>
        <v>4.0000000000000001E-3</v>
      </c>
      <c r="E45" s="236" t="s">
        <v>1539</v>
      </c>
      <c r="F45" s="246">
        <f ca="1">F27</f>
        <v>0.2</v>
      </c>
      <c r="G45" s="247" t="s">
        <v>1548</v>
      </c>
    </row>
    <row r="46" spans="1:7" s="214" customFormat="1" ht="13.5" customHeight="1">
      <c r="A46" s="780" t="s">
        <v>346</v>
      </c>
      <c r="B46" s="248" t="s">
        <v>1549</v>
      </c>
      <c r="C46" s="249">
        <f ca="1">ROUND((C33+C39)*F27,0)</f>
        <v>64</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430</v>
      </c>
      <c r="D49" s="232"/>
      <c r="E49" s="232"/>
      <c r="F49" s="264"/>
      <c r="G49" s="234" t="s">
        <v>1554</v>
      </c>
    </row>
    <row r="50" spans="1:7" s="258" customFormat="1" ht="24">
      <c r="A50" s="255" t="s">
        <v>1555</v>
      </c>
      <c r="B50" s="210" t="s">
        <v>1556</v>
      </c>
      <c r="C50" s="232"/>
      <c r="D50" s="232"/>
      <c r="E50" s="232"/>
      <c r="F50" s="264">
        <f>IF('数据-取费表'!B24=0,'数据-取费表'!N16,1)</f>
        <v>0.77500000000000002</v>
      </c>
      <c r="G50" s="247" t="s">
        <v>1557</v>
      </c>
    </row>
    <row r="51" spans="1:7" ht="16.5" customHeight="1">
      <c r="A51" s="255" t="s">
        <v>1558</v>
      </c>
      <c r="B51" s="210" t="s">
        <v>1559</v>
      </c>
      <c r="C51" s="232">
        <f ca="1">ROUND(C49*F50,0)</f>
        <v>333</v>
      </c>
      <c r="D51" s="232"/>
      <c r="E51" s="232"/>
      <c r="F51" s="264"/>
      <c r="G51" s="234" t="s">
        <v>1560</v>
      </c>
    </row>
    <row r="52" spans="1:7" s="208" customFormat="1" ht="16.5" thickBot="1">
      <c r="A52" s="265" t="s">
        <v>1561</v>
      </c>
      <c r="B52" s="266"/>
      <c r="C52" s="267">
        <f ca="1">C31+C51</f>
        <v>370</v>
      </c>
      <c r="D52" s="266"/>
      <c r="E52" s="266"/>
      <c r="F52" s="266"/>
      <c r="G52" s="268"/>
    </row>
    <row r="55" spans="1:7" ht="15">
      <c r="B55" s="270" t="s">
        <v>1562</v>
      </c>
      <c r="C55" s="271"/>
    </row>
    <row r="56" spans="1:7">
      <c r="B56" s="273" t="s">
        <v>802</v>
      </c>
      <c r="C56" s="275">
        <f ca="1">1-C57</f>
        <v>9.9999999999999978E-2</v>
      </c>
    </row>
    <row r="57" spans="1:7">
      <c r="B57" s="273" t="s">
        <v>803</v>
      </c>
      <c r="C57" s="274">
        <f ca="1">ROUND(C51/C52,3)</f>
        <v>0.9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612" t="str">
        <f>项目基本情况!B1</f>
        <v>北京市石景山区玉泉西里一区2号楼1层107房地产市场价值预评估</v>
      </c>
      <c r="C37" s="3612"/>
      <c r="D37" s="3612"/>
      <c r="E37" s="3612"/>
      <c r="F37" s="3612"/>
      <c r="G37" s="3612"/>
      <c r="H37" s="3612"/>
      <c r="I37" s="361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249977111117893"/>
    <pageSetUpPr fitToPage="1"/>
  </sheetPr>
  <dimension ref="A1:AC131"/>
  <sheetViews>
    <sheetView view="pageBreakPreview" topLeftCell="A5" zoomScale="80" zoomScaleNormal="70" zoomScaleSheetLayoutView="80" workbookViewId="0">
      <selection activeCell="K33" sqref="K3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3504</v>
      </c>
      <c r="E1" s="3423" t="s">
        <v>3568</v>
      </c>
      <c r="F1" s="1879" t="s">
        <v>3569</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0.67410000000000003</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10.5</v>
      </c>
      <c r="C3" s="354" t="s">
        <v>1768</v>
      </c>
      <c r="D3" s="353">
        <f>IF(D1="",'数据-汇总表'!E3,SUMIF('数据-汇总表'!$C19:$C33,D1,'数据-汇总表'!$E19:$E33))</f>
        <v>642</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1769</v>
      </c>
      <c r="B4" s="356"/>
      <c r="C4" s="3817" t="s">
        <v>1770</v>
      </c>
      <c r="D4" s="3818"/>
      <c r="E4" s="3819" t="s">
        <v>1771</v>
      </c>
      <c r="F4" s="3820"/>
      <c r="G4" s="3817" t="s">
        <v>1772</v>
      </c>
      <c r="H4" s="3818"/>
      <c r="I4" s="3817" t="s">
        <v>1773</v>
      </c>
      <c r="J4" s="3818"/>
      <c r="K4" s="559" t="s">
        <v>1774</v>
      </c>
      <c r="L4" s="2712"/>
      <c r="M4" s="2713"/>
      <c r="N4" s="2713"/>
      <c r="O4" s="2713"/>
      <c r="P4" s="3821" t="s">
        <v>1775</v>
      </c>
      <c r="Q4" s="3822"/>
      <c r="R4" s="3827" t="s">
        <v>1771</v>
      </c>
      <c r="S4" s="3828"/>
      <c r="T4" s="3827" t="s">
        <v>1772</v>
      </c>
      <c r="U4" s="3828"/>
      <c r="V4" s="3812" t="s">
        <v>1773</v>
      </c>
      <c r="W4" s="3812"/>
      <c r="X4" s="1355"/>
      <c r="Y4" s="3827" t="s">
        <v>1775</v>
      </c>
      <c r="Z4" s="3828"/>
      <c r="AA4" s="3814" t="s">
        <v>1771</v>
      </c>
      <c r="AB4" s="3812" t="s">
        <v>1772</v>
      </c>
      <c r="AC4" s="3814" t="s">
        <v>1773</v>
      </c>
    </row>
    <row r="5" spans="1:29" ht="15">
      <c r="A5" s="358"/>
      <c r="B5" s="359"/>
      <c r="C5" s="3840" t="s">
        <v>3753</v>
      </c>
      <c r="D5" s="3841"/>
      <c r="E5" s="3835" t="s">
        <v>3790</v>
      </c>
      <c r="F5" s="3836"/>
      <c r="G5" s="3835" t="s">
        <v>3754</v>
      </c>
      <c r="H5" s="3836"/>
      <c r="I5" s="3835" t="str">
        <f>租金表!B8</f>
        <v>翔鹰大厦</v>
      </c>
      <c r="J5" s="3836"/>
      <c r="K5" s="559"/>
      <c r="L5" s="2712"/>
      <c r="M5" s="2713"/>
      <c r="N5" s="2713"/>
      <c r="O5" s="2713"/>
      <c r="P5" s="3823"/>
      <c r="Q5" s="3824"/>
      <c r="R5" s="3829"/>
      <c r="S5" s="3830"/>
      <c r="T5" s="3829"/>
      <c r="U5" s="3830"/>
      <c r="V5" s="3812"/>
      <c r="W5" s="3812"/>
      <c r="X5" s="1355"/>
      <c r="Y5" s="3829"/>
      <c r="Z5" s="3830"/>
      <c r="AA5" s="3815"/>
      <c r="AB5" s="3812"/>
      <c r="AC5" s="3815"/>
    </row>
    <row r="6" spans="1:29" ht="15.75" thickBot="1">
      <c r="A6" s="360"/>
      <c r="B6" s="361"/>
      <c r="C6" s="3833" t="s">
        <v>1677</v>
      </c>
      <c r="D6" s="3834"/>
      <c r="E6" s="3842" t="s">
        <v>1677</v>
      </c>
      <c r="F6" s="3843"/>
      <c r="G6" s="3833" t="s">
        <v>1677</v>
      </c>
      <c r="H6" s="3834"/>
      <c r="I6" s="3833" t="s">
        <v>1677</v>
      </c>
      <c r="J6" s="3834"/>
      <c r="K6" s="559" t="s">
        <v>1678</v>
      </c>
      <c r="L6" s="2712"/>
      <c r="M6" s="2713"/>
      <c r="N6" s="2713"/>
      <c r="O6" s="2713"/>
      <c r="P6" s="3825"/>
      <c r="Q6" s="3826"/>
      <c r="R6" s="3829"/>
      <c r="S6" s="3830"/>
      <c r="T6" s="3831"/>
      <c r="U6" s="3832"/>
      <c r="V6" s="3812"/>
      <c r="W6" s="3812"/>
      <c r="X6" s="1355"/>
      <c r="Y6" s="3831"/>
      <c r="Z6" s="3832"/>
      <c r="AA6" s="3816"/>
      <c r="AB6" s="3812"/>
      <c r="AC6" s="3816"/>
    </row>
    <row r="7" spans="1:29" s="108" customFormat="1" ht="15.75" thickBot="1">
      <c r="A7" s="362" t="s">
        <v>1679</v>
      </c>
      <c r="B7" s="363"/>
      <c r="C7" s="364">
        <f>'数据-取费表'!B2</f>
        <v>45426</v>
      </c>
      <c r="D7" s="365">
        <v>100</v>
      </c>
      <c r="E7" s="366">
        <f>C7</f>
        <v>45426</v>
      </c>
      <c r="F7" s="367">
        <f>SUMIF(58:58,YEAR(E7)&amp;"-"&amp;MONTH(E7),59:59)</f>
        <v>100</v>
      </c>
      <c r="G7" s="366">
        <f>C7</f>
        <v>45426</v>
      </c>
      <c r="H7" s="365">
        <f>SUMIF(58:58,YEAR(G7)&amp;"-"&amp;MONTH(G7),59:59)</f>
        <v>100</v>
      </c>
      <c r="I7" s="366">
        <f>C7</f>
        <v>45426</v>
      </c>
      <c r="J7" s="365">
        <f>SUMIF(58:58,YEAR(I7)&amp;"-"&amp;MONTH(I7),59:59)</f>
        <v>100</v>
      </c>
      <c r="K7" s="560"/>
      <c r="L7" s="2714"/>
      <c r="M7" s="2715"/>
      <c r="N7" s="2715"/>
      <c r="O7" s="2715"/>
      <c r="P7" s="3837" t="s">
        <v>1680</v>
      </c>
      <c r="Q7" s="3839"/>
      <c r="R7" s="701" t="s">
        <v>14</v>
      </c>
      <c r="S7" s="702">
        <f t="shared" ref="S7:S15" si="0">F7</f>
        <v>100</v>
      </c>
      <c r="T7" s="701" t="s">
        <v>14</v>
      </c>
      <c r="U7" s="702">
        <f t="shared" ref="U7:U15" si="1">H7</f>
        <v>100</v>
      </c>
      <c r="V7" s="701" t="s">
        <v>14</v>
      </c>
      <c r="W7" s="702">
        <f t="shared" ref="W7:W15" si="2">J7</f>
        <v>100</v>
      </c>
      <c r="X7" s="703"/>
      <c r="Y7" s="3837" t="s">
        <v>1680</v>
      </c>
      <c r="Z7" s="3838"/>
      <c r="AA7" s="704">
        <f>D7/F7</f>
        <v>1</v>
      </c>
      <c r="AB7" s="704">
        <f>D7/H7</f>
        <v>1</v>
      </c>
      <c r="AC7" s="704">
        <f>D7/J7</f>
        <v>1</v>
      </c>
    </row>
    <row r="8" spans="1:29" s="108" customFormat="1" ht="15.75" thickBot="1">
      <c r="A8" s="362" t="s">
        <v>1681</v>
      </c>
      <c r="B8" s="363"/>
      <c r="C8" s="368" t="s">
        <v>3558</v>
      </c>
      <c r="D8" s="365">
        <v>100</v>
      </c>
      <c r="E8" s="368" t="s">
        <v>3558</v>
      </c>
      <c r="F8" s="367">
        <f>SUMIF(61:61,E8,62:62)-SUMIF(61:61,C8,62:62)+100</f>
        <v>100</v>
      </c>
      <c r="G8" s="368" t="s">
        <v>3558</v>
      </c>
      <c r="H8" s="365">
        <f>SUMIF(61:61,G8,62:62)-SUMIF(61:61,C8,62:62)+100</f>
        <v>100</v>
      </c>
      <c r="I8" s="368" t="s">
        <v>3558</v>
      </c>
      <c r="J8" s="365">
        <f>SUMIF(61:61,I8,62:62)-SUMIF(61:61,C8,62:62)+100</f>
        <v>100</v>
      </c>
      <c r="K8" s="560"/>
      <c r="L8" s="2714"/>
      <c r="M8" s="2715"/>
      <c r="N8" s="2715"/>
      <c r="O8" s="2715"/>
      <c r="P8" s="3837" t="s">
        <v>1683</v>
      </c>
      <c r="Q8" s="3838"/>
      <c r="R8" s="701" t="s">
        <v>14</v>
      </c>
      <c r="S8" s="702">
        <f t="shared" si="0"/>
        <v>100</v>
      </c>
      <c r="T8" s="701" t="s">
        <v>14</v>
      </c>
      <c r="U8" s="702">
        <f t="shared" si="1"/>
        <v>100</v>
      </c>
      <c r="V8" s="701" t="s">
        <v>14</v>
      </c>
      <c r="W8" s="702">
        <f t="shared" si="2"/>
        <v>100</v>
      </c>
      <c r="X8" s="703"/>
      <c r="Y8" s="3837" t="s">
        <v>1683</v>
      </c>
      <c r="Z8" s="3838"/>
      <c r="AA8" s="704">
        <f t="shared" ref="AA8:AA46" si="3">D8/F8</f>
        <v>1</v>
      </c>
      <c r="AB8" s="704">
        <f t="shared" ref="AB8:AB46" si="4">D8/H8</f>
        <v>1</v>
      </c>
      <c r="AC8" s="704">
        <f t="shared" ref="AC8:AC46" si="5">D8/J8</f>
        <v>1</v>
      </c>
    </row>
    <row r="9" spans="1:29" s="108" customFormat="1">
      <c r="A9" s="369" t="s">
        <v>1684</v>
      </c>
      <c r="B9" s="63" t="s">
        <v>1685</v>
      </c>
      <c r="C9" s="3537" t="s">
        <v>3559</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813" t="s">
        <v>1686</v>
      </c>
      <c r="Q9" s="1343" t="str">
        <f t="shared" ref="Q9:Q15" si="6">B9</f>
        <v>用途</v>
      </c>
      <c r="R9" s="701" t="s">
        <v>14</v>
      </c>
      <c r="S9" s="702">
        <f t="shared" si="0"/>
        <v>100</v>
      </c>
      <c r="T9" s="701" t="s">
        <v>14</v>
      </c>
      <c r="U9" s="702">
        <f t="shared" si="1"/>
        <v>100</v>
      </c>
      <c r="V9" s="701" t="s">
        <v>14</v>
      </c>
      <c r="W9" s="702">
        <f t="shared" si="2"/>
        <v>100</v>
      </c>
      <c r="X9" s="703"/>
      <c r="Y9" s="3702"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2"/>
      <c r="H10" s="127">
        <f>SUMIF(65:65,G10,66:66)-SUMIF(65:65,C10,66:66)+100</f>
        <v>100</v>
      </c>
      <c r="I10" s="3431"/>
      <c r="J10" s="127">
        <f>SUMIF(65:65,I10,66:66)-SUMIF(65:65,C10,66:66)+100</f>
        <v>100</v>
      </c>
      <c r="K10" s="560"/>
      <c r="L10" s="2716"/>
      <c r="M10" s="2717"/>
      <c r="N10" s="2717"/>
      <c r="O10" s="2717"/>
      <c r="P10" s="3813"/>
      <c r="Q10" s="1343" t="str">
        <f t="shared" si="6"/>
        <v>土地使用年限（年）</v>
      </c>
      <c r="R10" s="701" t="s">
        <v>14</v>
      </c>
      <c r="S10" s="702">
        <f t="shared" si="0"/>
        <v>100</v>
      </c>
      <c r="T10" s="701" t="s">
        <v>14</v>
      </c>
      <c r="U10" s="702">
        <f t="shared" si="1"/>
        <v>100</v>
      </c>
      <c r="V10" s="701" t="s">
        <v>14</v>
      </c>
      <c r="W10" s="702">
        <f t="shared" si="2"/>
        <v>100</v>
      </c>
      <c r="X10" s="703"/>
      <c r="Y10" s="3702"/>
      <c r="Z10" s="52"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1"/>
      <c r="H11" s="127">
        <f>LOOKUP(G11,68:68,69:69)-LOOKUP(C11,68:68,69:69)+100</f>
        <v>100</v>
      </c>
      <c r="I11" s="380"/>
      <c r="J11" s="127">
        <f>LOOKUP(I11,68:68,69:69)-LOOKUP(C11,68:68,69:69)+100</f>
        <v>100</v>
      </c>
      <c r="K11" s="561"/>
      <c r="L11" s="2718"/>
      <c r="M11" s="2713"/>
      <c r="N11" s="2713"/>
      <c r="O11" s="2713"/>
      <c r="P11" s="3813"/>
      <c r="Q11" s="1343" t="str">
        <f t="shared" si="6"/>
        <v>容积率</v>
      </c>
      <c r="R11" s="701" t="s">
        <v>14</v>
      </c>
      <c r="S11" s="702">
        <f t="shared" si="0"/>
        <v>100</v>
      </c>
      <c r="T11" s="701" t="s">
        <v>14</v>
      </c>
      <c r="U11" s="702">
        <f t="shared" si="1"/>
        <v>100</v>
      </c>
      <c r="V11" s="701" t="s">
        <v>14</v>
      </c>
      <c r="W11" s="702">
        <f t="shared" si="2"/>
        <v>100</v>
      </c>
      <c r="X11" s="703"/>
      <c r="Y11" s="3702"/>
      <c r="Z11" s="52" t="str">
        <f t="shared" si="7"/>
        <v>容积率</v>
      </c>
      <c r="AA11" s="704">
        <f t="shared" si="3"/>
        <v>1</v>
      </c>
      <c r="AB11" s="704">
        <f t="shared" si="4"/>
        <v>1</v>
      </c>
      <c r="AC11" s="704">
        <f t="shared" si="5"/>
        <v>1</v>
      </c>
    </row>
    <row r="12" spans="1:29" s="108" customFormat="1" ht="15.75" hidden="1" thickBot="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813"/>
      <c r="Q12" s="1343">
        <f t="shared" si="6"/>
        <v>111</v>
      </c>
      <c r="R12" s="701" t="s">
        <v>14</v>
      </c>
      <c r="S12" s="702">
        <f t="shared" si="0"/>
        <v>100</v>
      </c>
      <c r="T12" s="701" t="s">
        <v>14</v>
      </c>
      <c r="U12" s="702">
        <f t="shared" si="1"/>
        <v>100</v>
      </c>
      <c r="V12" s="701" t="s">
        <v>14</v>
      </c>
      <c r="W12" s="702">
        <f t="shared" si="2"/>
        <v>100</v>
      </c>
      <c r="X12" s="703"/>
      <c r="Y12" s="3702"/>
      <c r="Z12" s="52">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813"/>
      <c r="Q13" s="1343">
        <f t="shared" si="6"/>
        <v>111</v>
      </c>
      <c r="R13" s="701" t="s">
        <v>14</v>
      </c>
      <c r="S13" s="702">
        <f t="shared" si="0"/>
        <v>100</v>
      </c>
      <c r="T13" s="701" t="s">
        <v>14</v>
      </c>
      <c r="U13" s="702">
        <f t="shared" si="1"/>
        <v>100</v>
      </c>
      <c r="V13" s="701" t="s">
        <v>14</v>
      </c>
      <c r="W13" s="702">
        <f t="shared" si="2"/>
        <v>100</v>
      </c>
      <c r="X13" s="703"/>
      <c r="Y13" s="3702"/>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813"/>
      <c r="Q14" s="1343">
        <f t="shared" si="6"/>
        <v>111</v>
      </c>
      <c r="R14" s="701" t="s">
        <v>14</v>
      </c>
      <c r="S14" s="702">
        <f t="shared" si="0"/>
        <v>100</v>
      </c>
      <c r="T14" s="701" t="s">
        <v>14</v>
      </c>
      <c r="U14" s="702">
        <f t="shared" si="1"/>
        <v>100</v>
      </c>
      <c r="V14" s="701" t="s">
        <v>14</v>
      </c>
      <c r="W14" s="702">
        <f t="shared" si="2"/>
        <v>100</v>
      </c>
      <c r="X14" s="703"/>
      <c r="Y14" s="3702"/>
      <c r="Z14" s="52">
        <f t="shared" si="7"/>
        <v>111</v>
      </c>
      <c r="AA14" s="704">
        <f t="shared" si="3"/>
        <v>1</v>
      </c>
      <c r="AB14" s="704">
        <f t="shared" si="4"/>
        <v>1</v>
      </c>
      <c r="AC14" s="704">
        <f t="shared" si="5"/>
        <v>1</v>
      </c>
    </row>
    <row r="15" spans="1:29" ht="18.75" customHeight="1">
      <c r="A15" s="391" t="s">
        <v>1690</v>
      </c>
      <c r="B15" s="61" t="s">
        <v>1777</v>
      </c>
      <c r="C15" s="1896" t="str">
        <f>估价对象房地状况!C4</f>
        <v>较好</v>
      </c>
      <c r="D15" s="392">
        <v>100</v>
      </c>
      <c r="E15" s="403" t="s">
        <v>3500</v>
      </c>
      <c r="F15" s="394">
        <f>SUMIF(76:76,E16,77:77)-SUMIF(76:76,C16,77:77)+100</f>
        <v>100</v>
      </c>
      <c r="G15" s="403" t="s">
        <v>3500</v>
      </c>
      <c r="H15" s="392">
        <f>SUMIF(76:76,G16,77:77)-SUMIF(76:76,C16,77:77)+100</f>
        <v>100</v>
      </c>
      <c r="I15" s="3611" t="s">
        <v>3772</v>
      </c>
      <c r="J15" s="392">
        <f>SUMIF(76:76,I16,77:77)-SUMIF(76:76,C16,77:77)+100</f>
        <v>98</v>
      </c>
      <c r="K15" s="563">
        <v>2</v>
      </c>
      <c r="L15" s="2719"/>
      <c r="M15" s="2713"/>
      <c r="N15" s="2713"/>
      <c r="O15" s="2713"/>
      <c r="P15" s="3803" t="s">
        <v>1691</v>
      </c>
      <c r="Q15" s="1352" t="str">
        <f t="shared" si="6"/>
        <v>商业繁华度</v>
      </c>
      <c r="R15" s="705" t="s">
        <v>14</v>
      </c>
      <c r="S15" s="706">
        <f t="shared" si="0"/>
        <v>100</v>
      </c>
      <c r="T15" s="705" t="s">
        <v>14</v>
      </c>
      <c r="U15" s="706">
        <f t="shared" si="1"/>
        <v>100</v>
      </c>
      <c r="V15" s="705" t="s">
        <v>14</v>
      </c>
      <c r="W15" s="706">
        <f t="shared" si="2"/>
        <v>98</v>
      </c>
      <c r="X15" s="1355"/>
      <c r="Y15" s="3805" t="s">
        <v>1691</v>
      </c>
      <c r="Z15" s="1356" t="str">
        <f t="shared" si="7"/>
        <v>商业繁华度</v>
      </c>
      <c r="AA15" s="1353">
        <f t="shared" si="3"/>
        <v>1</v>
      </c>
      <c r="AB15" s="1353">
        <f t="shared" si="4"/>
        <v>1</v>
      </c>
      <c r="AC15" s="1353">
        <f t="shared" si="5"/>
        <v>1.0204081632653061</v>
      </c>
    </row>
    <row r="16" spans="1:29" ht="18.75" customHeight="1" thickBot="1">
      <c r="A16" s="379"/>
      <c r="B16" s="397"/>
      <c r="C16" s="398" t="s">
        <v>3500</v>
      </c>
      <c r="D16" s="399"/>
      <c r="E16" s="1903" t="s">
        <v>3500</v>
      </c>
      <c r="F16" s="400"/>
      <c r="G16" s="1903" t="s">
        <v>3500</v>
      </c>
      <c r="H16" s="401"/>
      <c r="I16" s="398" t="s">
        <v>3532</v>
      </c>
      <c r="J16" s="399"/>
      <c r="K16" s="564"/>
      <c r="L16" s="2719"/>
      <c r="M16" s="2713"/>
      <c r="N16" s="2713"/>
      <c r="O16" s="2713"/>
      <c r="P16" s="3804"/>
      <c r="Q16" s="1352"/>
      <c r="R16" s="705"/>
      <c r="S16" s="706"/>
      <c r="T16" s="705"/>
      <c r="U16" s="706"/>
      <c r="V16" s="705"/>
      <c r="W16" s="706"/>
      <c r="X16" s="1355"/>
      <c r="Y16" s="3806"/>
      <c r="Z16" s="1356"/>
      <c r="AA16" s="1353">
        <v>1</v>
      </c>
      <c r="AB16" s="1353">
        <v>1</v>
      </c>
      <c r="AC16" s="1353">
        <v>1</v>
      </c>
    </row>
    <row r="17" spans="1:29" ht="18.75" customHeight="1">
      <c r="A17" s="379"/>
      <c r="B17" s="402" t="s">
        <v>1259</v>
      </c>
      <c r="C17" s="1900" t="str">
        <f>估价对象房地状况!C6</f>
        <v>较好</v>
      </c>
      <c r="D17" s="401">
        <v>100</v>
      </c>
      <c r="E17" s="403" t="s">
        <v>3500</v>
      </c>
      <c r="F17" s="404">
        <f>SUMIF(78:78,E18,79:79)-SUMIF(78:78,C18,79:79)+100</f>
        <v>100</v>
      </c>
      <c r="G17" s="403" t="s">
        <v>3500</v>
      </c>
      <c r="H17" s="406">
        <f>SUMIF(78:78,G18,79:79)-SUMIF(78:78,C18,79:79)+100</f>
        <v>100</v>
      </c>
      <c r="I17" s="3611" t="s">
        <v>3772</v>
      </c>
      <c r="J17" s="406">
        <f>SUMIF(78:78,I18,79:79)-SUMIF(78:78,C18,79:79)+100</f>
        <v>98</v>
      </c>
      <c r="K17" s="563">
        <v>2</v>
      </c>
      <c r="L17" s="2719"/>
      <c r="M17" s="2713"/>
      <c r="N17" s="2713"/>
      <c r="O17" s="2713"/>
      <c r="P17" s="3804"/>
      <c r="Q17" s="1352" t="str">
        <f>B17</f>
        <v>交通便捷度</v>
      </c>
      <c r="R17" s="705" t="s">
        <v>14</v>
      </c>
      <c r="S17" s="706">
        <f>F17</f>
        <v>100</v>
      </c>
      <c r="T17" s="705" t="s">
        <v>14</v>
      </c>
      <c r="U17" s="706">
        <f>H17</f>
        <v>100</v>
      </c>
      <c r="V17" s="705" t="s">
        <v>14</v>
      </c>
      <c r="W17" s="706">
        <f>J17</f>
        <v>98</v>
      </c>
      <c r="X17" s="1355"/>
      <c r="Y17" s="3806"/>
      <c r="Z17" s="1356" t="str">
        <f>Q17</f>
        <v>交通便捷度</v>
      </c>
      <c r="AA17" s="1353">
        <f t="shared" si="3"/>
        <v>1</v>
      </c>
      <c r="AB17" s="1353">
        <f t="shared" si="4"/>
        <v>1</v>
      </c>
      <c r="AC17" s="1353">
        <f t="shared" si="5"/>
        <v>1.0204081632653061</v>
      </c>
    </row>
    <row r="18" spans="1:29" ht="18.75" customHeight="1" thickBot="1">
      <c r="A18" s="379"/>
      <c r="B18" s="407"/>
      <c r="C18" s="1901" t="s">
        <v>3500</v>
      </c>
      <c r="D18" s="401"/>
      <c r="E18" s="1903" t="s">
        <v>3500</v>
      </c>
      <c r="F18" s="404"/>
      <c r="G18" s="1903" t="s">
        <v>3500</v>
      </c>
      <c r="H18" s="399"/>
      <c r="I18" s="398" t="s">
        <v>3532</v>
      </c>
      <c r="J18" s="399"/>
      <c r="K18" s="564"/>
      <c r="L18" s="2719"/>
      <c r="M18" s="2713"/>
      <c r="N18" s="2713"/>
      <c r="O18" s="2713"/>
      <c r="P18" s="3804"/>
      <c r="Q18" s="1352"/>
      <c r="R18" s="705"/>
      <c r="S18" s="706"/>
      <c r="T18" s="705"/>
      <c r="U18" s="706"/>
      <c r="V18" s="705"/>
      <c r="W18" s="706"/>
      <c r="X18" s="1355"/>
      <c r="Y18" s="3806"/>
      <c r="Z18" s="1356"/>
      <c r="AA18" s="1353">
        <v>1</v>
      </c>
      <c r="AB18" s="1353">
        <v>1</v>
      </c>
      <c r="AC18" s="1353">
        <v>1</v>
      </c>
    </row>
    <row r="19" spans="1:29" ht="18.75" customHeight="1">
      <c r="A19" s="379"/>
      <c r="B19" s="402" t="s">
        <v>1778</v>
      </c>
      <c r="C19" s="1900" t="str">
        <f>估价对象房地状况!C7</f>
        <v>较好</v>
      </c>
      <c r="D19" s="406">
        <v>100</v>
      </c>
      <c r="E19" s="408" t="s">
        <v>3500</v>
      </c>
      <c r="F19" s="409">
        <f>SUMIF(80:80,E20,81:81)-SUMIF(80:80,C20,81:81)+100</f>
        <v>100</v>
      </c>
      <c r="G19" s="408" t="s">
        <v>3500</v>
      </c>
      <c r="H19" s="401">
        <f>SUMIF(80:80,G20,81:81)-SUMIF(80:80,C20,81:81)+100</f>
        <v>100</v>
      </c>
      <c r="I19" s="3611" t="s">
        <v>3772</v>
      </c>
      <c r="J19" s="401">
        <f>SUMIF(80:80,I20,81:81)-SUMIF(80:80,C20,81:81)+100</f>
        <v>98</v>
      </c>
      <c r="K19" s="563">
        <v>2</v>
      </c>
      <c r="L19" s="2719"/>
      <c r="M19" s="2713"/>
      <c r="N19" s="2713"/>
      <c r="O19" s="2713"/>
      <c r="P19" s="3804"/>
      <c r="Q19" s="1352" t="str">
        <f>B19</f>
        <v>公共配套设施</v>
      </c>
      <c r="R19" s="705" t="s">
        <v>14</v>
      </c>
      <c r="S19" s="706">
        <f>F19</f>
        <v>100</v>
      </c>
      <c r="T19" s="705" t="s">
        <v>14</v>
      </c>
      <c r="U19" s="706">
        <f>H19</f>
        <v>100</v>
      </c>
      <c r="V19" s="705" t="s">
        <v>14</v>
      </c>
      <c r="W19" s="706">
        <f>J19</f>
        <v>98</v>
      </c>
      <c r="X19" s="1355"/>
      <c r="Y19" s="3806"/>
      <c r="Z19" s="1356" t="str">
        <f>Q19</f>
        <v>公共配套设施</v>
      </c>
      <c r="AA19" s="1353">
        <f t="shared" si="3"/>
        <v>1</v>
      </c>
      <c r="AB19" s="1353">
        <f t="shared" si="4"/>
        <v>1</v>
      </c>
      <c r="AC19" s="1353">
        <f t="shared" si="5"/>
        <v>1.0204081632653061</v>
      </c>
    </row>
    <row r="20" spans="1:29" ht="18.75" customHeight="1">
      <c r="A20" s="379"/>
      <c r="B20" s="407"/>
      <c r="C20" s="398" t="s">
        <v>3500</v>
      </c>
      <c r="D20" s="399"/>
      <c r="E20" s="1898" t="s">
        <v>3500</v>
      </c>
      <c r="F20" s="400"/>
      <c r="G20" s="1898" t="s">
        <v>3500</v>
      </c>
      <c r="H20" s="399"/>
      <c r="I20" s="398" t="s">
        <v>3532</v>
      </c>
      <c r="J20" s="399"/>
      <c r="K20" s="564"/>
      <c r="L20" s="2719"/>
      <c r="M20" s="2713"/>
      <c r="N20" s="2713"/>
      <c r="O20" s="2713"/>
      <c r="P20" s="3804"/>
      <c r="Q20" s="1352"/>
      <c r="R20" s="705"/>
      <c r="S20" s="706"/>
      <c r="T20" s="705"/>
      <c r="U20" s="706"/>
      <c r="V20" s="705"/>
      <c r="W20" s="706"/>
      <c r="X20" s="1355"/>
      <c r="Y20" s="3806"/>
      <c r="Z20" s="1356"/>
      <c r="AA20" s="1353">
        <v>1</v>
      </c>
      <c r="AB20" s="1353">
        <v>1</v>
      </c>
      <c r="AC20" s="1353">
        <v>1</v>
      </c>
    </row>
    <row r="21" spans="1:29" ht="18.75" customHeight="1">
      <c r="A21" s="379"/>
      <c r="B21" s="1131" t="s">
        <v>1779</v>
      </c>
      <c r="C21" s="1900" t="str">
        <f>估价对象房地状况!C8</f>
        <v>七通</v>
      </c>
      <c r="D21" s="406">
        <v>100</v>
      </c>
      <c r="E21" s="408" t="s">
        <v>3501</v>
      </c>
      <c r="F21" s="409">
        <f>SUMIF(82:82,E22,83:83)-SUMIF(82:82,C22,83:83)+100</f>
        <v>100</v>
      </c>
      <c r="G21" s="408" t="s">
        <v>3501</v>
      </c>
      <c r="H21" s="401">
        <f>SUMIF(82:82,G22,83:83)-SUMIF(82:82,C22,83:83)+100</f>
        <v>100</v>
      </c>
      <c r="I21" s="408" t="s">
        <v>3501</v>
      </c>
      <c r="J21" s="401">
        <f>SUMIF(82:82,I22,83:83)-SUMIF(82:82,C22,83:83)+100</f>
        <v>100</v>
      </c>
      <c r="K21" s="563">
        <v>2</v>
      </c>
      <c r="L21" s="2719"/>
      <c r="M21" s="2713"/>
      <c r="N21" s="2713"/>
      <c r="O21" s="2713"/>
      <c r="P21" s="3804"/>
      <c r="Q21" s="1352" t="str">
        <f>B21</f>
        <v>基础设施水平</v>
      </c>
      <c r="R21" s="705" t="s">
        <v>14</v>
      </c>
      <c r="S21" s="706">
        <f>F21</f>
        <v>100</v>
      </c>
      <c r="T21" s="705" t="s">
        <v>14</v>
      </c>
      <c r="U21" s="706">
        <f>H21</f>
        <v>100</v>
      </c>
      <c r="V21" s="705" t="s">
        <v>14</v>
      </c>
      <c r="W21" s="706">
        <f>J21</f>
        <v>100</v>
      </c>
      <c r="X21" s="1355"/>
      <c r="Y21" s="3806"/>
      <c r="Z21" s="1356" t="str">
        <f>Q21</f>
        <v>基础设施水平</v>
      </c>
      <c r="AA21" s="1353">
        <f t="shared" ref="AA21" si="8">D21/F21</f>
        <v>1</v>
      </c>
      <c r="AB21" s="1353">
        <f t="shared" ref="AB21" si="9">D21/H21</f>
        <v>1</v>
      </c>
      <c r="AC21" s="1353">
        <f t="shared" ref="AC21" si="10">D21/J21</f>
        <v>1</v>
      </c>
    </row>
    <row r="22" spans="1:29" ht="18.75" customHeight="1">
      <c r="A22" s="379"/>
      <c r="B22" s="1131"/>
      <c r="C22" s="1901" t="s">
        <v>3501</v>
      </c>
      <c r="D22" s="399"/>
      <c r="E22" s="398" t="s">
        <v>3501</v>
      </c>
      <c r="F22" s="400"/>
      <c r="G22" s="398" t="s">
        <v>3501</v>
      </c>
      <c r="H22" s="399"/>
      <c r="I22" s="398" t="s">
        <v>3501</v>
      </c>
      <c r="J22" s="399"/>
      <c r="K22" s="1130"/>
      <c r="L22" s="2719"/>
      <c r="M22" s="2713"/>
      <c r="N22" s="2713"/>
      <c r="O22" s="2713"/>
      <c r="P22" s="3804"/>
      <c r="Q22" s="1352"/>
      <c r="R22" s="705"/>
      <c r="S22" s="706"/>
      <c r="T22" s="705"/>
      <c r="U22" s="706"/>
      <c r="V22" s="705"/>
      <c r="W22" s="706"/>
      <c r="X22" s="1355"/>
      <c r="Y22" s="3806"/>
      <c r="Z22" s="1356"/>
      <c r="AA22" s="1353">
        <v>1</v>
      </c>
      <c r="AB22" s="1353">
        <v>1</v>
      </c>
      <c r="AC22" s="1353">
        <v>1</v>
      </c>
    </row>
    <row r="23" spans="1:29" ht="18.75" customHeight="1">
      <c r="A23" s="379"/>
      <c r="B23" s="402" t="s">
        <v>1261</v>
      </c>
      <c r="C23" s="1955" t="str">
        <f>估价对象房地状况!C9</f>
        <v>较好</v>
      </c>
      <c r="D23" s="401">
        <v>100</v>
      </c>
      <c r="E23" s="403" t="s">
        <v>3500</v>
      </c>
      <c r="F23" s="404">
        <f>SUMIF(84:84,E24,85:85)-SUMIF(84:84,C24,85:85)+100</f>
        <v>100</v>
      </c>
      <c r="G23" s="403" t="s">
        <v>3500</v>
      </c>
      <c r="H23" s="401">
        <f>SUMIF(84:84,G24,85:85)-SUMIF(84:84,C24,85:85)+100</f>
        <v>100</v>
      </c>
      <c r="I23" s="403" t="s">
        <v>3500</v>
      </c>
      <c r="J23" s="401">
        <f>SUMIF(84:84,I24,85:85)-SUMIF(84:84,C24,85:85)+100</f>
        <v>100</v>
      </c>
      <c r="K23" s="563">
        <v>2</v>
      </c>
      <c r="L23" s="2719"/>
      <c r="M23" s="2713"/>
      <c r="N23" s="2713"/>
      <c r="O23" s="2713"/>
      <c r="P23" s="3804"/>
      <c r="Q23" s="1352" t="str">
        <f>B23</f>
        <v>自然及人文环境</v>
      </c>
      <c r="R23" s="705" t="s">
        <v>14</v>
      </c>
      <c r="S23" s="706">
        <f>F23</f>
        <v>100</v>
      </c>
      <c r="T23" s="705" t="s">
        <v>14</v>
      </c>
      <c r="U23" s="706">
        <f>H23</f>
        <v>100</v>
      </c>
      <c r="V23" s="705" t="s">
        <v>14</v>
      </c>
      <c r="W23" s="706">
        <f>J23</f>
        <v>100</v>
      </c>
      <c r="X23" s="1355"/>
      <c r="Y23" s="3806"/>
      <c r="Z23" s="1356" t="str">
        <f>Q23</f>
        <v>自然及人文环境</v>
      </c>
      <c r="AA23" s="1353">
        <f t="shared" si="3"/>
        <v>1</v>
      </c>
      <c r="AB23" s="1353">
        <f t="shared" si="4"/>
        <v>1</v>
      </c>
      <c r="AC23" s="1353">
        <f t="shared" si="5"/>
        <v>1</v>
      </c>
    </row>
    <row r="24" spans="1:29" ht="15">
      <c r="A24" s="379"/>
      <c r="B24" s="407"/>
      <c r="C24" s="398" t="s">
        <v>3500</v>
      </c>
      <c r="D24" s="399"/>
      <c r="E24" s="1898" t="s">
        <v>3500</v>
      </c>
      <c r="F24" s="400"/>
      <c r="G24" s="1898" t="s">
        <v>3500</v>
      </c>
      <c r="H24" s="399"/>
      <c r="I24" s="1898" t="s">
        <v>3500</v>
      </c>
      <c r="J24" s="399"/>
      <c r="K24" s="564"/>
      <c r="L24" s="2719"/>
      <c r="M24" s="2713"/>
      <c r="N24" s="2713"/>
      <c r="O24" s="2713"/>
      <c r="P24" s="3804"/>
      <c r="Q24" s="1352"/>
      <c r="R24" s="705"/>
      <c r="S24" s="706"/>
      <c r="T24" s="705"/>
      <c r="U24" s="706"/>
      <c r="V24" s="705"/>
      <c r="W24" s="706"/>
      <c r="X24" s="1355"/>
      <c r="Y24" s="3806"/>
      <c r="Z24" s="1356"/>
      <c r="AA24" s="1353">
        <v>1</v>
      </c>
      <c r="AB24" s="1353">
        <v>1</v>
      </c>
      <c r="AC24" s="1353">
        <v>1</v>
      </c>
    </row>
    <row r="25" spans="1:29" ht="15">
      <c r="A25" s="379"/>
      <c r="B25" s="375" t="s">
        <v>1780</v>
      </c>
      <c r="C25" s="565" t="s">
        <v>3502</v>
      </c>
      <c r="D25" s="386">
        <v>100</v>
      </c>
      <c r="E25" s="565" t="s">
        <v>3502</v>
      </c>
      <c r="F25" s="412">
        <f>SUMIF(86:86,E25,87:87)-SUMIF(86:86,C25,87:87)+100</f>
        <v>100</v>
      </c>
      <c r="G25" s="565" t="s">
        <v>3620</v>
      </c>
      <c r="H25" s="386">
        <f>SUMIF(86:86,G25,87:87)-SUMIF(86:86,C25,87:87)+100</f>
        <v>105</v>
      </c>
      <c r="I25" s="565" t="s">
        <v>3620</v>
      </c>
      <c r="J25" s="386">
        <f>SUMIF(86:86,I25,87:87)-SUMIF(86:86,C25,87:87)+100</f>
        <v>105</v>
      </c>
      <c r="K25" s="561">
        <v>5</v>
      </c>
      <c r="L25" s="2719"/>
      <c r="M25" s="2713"/>
      <c r="N25" s="2713"/>
      <c r="O25" s="2713"/>
      <c r="P25" s="3804"/>
      <c r="Q25" s="1352" t="str">
        <f t="shared" ref="Q25:Q46" si="11">B25</f>
        <v>临街状况</v>
      </c>
      <c r="R25" s="705" t="s">
        <v>14</v>
      </c>
      <c r="S25" s="706">
        <f>F25</f>
        <v>100</v>
      </c>
      <c r="T25" s="705" t="s">
        <v>14</v>
      </c>
      <c r="U25" s="706">
        <f>H25</f>
        <v>105</v>
      </c>
      <c r="V25" s="705" t="s">
        <v>14</v>
      </c>
      <c r="W25" s="706">
        <f>J25</f>
        <v>105</v>
      </c>
      <c r="X25" s="1355"/>
      <c r="Y25" s="3806"/>
      <c r="Z25" s="1356" t="str">
        <f>Q25</f>
        <v>临街状况</v>
      </c>
      <c r="AA25" s="1353">
        <f t="shared" si="3"/>
        <v>1</v>
      </c>
      <c r="AB25" s="1353">
        <f t="shared" si="4"/>
        <v>0.95238095238095233</v>
      </c>
      <c r="AC25" s="1353">
        <f t="shared" si="5"/>
        <v>0.95238095238095233</v>
      </c>
    </row>
    <row r="26" spans="1:29" ht="15">
      <c r="A26" s="379"/>
      <c r="B26" s="1133" t="s">
        <v>1781</v>
      </c>
      <c r="C26" s="3538" t="s">
        <v>3560</v>
      </c>
      <c r="D26" s="386">
        <v>100</v>
      </c>
      <c r="E26" s="385" t="s">
        <v>3503</v>
      </c>
      <c r="F26" s="412">
        <f>SUMIF(88:88,E26,89:89)-SUMIF(88:88,C26,89:89)+100</f>
        <v>100</v>
      </c>
      <c r="G26" s="385" t="s">
        <v>3503</v>
      </c>
      <c r="H26" s="386">
        <f>SUMIF(88:88,G26,89:89)-SUMIF(88:88,C26,89:89)+100</f>
        <v>100</v>
      </c>
      <c r="I26" s="385" t="s">
        <v>3503</v>
      </c>
      <c r="J26" s="386">
        <f>SUMIF(88:88,I26,89:89)-SUMIF(88:88,C26,89:89)+100</f>
        <v>100</v>
      </c>
      <c r="K26" s="562"/>
      <c r="L26" s="2719"/>
      <c r="M26" s="2713"/>
      <c r="N26" s="2713"/>
      <c r="O26" s="2713"/>
      <c r="P26" s="3804"/>
      <c r="Q26" s="1352" t="str">
        <f t="shared" si="11"/>
        <v>平面位置/可视性</v>
      </c>
      <c r="R26" s="705" t="s">
        <v>14</v>
      </c>
      <c r="S26" s="706">
        <f>F26</f>
        <v>100</v>
      </c>
      <c r="T26" s="705" t="s">
        <v>14</v>
      </c>
      <c r="U26" s="706">
        <f>H26</f>
        <v>100</v>
      </c>
      <c r="V26" s="705" t="s">
        <v>14</v>
      </c>
      <c r="W26" s="706">
        <f>J26</f>
        <v>100</v>
      </c>
      <c r="X26" s="1355"/>
      <c r="Y26" s="3806"/>
      <c r="Z26" s="1356" t="str">
        <f>Q26</f>
        <v>平面位置/可视性</v>
      </c>
      <c r="AA26" s="1353">
        <f t="shared" si="3"/>
        <v>1</v>
      </c>
      <c r="AB26" s="1353">
        <f t="shared" si="4"/>
        <v>1</v>
      </c>
      <c r="AC26" s="1353">
        <f t="shared" si="5"/>
        <v>1</v>
      </c>
    </row>
    <row r="27" spans="1:29" s="108" customFormat="1" ht="15">
      <c r="A27" s="382"/>
      <c r="B27" s="402" t="s">
        <v>1782</v>
      </c>
      <c r="C27" s="1956" t="s">
        <v>3532</v>
      </c>
      <c r="D27" s="413">
        <v>100</v>
      </c>
      <c r="E27" s="1956" t="s">
        <v>3532</v>
      </c>
      <c r="F27" s="415">
        <f>SUMIF(90:90,E27,91:91)-SUMIF(90:90,C27,91:91)+100</f>
        <v>100</v>
      </c>
      <c r="G27" s="1956" t="s">
        <v>3500</v>
      </c>
      <c r="H27" s="413">
        <f>SUMIF(90:90,G27,91:91)-SUMIF(90:90,C27,91:91)+100</f>
        <v>105</v>
      </c>
      <c r="I27" s="1956" t="s">
        <v>3543</v>
      </c>
      <c r="J27" s="413">
        <f>SUMIF(90:90,I27,91:91)-SUMIF(90:90,C27,91:91)+100</f>
        <v>95</v>
      </c>
      <c r="K27" s="561">
        <v>5</v>
      </c>
      <c r="L27" s="2714"/>
      <c r="M27" s="2715"/>
      <c r="N27" s="2715"/>
      <c r="O27" s="2715"/>
      <c r="P27" s="3804"/>
      <c r="Q27" s="1343" t="str">
        <f t="shared" si="11"/>
        <v>人流量</v>
      </c>
      <c r="R27" s="701" t="s">
        <v>14</v>
      </c>
      <c r="S27" s="702">
        <f>F27</f>
        <v>100</v>
      </c>
      <c r="T27" s="701" t="s">
        <v>14</v>
      </c>
      <c r="U27" s="702">
        <f>H27</f>
        <v>105</v>
      </c>
      <c r="V27" s="701" t="s">
        <v>14</v>
      </c>
      <c r="W27" s="702">
        <f>J27</f>
        <v>95</v>
      </c>
      <c r="X27" s="703"/>
      <c r="Y27" s="3806"/>
      <c r="Z27" s="52" t="str">
        <f>Q27</f>
        <v>人流量</v>
      </c>
      <c r="AA27" s="1353">
        <f>D27/F27</f>
        <v>1</v>
      </c>
      <c r="AB27" s="1353">
        <f>D27/H27</f>
        <v>0.95238095238095233</v>
      </c>
      <c r="AC27" s="1353">
        <f>D27/J27</f>
        <v>1.0526315789473684</v>
      </c>
    </row>
    <row r="28" spans="1:29" ht="15">
      <c r="A28" s="379"/>
      <c r="B28" s="375" t="s">
        <v>1783</v>
      </c>
      <c r="C28" s="565" t="s">
        <v>3504</v>
      </c>
      <c r="D28" s="386">
        <v>100</v>
      </c>
      <c r="E28" s="565" t="s">
        <v>3504</v>
      </c>
      <c r="F28" s="412">
        <f>SUMIF(92:92,E28,93:93)-SUMIF(92:92,C28,93:93)+100</f>
        <v>100</v>
      </c>
      <c r="G28" s="565" t="s">
        <v>3761</v>
      </c>
      <c r="H28" s="386">
        <f>SUMIF(92:92,G28,93:93)-SUMIF(92:92,C28,93:93)+100</f>
        <v>80</v>
      </c>
      <c r="I28" s="565" t="s">
        <v>3504</v>
      </c>
      <c r="J28" s="386">
        <f>SUMIF(92:92,I28,93:93)-SUMIF(92:92,C28,93:93)+100</f>
        <v>100</v>
      </c>
      <c r="K28" s="562"/>
      <c r="L28" s="2719"/>
      <c r="M28" s="2713"/>
      <c r="N28" s="2713"/>
      <c r="O28" s="2713"/>
      <c r="P28" s="3804"/>
      <c r="Q28" s="1352" t="str">
        <f t="shared" si="11"/>
        <v>楼层</v>
      </c>
      <c r="R28" s="705" t="s">
        <v>14</v>
      </c>
      <c r="S28" s="706">
        <f t="shared" ref="S28:S46" si="12">F28</f>
        <v>100</v>
      </c>
      <c r="T28" s="705" t="s">
        <v>14</v>
      </c>
      <c r="U28" s="706">
        <f t="shared" ref="U28:U46" si="13">H28</f>
        <v>80</v>
      </c>
      <c r="V28" s="705" t="s">
        <v>14</v>
      </c>
      <c r="W28" s="706">
        <f t="shared" ref="W28:W46" si="14">J28</f>
        <v>100</v>
      </c>
      <c r="X28" s="1355"/>
      <c r="Y28" s="3806"/>
      <c r="Z28" s="1356" t="str">
        <f t="shared" ref="Z28:Z46" si="15">Q28</f>
        <v>楼层</v>
      </c>
      <c r="AA28" s="1353">
        <f t="shared" si="3"/>
        <v>1</v>
      </c>
      <c r="AB28" s="1353">
        <f t="shared" si="4"/>
        <v>1.25</v>
      </c>
      <c r="AC28" s="1353">
        <f t="shared" si="5"/>
        <v>1</v>
      </c>
    </row>
    <row r="29" spans="1:29" ht="15.75" thickBot="1">
      <c r="A29" s="379"/>
      <c r="B29" s="3555" t="s">
        <v>3765</v>
      </c>
      <c r="C29" s="3538"/>
      <c r="D29" s="386">
        <v>100</v>
      </c>
      <c r="E29" s="3538"/>
      <c r="F29" s="412">
        <f>SUMIF(94:94,E29,95:95)-SUMIF(94:94,C29,95:95)+100</f>
        <v>100</v>
      </c>
      <c r="G29" s="3538"/>
      <c r="H29" s="386">
        <f>SUMIF(94:94,G29,95:95)-SUMIF(94:94,C29,95:95)+100</f>
        <v>100</v>
      </c>
      <c r="I29" s="3538"/>
      <c r="J29" s="386">
        <f>SUMIF(94:94,I29,95:95)-SUMIF(94:94,C29,95:95)+100</f>
        <v>100</v>
      </c>
      <c r="K29" s="562"/>
      <c r="L29" s="2719"/>
      <c r="M29" s="2713"/>
      <c r="N29" s="2713"/>
      <c r="O29" s="2713"/>
      <c r="P29" s="3804"/>
      <c r="Q29" s="1352" t="str">
        <f t="shared" si="11"/>
        <v>主要临路</v>
      </c>
      <c r="R29" s="705" t="s">
        <v>14</v>
      </c>
      <c r="S29" s="706">
        <f t="shared" si="12"/>
        <v>100</v>
      </c>
      <c r="T29" s="705" t="s">
        <v>14</v>
      </c>
      <c r="U29" s="706">
        <f t="shared" si="13"/>
        <v>100</v>
      </c>
      <c r="V29" s="705" t="s">
        <v>14</v>
      </c>
      <c r="W29" s="706">
        <f t="shared" si="14"/>
        <v>100</v>
      </c>
      <c r="X29" s="1355"/>
      <c r="Y29" s="3806"/>
      <c r="Z29" s="1356" t="str">
        <f t="shared" si="15"/>
        <v>主要临路</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804"/>
      <c r="Q30" s="1352">
        <f t="shared" si="11"/>
        <v>111</v>
      </c>
      <c r="R30" s="705" t="s">
        <v>14</v>
      </c>
      <c r="S30" s="706">
        <f t="shared" si="12"/>
        <v>100</v>
      </c>
      <c r="T30" s="705" t="s">
        <v>14</v>
      </c>
      <c r="U30" s="706">
        <f t="shared" si="13"/>
        <v>100</v>
      </c>
      <c r="V30" s="705" t="s">
        <v>14</v>
      </c>
      <c r="W30" s="706">
        <f t="shared" si="14"/>
        <v>100</v>
      </c>
      <c r="X30" s="1355"/>
      <c r="Y30" s="3806"/>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804"/>
      <c r="Q31" s="1352">
        <f t="shared" si="11"/>
        <v>111</v>
      </c>
      <c r="R31" s="705" t="s">
        <v>14</v>
      </c>
      <c r="S31" s="706">
        <f t="shared" si="12"/>
        <v>100</v>
      </c>
      <c r="T31" s="705" t="s">
        <v>14</v>
      </c>
      <c r="U31" s="706">
        <f t="shared" si="13"/>
        <v>100</v>
      </c>
      <c r="V31" s="705" t="s">
        <v>14</v>
      </c>
      <c r="W31" s="706">
        <f t="shared" si="14"/>
        <v>100</v>
      </c>
      <c r="X31" s="1355"/>
      <c r="Y31" s="3806"/>
      <c r="Z31" s="1356">
        <f t="shared" si="15"/>
        <v>111</v>
      </c>
      <c r="AA31" s="1353">
        <f t="shared" si="3"/>
        <v>1</v>
      </c>
      <c r="AB31" s="1353">
        <f t="shared" si="4"/>
        <v>1</v>
      </c>
      <c r="AC31" s="1353">
        <f t="shared" si="5"/>
        <v>1</v>
      </c>
    </row>
    <row r="32" spans="1:29" ht="15">
      <c r="A32" s="391" t="s">
        <v>1694</v>
      </c>
      <c r="B32" s="63" t="s">
        <v>1784</v>
      </c>
      <c r="C32" s="1910" t="s">
        <v>3505</v>
      </c>
      <c r="D32" s="418">
        <v>100</v>
      </c>
      <c r="E32" s="1910" t="s">
        <v>3505</v>
      </c>
      <c r="F32" s="412">
        <f>SUMIF(100:100,E32,101:101)-SUMIF(100:100,C32,101:101)+100</f>
        <v>100</v>
      </c>
      <c r="G32" s="1910" t="s">
        <v>3505</v>
      </c>
      <c r="H32" s="386">
        <f>SUMIF(100:100,G32,101:101)-SUMIF(100:100,C32,101:101)+100</f>
        <v>100</v>
      </c>
      <c r="I32" s="1910" t="s">
        <v>3561</v>
      </c>
      <c r="J32" s="418">
        <f>SUMIF(100:100,I32,101:101)-SUMIF(100:100,C32,101:101)+100</f>
        <v>105</v>
      </c>
      <c r="K32" s="561">
        <v>5</v>
      </c>
      <c r="L32" s="2719"/>
      <c r="M32" s="2713"/>
      <c r="N32" s="2713"/>
      <c r="O32" s="2713"/>
      <c r="P32" s="3807" t="s">
        <v>1696</v>
      </c>
      <c r="Q32" s="1352" t="str">
        <f t="shared" si="11"/>
        <v>商业类型</v>
      </c>
      <c r="R32" s="705" t="s">
        <v>14</v>
      </c>
      <c r="S32" s="706">
        <f t="shared" si="12"/>
        <v>100</v>
      </c>
      <c r="T32" s="705" t="s">
        <v>14</v>
      </c>
      <c r="U32" s="706">
        <f t="shared" si="13"/>
        <v>100</v>
      </c>
      <c r="V32" s="705" t="s">
        <v>14</v>
      </c>
      <c r="W32" s="706">
        <f t="shared" si="14"/>
        <v>105</v>
      </c>
      <c r="X32" s="1355"/>
      <c r="Y32" s="3810" t="s">
        <v>1696</v>
      </c>
      <c r="Z32" s="1356" t="str">
        <f t="shared" si="15"/>
        <v>商业类型</v>
      </c>
      <c r="AA32" s="1353">
        <f t="shared" si="3"/>
        <v>1</v>
      </c>
      <c r="AB32" s="1353">
        <f t="shared" si="4"/>
        <v>1</v>
      </c>
      <c r="AC32" s="1353">
        <f t="shared" si="5"/>
        <v>0.95238095238095233</v>
      </c>
    </row>
    <row r="33" spans="1:29" s="422" customFormat="1" ht="15">
      <c r="A33" s="419"/>
      <c r="B33" s="375" t="s">
        <v>1697</v>
      </c>
      <c r="C33" s="420">
        <f>'数据-汇总表'!F19</f>
        <v>642</v>
      </c>
      <c r="D33" s="127">
        <v>100</v>
      </c>
      <c r="E33" s="381">
        <f>租金表!F19</f>
        <v>380.25</v>
      </c>
      <c r="F33" s="376">
        <f>LOOKUP(E33,103:103,104:104)-LOOKUP(C33,103:103,104:104)+100</f>
        <v>102</v>
      </c>
      <c r="G33" s="380">
        <f>租金表!D3</f>
        <v>1311.28</v>
      </c>
      <c r="H33" s="127">
        <f>LOOKUP(G33,103:103,104:104)-LOOKUP(C33,103:103,104:104)+100</f>
        <v>98</v>
      </c>
      <c r="I33" s="380">
        <f>租金表!D7</f>
        <v>500</v>
      </c>
      <c r="J33" s="127">
        <f>LOOKUP(I33,103:103,104:104)-LOOKUP(C33,103:103,104:104)+100</f>
        <v>100</v>
      </c>
      <c r="K33" s="562"/>
      <c r="L33" s="2718"/>
      <c r="M33" s="2720"/>
      <c r="N33" s="2720"/>
      <c r="O33" s="2720"/>
      <c r="P33" s="3808"/>
      <c r="Q33" s="707" t="str">
        <f t="shared" si="11"/>
        <v>项目建筑规模</v>
      </c>
      <c r="R33" s="708" t="s">
        <v>14</v>
      </c>
      <c r="S33" s="709">
        <f t="shared" si="12"/>
        <v>102</v>
      </c>
      <c r="T33" s="708" t="s">
        <v>14</v>
      </c>
      <c r="U33" s="709">
        <f t="shared" si="13"/>
        <v>98</v>
      </c>
      <c r="V33" s="708" t="s">
        <v>14</v>
      </c>
      <c r="W33" s="709">
        <f t="shared" si="14"/>
        <v>100</v>
      </c>
      <c r="X33" s="710"/>
      <c r="Y33" s="3810"/>
      <c r="Z33" s="711" t="str">
        <f t="shared" si="15"/>
        <v>项目建筑规模</v>
      </c>
      <c r="AA33" s="1353">
        <f t="shared" si="3"/>
        <v>0.98039215686274506</v>
      </c>
      <c r="AB33" s="1353">
        <f t="shared" si="4"/>
        <v>1.0204081632653061</v>
      </c>
      <c r="AC33" s="1353">
        <f t="shared" si="5"/>
        <v>1</v>
      </c>
    </row>
    <row r="34" spans="1:29" ht="15">
      <c r="A34" s="423"/>
      <c r="B34" s="375" t="s">
        <v>1698</v>
      </c>
      <c r="C34" s="1912" t="s">
        <v>3506</v>
      </c>
      <c r="D34" s="386">
        <v>100</v>
      </c>
      <c r="E34" s="1912" t="s">
        <v>3506</v>
      </c>
      <c r="F34" s="412">
        <f>SUMIF(105:105,E34,106:106)-SUMIF(105:105,C34,106:106)+100</f>
        <v>100</v>
      </c>
      <c r="G34" s="1912" t="s">
        <v>3506</v>
      </c>
      <c r="H34" s="386">
        <f>SUMIF(105:105,G34,106:106)-SUMIF(105:105,C34,106:106)+100</f>
        <v>100</v>
      </c>
      <c r="I34" s="1912" t="s">
        <v>3506</v>
      </c>
      <c r="J34" s="386">
        <f>SUMIF(105:105,I34,106:106)-SUMIF(105:105,C34,106:106)+100</f>
        <v>100</v>
      </c>
      <c r="K34" s="561">
        <v>2</v>
      </c>
      <c r="L34" s="2719"/>
      <c r="M34" s="2713"/>
      <c r="N34" s="2713"/>
      <c r="O34" s="2713"/>
      <c r="P34" s="3808"/>
      <c r="Q34" s="1352" t="str">
        <f t="shared" si="11"/>
        <v>建筑结构</v>
      </c>
      <c r="R34" s="705" t="s">
        <v>14</v>
      </c>
      <c r="S34" s="706">
        <f t="shared" si="12"/>
        <v>100</v>
      </c>
      <c r="T34" s="705" t="s">
        <v>14</v>
      </c>
      <c r="U34" s="706">
        <f t="shared" si="13"/>
        <v>100</v>
      </c>
      <c r="V34" s="705" t="s">
        <v>14</v>
      </c>
      <c r="W34" s="706">
        <f t="shared" si="14"/>
        <v>100</v>
      </c>
      <c r="X34" s="1355"/>
      <c r="Y34" s="3810"/>
      <c r="Z34" s="1356" t="str">
        <f t="shared" si="15"/>
        <v>建筑结构</v>
      </c>
      <c r="AA34" s="1353">
        <f t="shared" si="3"/>
        <v>1</v>
      </c>
      <c r="AB34" s="1353">
        <f t="shared" si="4"/>
        <v>1</v>
      </c>
      <c r="AC34" s="1353">
        <f t="shared" si="5"/>
        <v>1</v>
      </c>
    </row>
    <row r="35" spans="1:29" ht="15">
      <c r="A35" s="423"/>
      <c r="B35" s="375" t="s">
        <v>1785</v>
      </c>
      <c r="C35" s="1906" t="s">
        <v>3507</v>
      </c>
      <c r="D35" s="386">
        <v>100</v>
      </c>
      <c r="E35" s="1906" t="s">
        <v>3507</v>
      </c>
      <c r="F35" s="412">
        <f>SUMIF(107:107,E35,108:108)-SUMIF(107:107,C35,108:108)+100</f>
        <v>100</v>
      </c>
      <c r="G35" s="1906" t="s">
        <v>3507</v>
      </c>
      <c r="H35" s="386">
        <f>SUMIF(107:107,G35,108:108)-SUMIF(107:107,C35,108:108)+100</f>
        <v>100</v>
      </c>
      <c r="I35" s="1906" t="s">
        <v>3507</v>
      </c>
      <c r="J35" s="386">
        <f>SUMIF(107:107,I35,108:108)-SUMIF(107:107,C35,108:108)+100</f>
        <v>100</v>
      </c>
      <c r="K35" s="561">
        <v>2</v>
      </c>
      <c r="L35" s="2719"/>
      <c r="M35" s="2713"/>
      <c r="N35" s="2713"/>
      <c r="O35" s="2713"/>
      <c r="P35" s="3808"/>
      <c r="Q35" s="1352" t="str">
        <f t="shared" si="11"/>
        <v>公共部分装修</v>
      </c>
      <c r="R35" s="705" t="s">
        <v>14</v>
      </c>
      <c r="S35" s="706">
        <f t="shared" si="12"/>
        <v>100</v>
      </c>
      <c r="T35" s="705" t="s">
        <v>14</v>
      </c>
      <c r="U35" s="706">
        <f t="shared" si="13"/>
        <v>100</v>
      </c>
      <c r="V35" s="705" t="s">
        <v>14</v>
      </c>
      <c r="W35" s="706">
        <f t="shared" si="14"/>
        <v>100</v>
      </c>
      <c r="X35" s="1355"/>
      <c r="Y35" s="3810"/>
      <c r="Z35" s="1356" t="str">
        <f t="shared" si="15"/>
        <v>公共部分装修</v>
      </c>
      <c r="AA35" s="1353">
        <f t="shared" si="3"/>
        <v>1</v>
      </c>
      <c r="AB35" s="1353">
        <f t="shared" si="4"/>
        <v>1</v>
      </c>
      <c r="AC35" s="1353">
        <f t="shared" si="5"/>
        <v>1</v>
      </c>
    </row>
    <row r="36" spans="1:29" ht="15" hidden="1">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c r="L36" s="2719"/>
      <c r="M36" s="2713"/>
      <c r="N36" s="2713"/>
      <c r="O36" s="2713"/>
      <c r="P36" s="3808"/>
      <c r="Q36" s="1352" t="str">
        <f t="shared" si="11"/>
        <v>成新度</v>
      </c>
      <c r="R36" s="705" t="s">
        <v>14</v>
      </c>
      <c r="S36" s="706">
        <f t="shared" si="12"/>
        <v>100</v>
      </c>
      <c r="T36" s="705" t="s">
        <v>14</v>
      </c>
      <c r="U36" s="706">
        <f t="shared" si="13"/>
        <v>100</v>
      </c>
      <c r="V36" s="705" t="s">
        <v>14</v>
      </c>
      <c r="W36" s="706">
        <f t="shared" si="14"/>
        <v>100</v>
      </c>
      <c r="X36" s="1355"/>
      <c r="Y36" s="3810"/>
      <c r="Z36" s="1356" t="str">
        <f t="shared" si="15"/>
        <v>成新度</v>
      </c>
      <c r="AA36" s="1353">
        <f t="shared" si="3"/>
        <v>1</v>
      </c>
      <c r="AB36" s="1353">
        <f t="shared" si="4"/>
        <v>1</v>
      </c>
      <c r="AC36" s="1353">
        <f t="shared" si="5"/>
        <v>1</v>
      </c>
    </row>
    <row r="37" spans="1:29" s="108" customFormat="1" ht="15">
      <c r="A37" s="424"/>
      <c r="B37" s="375" t="s">
        <v>1787</v>
      </c>
      <c r="C37" s="1906" t="s">
        <v>3508</v>
      </c>
      <c r="D37" s="127">
        <v>100</v>
      </c>
      <c r="E37" s="1906" t="s">
        <v>3508</v>
      </c>
      <c r="F37" s="412">
        <f>SUMIF(112:112,E37,113:113)-SUMIF(112:112,C37,113:113)+100</f>
        <v>100</v>
      </c>
      <c r="G37" s="1906" t="s">
        <v>3508</v>
      </c>
      <c r="H37" s="386">
        <f>SUMIF(112:112,G37,113:113)-SUMIF(112:112,C37,113:113)+100</f>
        <v>100</v>
      </c>
      <c r="I37" s="1906" t="s">
        <v>3508</v>
      </c>
      <c r="J37" s="386">
        <f>SUMIF(112:112,I37,113:113)-SUMIF(112:112,C37,113:113)+100</f>
        <v>100</v>
      </c>
      <c r="K37" s="561">
        <v>1</v>
      </c>
      <c r="L37" s="2714"/>
      <c r="M37" s="2715"/>
      <c r="N37" s="2715"/>
      <c r="O37" s="2715"/>
      <c r="P37" s="3808"/>
      <c r="Q37" s="1343" t="str">
        <f t="shared" si="11"/>
        <v>市政基础设施</v>
      </c>
      <c r="R37" s="701" t="s">
        <v>14</v>
      </c>
      <c r="S37" s="702">
        <f t="shared" si="12"/>
        <v>100</v>
      </c>
      <c r="T37" s="701" t="s">
        <v>14</v>
      </c>
      <c r="U37" s="702">
        <f t="shared" si="13"/>
        <v>100</v>
      </c>
      <c r="V37" s="701" t="s">
        <v>14</v>
      </c>
      <c r="W37" s="702">
        <f t="shared" si="14"/>
        <v>100</v>
      </c>
      <c r="X37" s="703"/>
      <c r="Y37" s="3810"/>
      <c r="Z37" s="52" t="str">
        <f t="shared" si="15"/>
        <v>市政基础设施</v>
      </c>
      <c r="AA37" s="704">
        <f t="shared" si="3"/>
        <v>1</v>
      </c>
      <c r="AB37" s="704">
        <f t="shared" si="4"/>
        <v>1</v>
      </c>
      <c r="AC37" s="704">
        <f t="shared" si="5"/>
        <v>1</v>
      </c>
    </row>
    <row r="38" spans="1:29" ht="15" hidden="1">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808" t="s">
        <v>1696</v>
      </c>
      <c r="Q38" s="1352" t="str">
        <f t="shared" si="11"/>
        <v>业态</v>
      </c>
      <c r="R38" s="705" t="s">
        <v>14</v>
      </c>
      <c r="S38" s="706">
        <f t="shared" si="12"/>
        <v>100</v>
      </c>
      <c r="T38" s="705" t="s">
        <v>14</v>
      </c>
      <c r="U38" s="706">
        <f t="shared" si="13"/>
        <v>100</v>
      </c>
      <c r="V38" s="705" t="s">
        <v>14</v>
      </c>
      <c r="W38" s="706">
        <f t="shared" si="14"/>
        <v>100</v>
      </c>
      <c r="X38" s="1355"/>
      <c r="Y38" s="3810" t="s">
        <v>1696</v>
      </c>
      <c r="Z38" s="1356" t="str">
        <f t="shared" si="15"/>
        <v>业态</v>
      </c>
      <c r="AA38" s="1353">
        <f t="shared" si="3"/>
        <v>1</v>
      </c>
      <c r="AB38" s="1353">
        <f t="shared" si="4"/>
        <v>1</v>
      </c>
      <c r="AC38" s="1353">
        <f t="shared" si="5"/>
        <v>1</v>
      </c>
    </row>
    <row r="39" spans="1:29" ht="15">
      <c r="A39" s="423"/>
      <c r="B39" s="375" t="s">
        <v>1789</v>
      </c>
      <c r="C39" s="1906" t="s">
        <v>3509</v>
      </c>
      <c r="D39" s="386">
        <v>100</v>
      </c>
      <c r="E39" s="1906" t="s">
        <v>3509</v>
      </c>
      <c r="F39" s="412">
        <f>SUMIF(116:116,E39,117:117)-SUMIF(116:116,C39,117:117)+100</f>
        <v>100</v>
      </c>
      <c r="G39" s="1906" t="s">
        <v>3509</v>
      </c>
      <c r="H39" s="386">
        <f>SUMIF(116:116,G39,117:117)-SUMIF(116:116,C39,117:117)+100</f>
        <v>100</v>
      </c>
      <c r="I39" s="1906" t="s">
        <v>3509</v>
      </c>
      <c r="J39" s="386">
        <f>SUMIF(116:116,I39,117:117)-SUMIF(116:116,C39,117:117)+100</f>
        <v>100</v>
      </c>
      <c r="K39" s="561">
        <v>2</v>
      </c>
      <c r="L39" s="2719"/>
      <c r="M39" s="2713"/>
      <c r="N39" s="2713"/>
      <c r="O39" s="2713"/>
      <c r="P39" s="3808"/>
      <c r="Q39" s="1352" t="str">
        <f t="shared" si="11"/>
        <v>层高</v>
      </c>
      <c r="R39" s="705" t="s">
        <v>14</v>
      </c>
      <c r="S39" s="706">
        <f t="shared" si="12"/>
        <v>100</v>
      </c>
      <c r="T39" s="705" t="s">
        <v>14</v>
      </c>
      <c r="U39" s="706">
        <f t="shared" si="13"/>
        <v>100</v>
      </c>
      <c r="V39" s="705" t="s">
        <v>14</v>
      </c>
      <c r="W39" s="706">
        <f t="shared" si="14"/>
        <v>100</v>
      </c>
      <c r="X39" s="1355"/>
      <c r="Y39" s="3810"/>
      <c r="Z39" s="1356" t="str">
        <f t="shared" si="15"/>
        <v>层高</v>
      </c>
      <c r="AA39" s="1353">
        <f t="shared" si="3"/>
        <v>1</v>
      </c>
      <c r="AB39" s="1353">
        <f t="shared" si="4"/>
        <v>1</v>
      </c>
      <c r="AC39" s="1353">
        <f t="shared" si="5"/>
        <v>1</v>
      </c>
    </row>
    <row r="40" spans="1:29" ht="15" hidden="1">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808"/>
      <c r="Q40" s="1352" t="str">
        <f t="shared" si="11"/>
        <v>单套建筑面积</v>
      </c>
      <c r="R40" s="705" t="s">
        <v>14</v>
      </c>
      <c r="S40" s="706">
        <f t="shared" si="12"/>
        <v>100</v>
      </c>
      <c r="T40" s="705" t="s">
        <v>14</v>
      </c>
      <c r="U40" s="706">
        <f t="shared" si="13"/>
        <v>100</v>
      </c>
      <c r="V40" s="705" t="s">
        <v>14</v>
      </c>
      <c r="W40" s="706">
        <f t="shared" si="14"/>
        <v>100</v>
      </c>
      <c r="X40" s="1355"/>
      <c r="Y40" s="3810"/>
      <c r="Z40" s="1356" t="str">
        <f t="shared" si="15"/>
        <v>单套建筑面积</v>
      </c>
      <c r="AA40" s="1353">
        <f t="shared" si="3"/>
        <v>1</v>
      </c>
      <c r="AB40" s="1353">
        <f t="shared" si="4"/>
        <v>1</v>
      </c>
      <c r="AC40" s="1353">
        <f t="shared" si="5"/>
        <v>1</v>
      </c>
    </row>
    <row r="41" spans="1:29" s="422" customFormat="1" ht="15">
      <c r="A41" s="419"/>
      <c r="B41" s="1354" t="s">
        <v>1791</v>
      </c>
      <c r="C41" s="565" t="s">
        <v>3510</v>
      </c>
      <c r="D41" s="386">
        <v>100</v>
      </c>
      <c r="E41" s="565" t="s">
        <v>3510</v>
      </c>
      <c r="F41" s="412">
        <f>SUMIF(120:120,E41,121:121)-SUMIF(120:120,C41,121:121)+100</f>
        <v>100</v>
      </c>
      <c r="G41" s="565" t="s">
        <v>3510</v>
      </c>
      <c r="H41" s="386">
        <f>SUMIF(120:120,G41,121:121)-SUMIF(120:120,C41,121:121)+100</f>
        <v>100</v>
      </c>
      <c r="I41" s="565" t="s">
        <v>3510</v>
      </c>
      <c r="J41" s="386">
        <f>SUMIF(120:120,I41,121:121)-SUMIF(120:120,C41,121:121)+100</f>
        <v>100</v>
      </c>
      <c r="K41" s="561">
        <v>2</v>
      </c>
      <c r="L41" s="2718"/>
      <c r="M41" s="2720"/>
      <c r="N41" s="2720"/>
      <c r="O41" s="2720"/>
      <c r="P41" s="3808"/>
      <c r="Q41" s="707" t="str">
        <f t="shared" si="11"/>
        <v>进深比</v>
      </c>
      <c r="R41" s="708" t="s">
        <v>14</v>
      </c>
      <c r="S41" s="709">
        <f t="shared" si="12"/>
        <v>100</v>
      </c>
      <c r="T41" s="708" t="s">
        <v>14</v>
      </c>
      <c r="U41" s="709">
        <f t="shared" si="13"/>
        <v>100</v>
      </c>
      <c r="V41" s="708" t="s">
        <v>14</v>
      </c>
      <c r="W41" s="709">
        <f t="shared" si="14"/>
        <v>100</v>
      </c>
      <c r="X41" s="710"/>
      <c r="Y41" s="3810"/>
      <c r="Z41" s="711" t="str">
        <f t="shared" si="15"/>
        <v>进深比</v>
      </c>
      <c r="AA41" s="1353">
        <f t="shared" si="3"/>
        <v>1</v>
      </c>
      <c r="AB41" s="1353">
        <f t="shared" si="4"/>
        <v>1</v>
      </c>
      <c r="AC41" s="1353">
        <f t="shared" si="5"/>
        <v>1</v>
      </c>
    </row>
    <row r="42" spans="1:29" ht="15">
      <c r="A42" s="423"/>
      <c r="B42" s="375" t="s">
        <v>1792</v>
      </c>
      <c r="C42" s="411" t="s">
        <v>3562</v>
      </c>
      <c r="D42" s="386">
        <v>100</v>
      </c>
      <c r="E42" s="1906" t="s">
        <v>3562</v>
      </c>
      <c r="F42" s="412">
        <f>SUMIF(122:122,E42,123:123)-SUMIF(122:122,C42,123:123)+100</f>
        <v>100</v>
      </c>
      <c r="G42" s="1906" t="s">
        <v>3562</v>
      </c>
      <c r="H42" s="386">
        <f>SUMIF(122:122,G42,123:123)-SUMIF(122:122,C42,123:123)+100</f>
        <v>100</v>
      </c>
      <c r="I42" s="1906" t="s">
        <v>3562</v>
      </c>
      <c r="J42" s="386">
        <f>SUMIF(122:122,I42,123:123)-SUMIF(122:122,C42,123:123)+100</f>
        <v>100</v>
      </c>
      <c r="K42" s="561">
        <v>3</v>
      </c>
      <c r="L42" s="2719"/>
      <c r="M42" s="2713"/>
      <c r="N42" s="2713"/>
      <c r="O42" s="2713"/>
      <c r="P42" s="3808"/>
      <c r="Q42" s="1352" t="str">
        <f t="shared" si="11"/>
        <v>内部装修</v>
      </c>
      <c r="R42" s="705" t="s">
        <v>14</v>
      </c>
      <c r="S42" s="706">
        <f t="shared" si="12"/>
        <v>100</v>
      </c>
      <c r="T42" s="705" t="s">
        <v>14</v>
      </c>
      <c r="U42" s="706">
        <f t="shared" si="13"/>
        <v>100</v>
      </c>
      <c r="V42" s="705" t="s">
        <v>14</v>
      </c>
      <c r="W42" s="706">
        <f t="shared" si="14"/>
        <v>100</v>
      </c>
      <c r="X42" s="1355"/>
      <c r="Y42" s="3810"/>
      <c r="Z42" s="1356" t="str">
        <f t="shared" si="15"/>
        <v>内部装修</v>
      </c>
      <c r="AA42" s="1353">
        <f t="shared" si="3"/>
        <v>1</v>
      </c>
      <c r="AB42" s="1353">
        <f t="shared" si="4"/>
        <v>1</v>
      </c>
      <c r="AC42" s="1353">
        <f t="shared" si="5"/>
        <v>1</v>
      </c>
    </row>
    <row r="43" spans="1:29" ht="15">
      <c r="A43" s="423"/>
      <c r="B43" s="375" t="s">
        <v>1707</v>
      </c>
      <c r="C43" s="1906" t="s">
        <v>3500</v>
      </c>
      <c r="D43" s="386">
        <v>100</v>
      </c>
      <c r="E43" s="1906" t="s">
        <v>3500</v>
      </c>
      <c r="F43" s="412">
        <f>SUMIF(124:124,E43,125:125)-SUMIF(124:124,C43,125:125)+100</f>
        <v>100</v>
      </c>
      <c r="G43" s="1906" t="s">
        <v>3500</v>
      </c>
      <c r="H43" s="386">
        <f>SUMIF(124:124,G43,125:125)-SUMIF(124:124,C43,125:125)+100</f>
        <v>100</v>
      </c>
      <c r="I43" s="1906" t="s">
        <v>3500</v>
      </c>
      <c r="J43" s="386">
        <f>SUMIF(124:124,I43,125:125)-SUMIF(124:124,C43,125:125)+100</f>
        <v>100</v>
      </c>
      <c r="K43" s="561">
        <v>2</v>
      </c>
      <c r="L43" s="2719"/>
      <c r="M43" s="2713"/>
      <c r="N43" s="2713"/>
      <c r="O43" s="2713"/>
      <c r="P43" s="3808"/>
      <c r="Q43" s="1352" t="str">
        <f t="shared" si="11"/>
        <v>内部装修维护情况</v>
      </c>
      <c r="R43" s="705" t="s">
        <v>14</v>
      </c>
      <c r="S43" s="706">
        <f t="shared" si="12"/>
        <v>100</v>
      </c>
      <c r="T43" s="705" t="s">
        <v>14</v>
      </c>
      <c r="U43" s="706">
        <f t="shared" si="13"/>
        <v>100</v>
      </c>
      <c r="V43" s="705" t="s">
        <v>14</v>
      </c>
      <c r="W43" s="706">
        <f t="shared" si="14"/>
        <v>100</v>
      </c>
      <c r="X43" s="1355"/>
      <c r="Y43" s="3810"/>
      <c r="Z43" s="1356" t="str">
        <f t="shared" si="15"/>
        <v>内部装修维护情况</v>
      </c>
      <c r="AA43" s="1353">
        <f t="shared" si="3"/>
        <v>1</v>
      </c>
      <c r="AB43" s="1353">
        <f t="shared" si="4"/>
        <v>1</v>
      </c>
      <c r="AC43" s="1353">
        <f t="shared" si="5"/>
        <v>1</v>
      </c>
    </row>
    <row r="44" spans="1:29" s="108" customFormat="1" ht="15">
      <c r="A44" s="424"/>
      <c r="B44" s="3555" t="s">
        <v>3597</v>
      </c>
      <c r="C44" s="3556" t="s">
        <v>3598</v>
      </c>
      <c r="D44" s="127">
        <v>100</v>
      </c>
      <c r="E44" s="3538" t="s">
        <v>3598</v>
      </c>
      <c r="F44" s="376">
        <f>SUMIF(126:126,E44,127:127)-SUMIF(126:126,C44,127:127)+100</f>
        <v>100</v>
      </c>
      <c r="G44" s="3538" t="s">
        <v>3598</v>
      </c>
      <c r="H44" s="127">
        <f>SUMIF(126:126,G44,127:127)-SUMIF(126:126,C44,127:127)+100</f>
        <v>100</v>
      </c>
      <c r="I44" s="3538" t="s">
        <v>3598</v>
      </c>
      <c r="J44" s="127">
        <f>SUMIF(126:126,I44,127:127)-SUMIF(126:126,C44,127:127)+100</f>
        <v>100</v>
      </c>
      <c r="K44" s="562"/>
      <c r="L44" s="2714"/>
      <c r="M44" s="2715"/>
      <c r="N44" s="2715"/>
      <c r="O44" s="2715"/>
      <c r="P44" s="3808"/>
      <c r="Q44" s="1343" t="str">
        <f t="shared" si="11"/>
        <v>经营类型</v>
      </c>
      <c r="R44" s="701" t="s">
        <v>14</v>
      </c>
      <c r="S44" s="702">
        <f t="shared" si="12"/>
        <v>100</v>
      </c>
      <c r="T44" s="701" t="s">
        <v>14</v>
      </c>
      <c r="U44" s="702">
        <f t="shared" si="13"/>
        <v>100</v>
      </c>
      <c r="V44" s="701" t="s">
        <v>14</v>
      </c>
      <c r="W44" s="702">
        <f t="shared" si="14"/>
        <v>100</v>
      </c>
      <c r="X44" s="703"/>
      <c r="Y44" s="3810"/>
      <c r="Z44" s="52" t="str">
        <f t="shared" si="15"/>
        <v>经营类型</v>
      </c>
      <c r="AA44" s="704">
        <f t="shared" si="3"/>
        <v>1</v>
      </c>
      <c r="AB44" s="704">
        <f t="shared" si="4"/>
        <v>1</v>
      </c>
      <c r="AC44" s="704">
        <f t="shared" si="5"/>
        <v>1</v>
      </c>
    </row>
    <row r="45" spans="1:29" ht="15">
      <c r="A45" s="423"/>
      <c r="B45" s="1133"/>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808"/>
      <c r="Q45" s="1352">
        <f t="shared" si="11"/>
        <v>0</v>
      </c>
      <c r="R45" s="705" t="s">
        <v>14</v>
      </c>
      <c r="S45" s="706">
        <f t="shared" si="12"/>
        <v>100</v>
      </c>
      <c r="T45" s="705" t="s">
        <v>14</v>
      </c>
      <c r="U45" s="706">
        <f t="shared" si="13"/>
        <v>100</v>
      </c>
      <c r="V45" s="705" t="s">
        <v>14</v>
      </c>
      <c r="W45" s="706">
        <f t="shared" si="14"/>
        <v>100</v>
      </c>
      <c r="X45" s="1355"/>
      <c r="Y45" s="3810"/>
      <c r="Z45" s="1356">
        <f t="shared" si="15"/>
        <v>0</v>
      </c>
      <c r="AA45" s="1353">
        <f t="shared" si="3"/>
        <v>1</v>
      </c>
      <c r="AB45" s="1353">
        <f t="shared" si="4"/>
        <v>1</v>
      </c>
      <c r="AC45" s="1353">
        <f t="shared" si="5"/>
        <v>1</v>
      </c>
    </row>
    <row r="46" spans="1:29" ht="15.75" thickBot="1">
      <c r="A46" s="429"/>
      <c r="B46" s="1895"/>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v>0.1</v>
      </c>
      <c r="M46" s="2713"/>
      <c r="N46" s="2713"/>
      <c r="O46" s="2713"/>
      <c r="P46" s="3809"/>
      <c r="Q46" s="1352">
        <f t="shared" si="11"/>
        <v>0</v>
      </c>
      <c r="R46" s="705" t="s">
        <v>14</v>
      </c>
      <c r="S46" s="706">
        <f t="shared" si="12"/>
        <v>100</v>
      </c>
      <c r="T46" s="705" t="s">
        <v>14</v>
      </c>
      <c r="U46" s="706">
        <f t="shared" si="13"/>
        <v>100</v>
      </c>
      <c r="V46" s="705" t="s">
        <v>14</v>
      </c>
      <c r="W46" s="706">
        <f t="shared" si="14"/>
        <v>100</v>
      </c>
      <c r="X46" s="1355"/>
      <c r="Y46" s="3811"/>
      <c r="Z46" s="1356">
        <f t="shared" si="15"/>
        <v>0</v>
      </c>
      <c r="AA46" s="1353">
        <f t="shared" si="3"/>
        <v>1</v>
      </c>
      <c r="AB46" s="1353">
        <f t="shared" si="4"/>
        <v>1</v>
      </c>
      <c r="AC46" s="1353">
        <f t="shared" si="5"/>
        <v>1</v>
      </c>
    </row>
    <row r="47" spans="1:29" ht="15">
      <c r="A47" s="430" t="s">
        <v>1708</v>
      </c>
      <c r="B47" s="431"/>
      <c r="C47" s="1154" t="s">
        <v>0</v>
      </c>
      <c r="D47" s="1155"/>
      <c r="E47" s="1156">
        <f>租金表!G19</f>
        <v>9</v>
      </c>
      <c r="F47" s="1157"/>
      <c r="G47" s="1158">
        <f>租金表!H3</f>
        <v>10.4</v>
      </c>
      <c r="H47" s="1159"/>
      <c r="I47" s="1156">
        <f>租金表!E8</f>
        <v>10.5</v>
      </c>
      <c r="J47" s="1159"/>
      <c r="K47" s="714"/>
      <c r="L47" s="2721"/>
      <c r="M47" s="2722"/>
      <c r="N47" s="2713"/>
      <c r="O47" s="2722"/>
      <c r="P47" s="3798" t="str">
        <f>A47</f>
        <v>成交单价（元/平方米）</v>
      </c>
      <c r="Q47" s="3798"/>
      <c r="R47" s="3812">
        <f>E47</f>
        <v>9</v>
      </c>
      <c r="S47" s="3812"/>
      <c r="T47" s="3812">
        <f>G47</f>
        <v>10.4</v>
      </c>
      <c r="U47" s="3812"/>
      <c r="V47" s="3812">
        <f>I47</f>
        <v>10.5</v>
      </c>
      <c r="W47" s="3812"/>
      <c r="X47" s="690"/>
      <c r="Y47" s="712"/>
      <c r="Z47" s="690"/>
      <c r="AA47" s="690"/>
      <c r="AB47" s="690"/>
      <c r="AC47" s="690"/>
    </row>
    <row r="48" spans="1:29" ht="15.75" thickBot="1">
      <c r="A48" s="437" t="s">
        <v>1793</v>
      </c>
      <c r="B48" s="438"/>
      <c r="C48" s="1160">
        <f>R49</f>
        <v>10.5</v>
      </c>
      <c r="D48" s="2317" t="s">
        <v>2138</v>
      </c>
      <c r="E48" s="1161">
        <f>R48</f>
        <v>8.8000000000000007</v>
      </c>
      <c r="F48" s="2318"/>
      <c r="G48" s="1160">
        <f>T48</f>
        <v>12</v>
      </c>
      <c r="H48" s="2318"/>
      <c r="I48" s="1161">
        <f>V48</f>
        <v>10.7</v>
      </c>
      <c r="J48" s="2318"/>
      <c r="K48" s="2320">
        <f>F48+H48+J48</f>
        <v>0</v>
      </c>
      <c r="L48" s="3606" t="s">
        <v>3763</v>
      </c>
      <c r="M48" s="3607" t="s">
        <v>3764</v>
      </c>
      <c r="N48" s="2713"/>
      <c r="O48" s="2722"/>
      <c r="P48" s="3798" t="str">
        <f>A48</f>
        <v>比较价值（元/平方米）</v>
      </c>
      <c r="Q48" s="3798"/>
      <c r="R48" s="3799">
        <f>IF(F1="售价",ROUND(PRODUCT(R47,AA7:AA46),0),ROUND(PRODUCT(R47,AA7:AA46),1))</f>
        <v>8.8000000000000007</v>
      </c>
      <c r="S48" s="3799"/>
      <c r="T48" s="3799">
        <f>IF(F1="售价",ROUND(PRODUCT(T47,AB7:AB46),0),ROUND(PRODUCT(T47,AB7:AB46),1))</f>
        <v>12</v>
      </c>
      <c r="U48" s="3799"/>
      <c r="V48" s="3799">
        <f>IF(F1="售价",ROUND(PRODUCT(V47,AC7:AC46),0),ROUND(PRODUCT(V47,AC7:AC46),1))</f>
        <v>10.7</v>
      </c>
      <c r="W48" s="3799"/>
      <c r="X48" s="690"/>
      <c r="Y48" s="690"/>
      <c r="Z48" s="690"/>
      <c r="AA48" s="690"/>
      <c r="AB48" s="690"/>
      <c r="AC48" s="690"/>
    </row>
    <row r="49" spans="1:29" ht="15.75" thickBot="1">
      <c r="A49" s="441" t="s">
        <v>1794</v>
      </c>
      <c r="B49" s="442"/>
      <c r="C49" s="1163">
        <f>R49</f>
        <v>10.5</v>
      </c>
      <c r="D49" s="1163"/>
      <c r="E49" s="1163"/>
      <c r="F49" s="1163"/>
      <c r="G49" s="1163"/>
      <c r="H49" s="1163"/>
      <c r="I49" s="1163"/>
      <c r="J49" s="1163"/>
      <c r="K49" s="715"/>
      <c r="L49" s="3608">
        <f>ROUND(C49*(1-L46),1)</f>
        <v>9.5</v>
      </c>
      <c r="M49" s="3608">
        <f>ROUND(C49*(1+L46),1)</f>
        <v>11.6</v>
      </c>
      <c r="N49" s="2713"/>
      <c r="O49" s="2722"/>
      <c r="P49" s="3800" t="str">
        <f>A49</f>
        <v>估价对象XX用房的比较价值（楼面单价，元/平方米）</v>
      </c>
      <c r="Q49" s="3801"/>
      <c r="R49" s="3802">
        <f>IF(F1="售价",ROUND(IF(D48="简单平均",AVERAGE(R48:V48),R48*F48+T48*H48+V48*J48),0),ROUND(IF(D48="简单平均",AVERAGE(R48:V48),R48*F48+T48*H48+V48*J48),1))</f>
        <v>10.5</v>
      </c>
      <c r="S49" s="3802"/>
      <c r="T49" s="3802"/>
      <c r="U49" s="3802"/>
      <c r="V49" s="3802"/>
      <c r="W49" s="3802"/>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4038" t="s">
        <v>3791</v>
      </c>
      <c r="M51" s="2722" t="s">
        <v>3792</v>
      </c>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f>IF(E47&lt;E48,E48/E47-1,E47/E48-1)</f>
        <v>2.2727272727272707E-2</v>
      </c>
      <c r="F52" s="449" t="str">
        <f>IF(OR(E52&gt;=0.3,E52&lt;=-0.3),"超过30%","")</f>
        <v/>
      </c>
      <c r="G52" s="448">
        <f>IF(G47&lt;G48,G48/G47-1,G47/G48-1)</f>
        <v>0.15384615384615374</v>
      </c>
      <c r="H52" s="449" t="str">
        <f>IF(OR(G52&gt;=0.3,G52&lt;=-0.3),"超过30%","")</f>
        <v/>
      </c>
      <c r="I52" s="448">
        <f>IF(I47&lt;I48,I48/I47-1,I47/I48-1)</f>
        <v>1.904761904761898E-2</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f>IF(E48&lt;G48,G48/E48-1,E48/G48-1)</f>
        <v>0.36363636363636354</v>
      </c>
      <c r="F53" s="449" t="str">
        <f>IF(OR(E53&gt;=0.2,E53&lt;=-0.2),"超过20%","")</f>
        <v>超过20%</v>
      </c>
      <c r="G53" s="448">
        <f>IF(G48&lt;I48,I48/G48-1,G48/I48-1)</f>
        <v>0.12149532710280386</v>
      </c>
      <c r="H53" s="449" t="str">
        <f>IF(OR(G53&gt;=0.2,G53&lt;=-0.2),"超过20%","")</f>
        <v/>
      </c>
      <c r="I53" s="448">
        <f>IF(I48&lt;E48,E48/I48-1,I48/E48-1)</f>
        <v>0.21590909090909083</v>
      </c>
      <c r="J53" s="449" t="str">
        <f>IF(OR(I53&gt;=0.2,I53&lt;=-0.2),"超过20%","")</f>
        <v>超过20%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f>IF(E47&lt;G47,G47/E47-1,E47/G47-1)</f>
        <v>0.15555555555555567</v>
      </c>
      <c r="F54" s="449" t="str">
        <f>IF(OR(E54&gt;=0.3,E54&lt;=-0.3),"超过30%","")</f>
        <v/>
      </c>
      <c r="G54" s="448">
        <f>IF(G47&lt;I47,I47/G47-1,G47/I47-1)</f>
        <v>9.6153846153845812E-3</v>
      </c>
      <c r="H54" s="449" t="str">
        <f>IF(OR(G54&gt;=0.3,G54&lt;=-0.3),"超过30%","")</f>
        <v/>
      </c>
      <c r="I54" s="448">
        <f>IF(I47&lt;E47,E47/I47-1,I47/E47-1)</f>
        <v>0.16666666666666674</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1679</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3532" t="s">
        <v>3537</v>
      </c>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v>102</v>
      </c>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0（含）-1</v>
      </c>
      <c r="D67" s="496" t="str">
        <f t="shared" ref="D67:L67" si="17">D68&amp;"（含）"&amp;"-"&amp;E68</f>
        <v>1（含）-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1</v>
      </c>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98</v>
      </c>
      <c r="E77" s="493">
        <f>D77-$K15</f>
        <v>96</v>
      </c>
      <c r="F77" s="493">
        <f>E77-$K15</f>
        <v>94</v>
      </c>
      <c r="G77" s="493">
        <f>F77-$K15</f>
        <v>92</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98</v>
      </c>
      <c r="E81" s="493">
        <f>D81-$K19</f>
        <v>96</v>
      </c>
      <c r="F81" s="493">
        <f>E81-$K19</f>
        <v>94</v>
      </c>
      <c r="G81" s="493">
        <f>F81-$K19</f>
        <v>92</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98</v>
      </c>
      <c r="E83" s="493">
        <f t="shared" ref="E83:G83" si="19">D83-$K21</f>
        <v>96</v>
      </c>
      <c r="F83" s="493">
        <f t="shared" si="19"/>
        <v>94</v>
      </c>
      <c r="G83" s="493">
        <f t="shared" si="19"/>
        <v>92</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98</v>
      </c>
      <c r="E85" s="493">
        <f>D85-$K23</f>
        <v>96</v>
      </c>
      <c r="F85" s="493">
        <f>E85-$K23</f>
        <v>94</v>
      </c>
      <c r="G85" s="493">
        <f>F85-$K23</f>
        <v>92</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3533" t="s">
        <v>3538</v>
      </c>
      <c r="D86" s="3533" t="s">
        <v>3539</v>
      </c>
      <c r="E86" s="3533" t="s">
        <v>3540</v>
      </c>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t="s">
        <v>3541</v>
      </c>
      <c r="D88" s="503" t="s">
        <v>3542</v>
      </c>
      <c r="E88" s="503"/>
      <c r="F88" s="1927"/>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v>100</v>
      </c>
      <c r="D89" s="485">
        <v>95</v>
      </c>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t="s">
        <v>3533</v>
      </c>
      <c r="D90" s="503" t="s">
        <v>3500</v>
      </c>
      <c r="E90" s="503" t="s">
        <v>3532</v>
      </c>
      <c r="F90" s="503" t="s">
        <v>3543</v>
      </c>
      <c r="G90" s="503" t="s">
        <v>3536</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t="s">
        <v>3544</v>
      </c>
      <c r="D92" s="503" t="s">
        <v>3545</v>
      </c>
      <c r="E92" s="3534" t="s">
        <v>3762</v>
      </c>
      <c r="F92" s="3533" t="s">
        <v>3547</v>
      </c>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v>100</v>
      </c>
      <c r="E93" s="485">
        <v>80</v>
      </c>
      <c r="F93" s="485">
        <v>104</v>
      </c>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t="str">
        <f>B29</f>
        <v>主要临路</v>
      </c>
      <c r="C94" s="3533" t="s">
        <v>3766</v>
      </c>
      <c r="D94" s="3533" t="s">
        <v>3767</v>
      </c>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v>100</v>
      </c>
      <c r="D95" s="485">
        <v>95</v>
      </c>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3534" t="s">
        <v>3548</v>
      </c>
      <c r="D100" s="3535" t="s">
        <v>3549</v>
      </c>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95</v>
      </c>
      <c r="E101" s="493">
        <f t="shared" si="22"/>
        <v>90</v>
      </c>
      <c r="F101" s="493">
        <f t="shared" si="22"/>
        <v>85</v>
      </c>
      <c r="G101" s="493">
        <f t="shared" si="22"/>
        <v>80</v>
      </c>
      <c r="H101" s="493">
        <f t="shared" si="22"/>
        <v>75</v>
      </c>
      <c r="I101" s="493">
        <f t="shared" si="22"/>
        <v>70</v>
      </c>
      <c r="J101" s="493">
        <f t="shared" si="22"/>
        <v>65</v>
      </c>
      <c r="K101" s="493">
        <f t="shared" si="22"/>
        <v>60</v>
      </c>
      <c r="L101" s="493">
        <f t="shared" si="22"/>
        <v>55</v>
      </c>
      <c r="M101" s="494">
        <f t="shared" si="22"/>
        <v>50</v>
      </c>
      <c r="N101" s="2751"/>
      <c r="O101" s="2751"/>
      <c r="P101" s="2741"/>
      <c r="Q101" s="2736"/>
      <c r="R101" s="2722"/>
      <c r="S101" s="2722"/>
      <c r="T101" s="2722"/>
      <c r="U101" s="2722"/>
      <c r="V101" s="2722"/>
      <c r="W101" s="2722"/>
      <c r="X101" s="2722"/>
      <c r="Y101" s="2722"/>
      <c r="Z101" s="2722"/>
      <c r="AA101" s="2722"/>
      <c r="AB101" s="2722"/>
      <c r="AC101" s="2722"/>
    </row>
    <row r="102" spans="1:29" ht="29.25" thickTop="1">
      <c r="A102" s="483"/>
      <c r="B102" s="487" t="s">
        <v>1737</v>
      </c>
      <c r="C102" s="527" t="str">
        <f>C103&amp;"(含)"&amp;"-"&amp;D103</f>
        <v>0(含)-50</v>
      </c>
      <c r="D102" s="527" t="str">
        <f t="shared" ref="D102:L102" si="23">D103&amp;"(含)"&amp;"-"&amp;E103</f>
        <v>50(含)-100</v>
      </c>
      <c r="E102" s="527" t="str">
        <f t="shared" si="23"/>
        <v>100(含)-300</v>
      </c>
      <c r="F102" s="527" t="str">
        <f t="shared" si="23"/>
        <v>300(含)-500</v>
      </c>
      <c r="G102" s="527" t="str">
        <f t="shared" si="23"/>
        <v>500(含)-1000</v>
      </c>
      <c r="H102" s="527" t="str">
        <f t="shared" si="23"/>
        <v>1000(含)-2000</v>
      </c>
      <c r="I102" s="527" t="str">
        <f t="shared" si="23"/>
        <v>2000(含)-3000</v>
      </c>
      <c r="J102" s="527" t="str">
        <f t="shared" si="23"/>
        <v>3000(含)-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50</v>
      </c>
      <c r="E103" s="544">
        <v>100</v>
      </c>
      <c r="F103" s="544">
        <v>300</v>
      </c>
      <c r="G103" s="544">
        <v>500</v>
      </c>
      <c r="H103" s="544">
        <v>1000</v>
      </c>
      <c r="I103" s="544">
        <v>2000</v>
      </c>
      <c r="J103" s="545">
        <v>3000</v>
      </c>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f>C104-2</f>
        <v>98</v>
      </c>
      <c r="E104" s="485">
        <f t="shared" ref="E104:I104" si="24">D104-2</f>
        <v>96</v>
      </c>
      <c r="F104" s="485">
        <f t="shared" si="24"/>
        <v>94</v>
      </c>
      <c r="G104" s="485">
        <f t="shared" si="24"/>
        <v>92</v>
      </c>
      <c r="H104" s="485">
        <f t="shared" si="24"/>
        <v>90</v>
      </c>
      <c r="I104" s="485">
        <f t="shared" si="24"/>
        <v>88</v>
      </c>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3533" t="s">
        <v>3550</v>
      </c>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3533" t="s">
        <v>3551</v>
      </c>
      <c r="D107" s="3533" t="s">
        <v>3552</v>
      </c>
      <c r="E107" s="3533" t="s">
        <v>3553</v>
      </c>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3533" t="s">
        <v>3554</v>
      </c>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3533" t="s">
        <v>3555</v>
      </c>
      <c r="D116" s="3533" t="s">
        <v>3556</v>
      </c>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3536" t="s">
        <v>3557</v>
      </c>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3533" t="s">
        <v>3551</v>
      </c>
      <c r="D122" s="3533" t="s">
        <v>3552</v>
      </c>
      <c r="E122" s="3533" t="s">
        <v>3553</v>
      </c>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1">C123-$K42</f>
        <v>97</v>
      </c>
      <c r="E123" s="493">
        <f t="shared" si="31"/>
        <v>94</v>
      </c>
      <c r="F123" s="493">
        <f t="shared" si="31"/>
        <v>91</v>
      </c>
      <c r="G123" s="493">
        <f t="shared" si="31"/>
        <v>88</v>
      </c>
      <c r="H123" s="493">
        <f t="shared" si="31"/>
        <v>85</v>
      </c>
      <c r="I123" s="493">
        <f t="shared" si="31"/>
        <v>82</v>
      </c>
      <c r="J123" s="493">
        <f t="shared" si="31"/>
        <v>79</v>
      </c>
      <c r="K123" s="493">
        <f t="shared" si="31"/>
        <v>76</v>
      </c>
      <c r="L123" s="493">
        <f t="shared" si="31"/>
        <v>73</v>
      </c>
      <c r="M123" s="494">
        <f t="shared" si="31"/>
        <v>70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t="str">
        <f>B44</f>
        <v>经营类型</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0</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0</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86" priority="21" stopIfTrue="1" operator="containsText" text="超过">
      <formula>NOT(ISERROR(SEARCH("超过",F52)))</formula>
    </cfRule>
  </conditionalFormatting>
  <conditionalFormatting sqref="H54">
    <cfRule type="containsText" dxfId="185" priority="19" stopIfTrue="1" operator="containsText" text="超过">
      <formula>NOT(ISERROR(SEARCH("超过",H54)))</formula>
    </cfRule>
  </conditionalFormatting>
  <conditionalFormatting sqref="F54">
    <cfRule type="containsText" dxfId="184" priority="18" stopIfTrue="1" operator="containsText" text="超过">
      <formula>NOT(ISERROR(SEARCH("超过",F54)))</formula>
    </cfRule>
  </conditionalFormatting>
  <conditionalFormatting sqref="F53 H53">
    <cfRule type="containsText" dxfId="183" priority="17" stopIfTrue="1" operator="containsText" text="超过">
      <formula>NOT(ISERROR(SEARCH("超过",F53)))</formula>
    </cfRule>
  </conditionalFormatting>
  <conditionalFormatting sqref="E52">
    <cfRule type="expression" dxfId="182" priority="16" stopIfTrue="1">
      <formula>$F$52="超过30%"</formula>
    </cfRule>
  </conditionalFormatting>
  <conditionalFormatting sqref="E53">
    <cfRule type="expression" dxfId="181" priority="15" stopIfTrue="1">
      <formula>$F$53="超过20%"</formula>
    </cfRule>
  </conditionalFormatting>
  <conditionalFormatting sqref="E54">
    <cfRule type="expression" dxfId="180" priority="14" stopIfTrue="1">
      <formula>$F$54="超过30%"</formula>
    </cfRule>
  </conditionalFormatting>
  <conditionalFormatting sqref="G54">
    <cfRule type="expression" dxfId="179" priority="13" stopIfTrue="1">
      <formula>$H$54="超过30%"</formula>
    </cfRule>
  </conditionalFormatting>
  <conditionalFormatting sqref="G52">
    <cfRule type="expression" dxfId="178" priority="12" stopIfTrue="1">
      <formula>$H$52="超过30%"</formula>
    </cfRule>
  </conditionalFormatting>
  <conditionalFormatting sqref="G53">
    <cfRule type="expression" dxfId="177" priority="11" stopIfTrue="1">
      <formula>$H$53="超过20%"</formula>
    </cfRule>
  </conditionalFormatting>
  <conditionalFormatting sqref="J52">
    <cfRule type="containsText" dxfId="176" priority="10" stopIfTrue="1" operator="containsText" text="超过">
      <formula>NOT(ISERROR(SEARCH("超过",J52)))</formula>
    </cfRule>
  </conditionalFormatting>
  <conditionalFormatting sqref="J54">
    <cfRule type="containsText" dxfId="175" priority="9" stopIfTrue="1" operator="containsText" text="超过">
      <formula>NOT(ISERROR(SEARCH("超过",J54)))</formula>
    </cfRule>
  </conditionalFormatting>
  <conditionalFormatting sqref="J53">
    <cfRule type="containsText" dxfId="174" priority="8" stopIfTrue="1" operator="containsText" text="超过">
      <formula>NOT(ISERROR(SEARCH("超过",J53)))</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3"/>
      <c r="F1" s="2803"/>
      <c r="G1" s="2668"/>
      <c r="H1" s="2803"/>
      <c r="I1" s="2803"/>
      <c r="J1" s="2803"/>
      <c r="K1" s="2804">
        <f>MATCH(C1,'数据-取费表'!A6:A16,0)+5</f>
        <v>7</v>
      </c>
    </row>
    <row r="2" spans="1:33" ht="18" customHeight="1">
      <c r="A2" s="201" t="s">
        <v>1462</v>
      </c>
      <c r="B2" s="204">
        <f ca="1">C32</f>
        <v>0</v>
      </c>
      <c r="C2" s="276" t="s">
        <v>1595</v>
      </c>
      <c r="D2" s="276"/>
      <c r="E2" s="2803"/>
      <c r="F2" s="2803"/>
      <c r="G2" s="2803"/>
      <c r="H2" s="2803"/>
      <c r="I2" s="2803"/>
      <c r="J2" s="2803"/>
      <c r="K2" s="2803"/>
    </row>
    <row r="3" spans="1:33" ht="18" customHeight="1" thickBot="1">
      <c r="A3" s="203" t="s">
        <v>1464</v>
      </c>
      <c r="B3" s="204">
        <f ca="1">ROUND(B2*10000/IF(C1="",'数据-汇总表'!E3,INDIRECT("'数据-取费表'!K"&amp;$K$1)),0)</f>
        <v>0</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642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642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0.16000000000000014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13</v>
      </c>
      <c r="D20" s="846">
        <f ca="1">IF(C1="",'数据-汇总表'!E6,IF(INDIRECT("'数据-取费表'!c"&amp;$K$1)="住宅",INDIRECT("'数据-取费表'!s"&amp;$K$1),INDIRECT("'数据-取费表'!k"&amp;$K$1)+INDIRECT("'数据-取费表'!s"&amp;$K$1)))</f>
        <v>642</v>
      </c>
      <c r="E20" s="21">
        <f>'数据-取费表'!B28</f>
        <v>200</v>
      </c>
      <c r="F20" s="804"/>
      <c r="G20" s="12"/>
      <c r="H20" s="809"/>
      <c r="I20" s="809"/>
      <c r="J20" s="809"/>
      <c r="K20" s="810"/>
    </row>
    <row r="21" spans="1:33" s="803" customFormat="1" ht="13.5" customHeight="1">
      <c r="A21" s="790" t="s">
        <v>357</v>
      </c>
      <c r="B21" s="813" t="s">
        <v>1628</v>
      </c>
      <c r="C21" s="814">
        <f ca="1">C16+C17+C18</f>
        <v>0.16000000000000014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3"/>
      <c r="H2" s="2692"/>
      <c r="I2" s="2692"/>
      <c r="J2" s="2692"/>
      <c r="K2" s="2693"/>
      <c r="L2" s="2692"/>
      <c r="M2" s="2692"/>
    </row>
    <row r="3" spans="1:37" ht="18" customHeight="1" thickBot="1">
      <c r="A3" s="1390" t="s">
        <v>806</v>
      </c>
      <c r="B3" s="1391">
        <f ca="1">IF(ISERROR(B2*10000/F43),0,ROUND(B2*10000/F43,0))</f>
        <v>0</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846" t="s">
        <v>694</v>
      </c>
      <c r="C6" s="1074">
        <f ca="1">ROUND(F6*F8*F7*(1-F9)/10000,0)</f>
        <v>0</v>
      </c>
      <c r="D6" s="155" t="s">
        <v>2109</v>
      </c>
      <c r="E6" s="302" t="s">
        <v>696</v>
      </c>
      <c r="F6" s="303">
        <f ca="1">INDIRECT("'数据-取费表'!u"&amp;$G$1)</f>
        <v>0</v>
      </c>
      <c r="G6" s="1384"/>
      <c r="H6" s="1069" t="s">
        <v>398</v>
      </c>
      <c r="I6" s="3846" t="s">
        <v>694</v>
      </c>
      <c r="J6" s="301">
        <f ca="1">ROUND(M6*M8*M7*(1-M9)/10000,0)</f>
        <v>0</v>
      </c>
      <c r="K6" s="155" t="s">
        <v>2108</v>
      </c>
      <c r="L6" s="302" t="s">
        <v>696</v>
      </c>
      <c r="M6" s="303">
        <f ca="1">INDIRECT("'数据-取费表'!z"&amp;$G$1)</f>
        <v>0</v>
      </c>
    </row>
    <row r="7" spans="1:37" ht="18" customHeight="1">
      <c r="A7" s="1073"/>
      <c r="B7" s="3847"/>
      <c r="C7" s="1075"/>
      <c r="D7" s="307"/>
      <c r="E7" s="1076" t="s">
        <v>697</v>
      </c>
      <c r="F7" s="303">
        <f ca="1">IF(INDIRECT("'数据-取费表'!ah"&amp;$G$1)="",INDIRECT("'数据-取费表'!k"&amp;$G$1),INDIRECT("'数据-取费表'!ah"&amp;$G$1))</f>
        <v>0</v>
      </c>
      <c r="G7" s="1384"/>
      <c r="H7" s="304"/>
      <c r="I7" s="3847"/>
      <c r="J7" s="306"/>
      <c r="K7" s="307"/>
      <c r="L7" s="302" t="s">
        <v>697</v>
      </c>
      <c r="M7" s="303">
        <f ca="1">F7</f>
        <v>0</v>
      </c>
    </row>
    <row r="8" spans="1:37" ht="18" customHeight="1">
      <c r="A8" s="304"/>
      <c r="B8" s="3847"/>
      <c r="C8" s="306"/>
      <c r="D8" s="307"/>
      <c r="E8" s="302" t="s">
        <v>698</v>
      </c>
      <c r="F8" s="303">
        <f ca="1">INDIRECT("'数据-取费表'!ai"&amp;$G$1)</f>
        <v>0</v>
      </c>
      <c r="G8" s="1384"/>
      <c r="H8" s="304"/>
      <c r="I8" s="3847"/>
      <c r="J8" s="306"/>
      <c r="K8" s="307"/>
      <c r="L8" s="302" t="s">
        <v>698</v>
      </c>
      <c r="M8" s="303">
        <f ca="1">INDIRECT("'数据-取费表'!ai"&amp;$G$1)</f>
        <v>0</v>
      </c>
    </row>
    <row r="9" spans="1:37" ht="18" customHeight="1">
      <c r="A9" s="304"/>
      <c r="B9" s="3848"/>
      <c r="C9" s="306"/>
      <c r="D9" s="307"/>
      <c r="E9" s="302" t="s">
        <v>699</v>
      </c>
      <c r="F9" s="312">
        <f ca="1">INDIRECT("'数据-取费表'!w"&amp;$G$1)</f>
        <v>0</v>
      </c>
      <c r="G9" s="1384"/>
      <c r="H9" s="304"/>
      <c r="I9" s="384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5" t="s">
        <v>2306</v>
      </c>
      <c r="I31" s="1398"/>
      <c r="J31" s="1399"/>
      <c r="K31" s="2472"/>
      <c r="L31" s="2695"/>
      <c r="M31" s="2696"/>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3337</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IF(项目基本情况!B11="自然人","——",ROUND(F34*F35/10000,2))</f>
        <v>0</v>
      </c>
      <c r="D34" s="324" t="s">
        <v>731</v>
      </c>
      <c r="E34" s="302" t="s">
        <v>732</v>
      </c>
      <c r="F34" s="325">
        <f>'数据-取费表'!B52</f>
        <v>0</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ROUND(C29*F36,2)</f>
        <v>0</v>
      </c>
      <c r="D36" s="1344" t="s">
        <v>771</v>
      </c>
      <c r="E36" s="302" t="s">
        <v>712</v>
      </c>
      <c r="F36" s="328">
        <f ca="1">INDIRECT("'数据-取费表'!Ak"&amp;$G$1)</f>
        <v>0</v>
      </c>
      <c r="G36" s="1384"/>
      <c r="H36" s="2697"/>
      <c r="I36" s="1398"/>
      <c r="J36" s="1399"/>
      <c r="K36" s="2541"/>
      <c r="L36" s="2697"/>
      <c r="M36" s="2697"/>
    </row>
    <row r="37" spans="1:18" ht="18" customHeight="1">
      <c r="A37" s="982" t="s">
        <v>437</v>
      </c>
      <c r="B37" s="302" t="s">
        <v>742</v>
      </c>
      <c r="C37" s="21">
        <f ca="1">ROUND(C13*F37,2)</f>
        <v>0</v>
      </c>
      <c r="D37" s="1344" t="s">
        <v>743</v>
      </c>
      <c r="E37" s="302" t="s">
        <v>744</v>
      </c>
      <c r="F37" s="330">
        <f ca="1">INDIRECT("'数据-取费表'!Al"&amp;$G$1)</f>
        <v>0</v>
      </c>
      <c r="G37" s="1384"/>
      <c r="H37" s="2697"/>
      <c r="I37" s="1398"/>
      <c r="J37" s="1399"/>
      <c r="K37" s="2541"/>
      <c r="L37" s="2697"/>
      <c r="M37" s="2697"/>
    </row>
    <row r="38" spans="1:18" ht="18" customHeight="1" thickBot="1">
      <c r="A38" s="1089" t="s">
        <v>684</v>
      </c>
      <c r="B38" s="1090" t="s">
        <v>728</v>
      </c>
      <c r="C38" s="1091">
        <f ca="1">ROUND(C5*F38,2)</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844" t="s">
        <v>837</v>
      </c>
      <c r="L53" s="384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K42" sqref="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3504</v>
      </c>
      <c r="D1" s="1362" t="s">
        <v>43</v>
      </c>
      <c r="E1" s="1363" t="s">
        <v>678</v>
      </c>
      <c r="F1" s="1062">
        <f ca="1">J53</f>
        <v>0</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f ca="1">ROUND(D2/10000,4)</f>
        <v>0</v>
      </c>
      <c r="C2" s="1387" t="s">
        <v>879</v>
      </c>
      <c r="D2" s="1471">
        <f ca="1">C40+J29+L46</f>
        <v>0</v>
      </c>
      <c r="E2" s="1388" t="s">
        <v>880</v>
      </c>
      <c r="F2" s="1389"/>
      <c r="G2" s="2703"/>
      <c r="H2" s="2692"/>
      <c r="I2" s="2692"/>
      <c r="J2" s="2692"/>
      <c r="K2" s="2693"/>
      <c r="L2" s="2692"/>
      <c r="M2" s="2692"/>
    </row>
    <row r="3" spans="1:37" ht="18" customHeight="1" thickBot="1">
      <c r="A3" s="1390" t="s">
        <v>881</v>
      </c>
      <c r="B3" s="1391">
        <f ca="1">IF(ISERROR(D2/F43),0,ROUND(D2/F43,0))</f>
        <v>0</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2897593</v>
      </c>
      <c r="D5" s="1364" t="s">
        <v>889</v>
      </c>
      <c r="E5" s="1071"/>
      <c r="F5" s="1072"/>
      <c r="G5" s="1384"/>
      <c r="H5" s="299">
        <v>1</v>
      </c>
      <c r="I5" s="300" t="s">
        <v>888</v>
      </c>
      <c r="J5" s="1070">
        <f ca="1">J6+J10+J12</f>
        <v>0</v>
      </c>
      <c r="K5" s="1364" t="s">
        <v>889</v>
      </c>
      <c r="L5" s="1071"/>
      <c r="M5" s="1072"/>
    </row>
    <row r="6" spans="1:37" ht="18" customHeight="1">
      <c r="A6" s="1069" t="s">
        <v>398</v>
      </c>
      <c r="B6" s="3846" t="s">
        <v>694</v>
      </c>
      <c r="C6" s="1074">
        <f ca="1">ROUND(F6*F8*F7*(1-F9),0)</f>
        <v>2893976</v>
      </c>
      <c r="D6" s="155" t="s">
        <v>2106</v>
      </c>
      <c r="E6" s="302" t="s">
        <v>696</v>
      </c>
      <c r="F6" s="303">
        <f ca="1">INDIRECT("'数据-取费表'!u"&amp;$G$1)</f>
        <v>13</v>
      </c>
      <c r="G6" s="1384"/>
      <c r="H6" s="1069" t="s">
        <v>398</v>
      </c>
      <c r="I6" s="3846" t="s">
        <v>694</v>
      </c>
      <c r="J6" s="301">
        <f ca="1">ROUND(M6*M8*M7*(1-M9),0)</f>
        <v>0</v>
      </c>
      <c r="K6" s="1376" t="s">
        <v>2107</v>
      </c>
      <c r="L6" s="302" t="s">
        <v>696</v>
      </c>
      <c r="M6" s="303">
        <f ca="1">INDIRECT("'数据-取费表'!z"&amp;$G$1)</f>
        <v>0</v>
      </c>
    </row>
    <row r="7" spans="1:37" ht="18" customHeight="1">
      <c r="A7" s="1073"/>
      <c r="B7" s="3847"/>
      <c r="C7" s="1075"/>
      <c r="D7" s="307"/>
      <c r="E7" s="1076" t="s">
        <v>697</v>
      </c>
      <c r="F7" s="303">
        <f ca="1">IF(INDIRECT("'数据-取费表'!ah"&amp;$G$1)="",INDIRECT("'数据-取费表'!k"&amp;$G$1),INDIRECT("'数据-取费表'!ah"&amp;$G$1))</f>
        <v>642</v>
      </c>
      <c r="G7" s="1384"/>
      <c r="H7" s="304"/>
      <c r="I7" s="3847"/>
      <c r="J7" s="306"/>
      <c r="K7" s="307"/>
      <c r="L7" s="302" t="s">
        <v>697</v>
      </c>
      <c r="M7" s="303">
        <f ca="1">F7</f>
        <v>642</v>
      </c>
    </row>
    <row r="8" spans="1:37" ht="18" customHeight="1">
      <c r="A8" s="304"/>
      <c r="B8" s="3847"/>
      <c r="C8" s="306"/>
      <c r="D8" s="307"/>
      <c r="E8" s="302" t="s">
        <v>698</v>
      </c>
      <c r="F8" s="303">
        <f ca="1">INDIRECT("'数据-取费表'!ai"&amp;$G$1)</f>
        <v>365</v>
      </c>
      <c r="G8" s="1384"/>
      <c r="H8" s="304"/>
      <c r="I8" s="3847"/>
      <c r="J8" s="306"/>
      <c r="K8" s="307"/>
      <c r="L8" s="302" t="s">
        <v>698</v>
      </c>
      <c r="M8" s="303">
        <f ca="1">INDIRECT("'数据-取费表'!ai"&amp;$G$1)</f>
        <v>365</v>
      </c>
    </row>
    <row r="9" spans="1:37" ht="18" customHeight="1">
      <c r="A9" s="304"/>
      <c r="B9" s="3848"/>
      <c r="C9" s="306"/>
      <c r="D9" s="307"/>
      <c r="E9" s="302" t="s">
        <v>699</v>
      </c>
      <c r="F9" s="312">
        <f ca="1">INDIRECT("'数据-取费表'!w"&amp;$G$1)</f>
        <v>0.05</v>
      </c>
      <c r="G9" s="1384"/>
      <c r="H9" s="304"/>
      <c r="I9" s="3848"/>
      <c r="J9" s="306"/>
      <c r="K9" s="307"/>
      <c r="L9" s="313" t="s">
        <v>699</v>
      </c>
      <c r="M9" s="314">
        <f ca="1">INDIRECT("'数据-取费表'!ab"&amp;$G$1)</f>
        <v>0</v>
      </c>
    </row>
    <row r="10" spans="1:37" ht="18" customHeight="1">
      <c r="A10" s="1069" t="s">
        <v>402</v>
      </c>
      <c r="B10" s="1365" t="s">
        <v>700</v>
      </c>
      <c r="C10" s="316">
        <f ca="1">ROUND(IF(F10="押一",C6/12*F11,IF(F10="押二",C6/12*2*F11,IF(F10="押三",C6/12*3*F11,C11*F11))),0)</f>
        <v>3617</v>
      </c>
      <c r="D10" s="1366" t="s">
        <v>2116</v>
      </c>
      <c r="E10" s="313" t="s">
        <v>701</v>
      </c>
      <c r="F10" s="1116" t="s">
        <v>3573</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3331307</v>
      </c>
      <c r="D13" s="1081" t="s">
        <v>705</v>
      </c>
      <c r="E13" s="1081" t="s">
        <v>706</v>
      </c>
      <c r="F13" s="1082">
        <f ca="1">INDIRECT("'数据-取费表'!y"&amp;$G$1)</f>
        <v>0.77500000000000002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2889000</v>
      </c>
      <c r="D14" s="1345" t="s">
        <v>708</v>
      </c>
      <c r="E14" s="1342"/>
      <c r="F14" s="319"/>
      <c r="G14" s="1384"/>
      <c r="H14" s="982" t="s">
        <v>398</v>
      </c>
      <c r="I14" s="302" t="s">
        <v>709</v>
      </c>
      <c r="J14" s="21">
        <f ca="1">C29</f>
        <v>4298461</v>
      </c>
      <c r="K14" s="12"/>
      <c r="L14" s="807"/>
      <c r="M14" s="808"/>
    </row>
    <row r="15" spans="1:37" s="1397" customFormat="1" ht="18" customHeight="1" thickBot="1">
      <c r="A15" s="982" t="s">
        <v>399</v>
      </c>
      <c r="B15" s="302" t="s">
        <v>710</v>
      </c>
      <c r="C15" s="21">
        <f ca="1">ROUND(C14*F15,0)</f>
        <v>86670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64477</v>
      </c>
      <c r="K16" s="1087" t="s">
        <v>715</v>
      </c>
      <c r="L16" s="1088"/>
      <c r="M16" s="1072"/>
    </row>
    <row r="17" spans="1:37" s="1397" customFormat="1" ht="18" customHeight="1">
      <c r="A17" s="982" t="s">
        <v>681</v>
      </c>
      <c r="B17" s="302" t="s">
        <v>716</v>
      </c>
      <c r="C17" s="21">
        <f ca="1">ROUND(F17*(F43+INDIRECT("'数据-取费表'!S"&amp;$G$1)),0)</f>
        <v>128400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43335</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3147405</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62948</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64477</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110757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-64477</v>
      </c>
      <c r="K25" s="1095" t="s">
        <v>753</v>
      </c>
      <c r="L25" s="1096"/>
      <c r="M25" s="1097"/>
    </row>
    <row r="26" spans="1:37" ht="18" customHeight="1">
      <c r="A26" s="982" t="s">
        <v>397</v>
      </c>
      <c r="B26" s="302" t="s">
        <v>754</v>
      </c>
      <c r="C26" s="21">
        <f ca="1">ROUND((C19+C20)*F26,0)</f>
        <v>642071</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4298461</v>
      </c>
      <c r="D29" s="1092"/>
      <c r="E29" s="1090"/>
      <c r="F29" s="1093"/>
      <c r="G29" s="1396"/>
      <c r="H29" s="334" t="s">
        <v>396</v>
      </c>
      <c r="I29" s="335" t="s">
        <v>768</v>
      </c>
      <c r="J29" s="336">
        <f ca="1">ROUND(J26/(1+F40)^F41,0)</f>
        <v>0</v>
      </c>
      <c r="K29" s="337" t="s">
        <v>769</v>
      </c>
      <c r="L29" s="338"/>
      <c r="M29" s="339">
        <f ca="1">INDIRECT("'数据-取费表'!k"&amp;$G$1)</f>
        <v>642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583535</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ROUND(IF(AND(项目基本情况!B11="自然人",项目基本情况!B10="北京市"),C6*F31/(1+'数据-取费表'!C42),C32+C33+C34),0)</f>
        <v>485085</v>
      </c>
      <c r="D31" s="1345" t="s">
        <v>720</v>
      </c>
      <c r="E31" s="1344" t="s">
        <v>770</v>
      </c>
      <c r="F31" s="2315" t="str">
        <f>IF(项目基本情况!B11="企业","——",IF(M47="住宅",IF(F6*F7*F8/12/(1+'数据-取费表'!F30)&gt;100000,4%,2.5%),IF(F6*F7*F8/12/(1+'数据-取费表'!F30)&gt;100000,12%,7%)))</f>
        <v>——</v>
      </c>
      <c r="G31" s="1384"/>
      <c r="H31" s="2805" t="s">
        <v>2306</v>
      </c>
      <c r="I31" s="1398"/>
      <c r="J31" s="1399"/>
      <c r="K31" s="2472"/>
      <c r="L31" s="2695"/>
      <c r="M31" s="2696"/>
    </row>
    <row r="32" spans="1:37" ht="18" customHeight="1">
      <c r="A32" s="982" t="s">
        <v>397</v>
      </c>
      <c r="B32" s="302" t="s">
        <v>723</v>
      </c>
      <c r="C32" s="21">
        <f ca="1">IF(项目基本情况!B11="自然人","——",ROUND(C6*F32/(1+'数据-取费表'!C42),0))</f>
        <v>154345</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330740</v>
      </c>
      <c r="D33" s="1370" t="s">
        <v>3337</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IF(项目基本情况!B11="自然人","——",ROUND(F34*F35,0))</f>
        <v>0</v>
      </c>
      <c r="D34" s="324" t="s">
        <v>731</v>
      </c>
      <c r="E34" s="302" t="s">
        <v>732</v>
      </c>
      <c r="F34" s="325">
        <f>'数据-取费表'!B52</f>
        <v>0</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64477</v>
      </c>
      <c r="D36" s="1344" t="s">
        <v>771</v>
      </c>
      <c r="E36" s="302" t="s">
        <v>712</v>
      </c>
      <c r="F36" s="328">
        <f ca="1">INDIRECT("'数据-取费表'!Ak"&amp;$G$1)</f>
        <v>1.4999999999999999E-2</v>
      </c>
      <c r="G36" s="1384"/>
      <c r="H36" s="2697"/>
      <c r="I36" s="1398"/>
      <c r="J36" s="1399"/>
      <c r="K36" s="2541"/>
      <c r="L36" s="2697"/>
      <c r="M36" s="2697"/>
    </row>
    <row r="37" spans="1:18" ht="18" customHeight="1">
      <c r="A37" s="982" t="s">
        <v>437</v>
      </c>
      <c r="B37" s="302" t="s">
        <v>742</v>
      </c>
      <c r="C37" s="21">
        <f ca="1">ROUND(C13*F37,0)</f>
        <v>4997</v>
      </c>
      <c r="D37" s="1344" t="s">
        <v>743</v>
      </c>
      <c r="E37" s="302" t="s">
        <v>744</v>
      </c>
      <c r="F37" s="330">
        <f ca="1">INDIRECT("'数据-取费表'!Al"&amp;$G$1)</f>
        <v>1.5E-3</v>
      </c>
      <c r="G37" s="1384"/>
      <c r="H37" s="2697"/>
      <c r="I37" s="1398"/>
      <c r="J37" s="1399"/>
      <c r="K37" s="2541"/>
      <c r="L37" s="2697"/>
      <c r="M37" s="2697"/>
    </row>
    <row r="38" spans="1:18" ht="18" customHeight="1" thickBot="1">
      <c r="A38" s="1089" t="s">
        <v>684</v>
      </c>
      <c r="B38" s="1090" t="s">
        <v>728</v>
      </c>
      <c r="C38" s="1091">
        <f ca="1">ROUND(C5*F38,0)</f>
        <v>28976</v>
      </c>
      <c r="D38" s="1092" t="s">
        <v>748</v>
      </c>
      <c r="E38" s="1090" t="s">
        <v>744</v>
      </c>
      <c r="F38" s="1086">
        <f ca="1">INDIRECT("'数据-取费表'!Am"&amp;$G$1)</f>
        <v>0.01</v>
      </c>
      <c r="G38" s="1384"/>
      <c r="H38" s="2697"/>
      <c r="I38" s="1398"/>
      <c r="J38" s="1399"/>
      <c r="K38" s="2701"/>
      <c r="L38" s="2697"/>
      <c r="M38" s="2697"/>
    </row>
    <row r="39" spans="1:18" ht="24.6" customHeight="1" thickTop="1">
      <c r="A39" s="1079" t="s">
        <v>394</v>
      </c>
      <c r="B39" s="1094" t="s">
        <v>772</v>
      </c>
      <c r="C39" s="310">
        <f ca="1">C5-C30</f>
        <v>2314058</v>
      </c>
      <c r="D39" s="1095" t="s">
        <v>773</v>
      </c>
      <c r="E39" s="1096"/>
      <c r="F39" s="1097"/>
      <c r="G39" s="1384"/>
      <c r="H39" s="2697"/>
      <c r="I39" s="1398"/>
      <c r="J39" s="1399"/>
      <c r="K39" s="2701"/>
      <c r="L39" s="2697"/>
      <c r="M39" s="2697"/>
    </row>
    <row r="40" spans="1:18" ht="18" customHeight="1">
      <c r="A40" s="299" t="s">
        <v>395</v>
      </c>
      <c r="B40" s="300" t="s">
        <v>774</v>
      </c>
      <c r="C40" s="301">
        <f ca="1">ROUND(C39*(1-((1+F42)/(1+F40))^F41)/(F40-F42),0)</f>
        <v>0</v>
      </c>
      <c r="D40" s="324" t="s">
        <v>758</v>
      </c>
      <c r="E40" s="302" t="s">
        <v>759</v>
      </c>
      <c r="F40" s="312">
        <f ca="1">INDIRECT("'数据-取费表'!I"&amp;$G$1)</f>
        <v>0.06</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2.5000000000000001E-2</v>
      </c>
      <c r="G42" s="1384"/>
      <c r="H42" s="1191"/>
      <c r="I42" s="1398"/>
      <c r="J42" s="1399"/>
      <c r="K42" s="2541"/>
      <c r="L42" s="1191"/>
      <c r="M42" s="1191"/>
    </row>
    <row r="43" spans="1:18" ht="18" customHeight="1" thickBot="1">
      <c r="A43" s="334" t="s">
        <v>396</v>
      </c>
      <c r="B43" s="335" t="s">
        <v>776</v>
      </c>
      <c r="C43" s="336">
        <f ca="1">ROUND(C40/F43,0)</f>
        <v>0</v>
      </c>
      <c r="D43" s="337" t="s">
        <v>777</v>
      </c>
      <c r="E43" s="338" t="s">
        <v>778</v>
      </c>
      <c r="F43" s="339">
        <f ca="1">INDIRECT("'数据-取费表'!k"&amp;$G$1)</f>
        <v>642</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3353</v>
      </c>
      <c r="B45" s="1400"/>
      <c r="C45" s="1472">
        <f ca="1">ROUND((C68-C40)/10000,4)</f>
        <v>0</v>
      </c>
      <c r="D45" s="3429" t="s">
        <v>3354</v>
      </c>
      <c r="E45" s="1400"/>
      <c r="F45" s="1400"/>
      <c r="O45" s="1403" t="s">
        <v>808</v>
      </c>
      <c r="P45" s="1461"/>
      <c r="Q45" s="1461"/>
      <c r="R45" s="1461"/>
    </row>
    <row r="46" spans="1:18" s="1384" customFormat="1" ht="13.5" thickBot="1">
      <c r="A46" s="1404" t="s">
        <v>809</v>
      </c>
      <c r="C46" s="1405">
        <f ca="1">ROUND(C45,0)</f>
        <v>0</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3506</v>
      </c>
      <c r="K47" s="1416" t="s">
        <v>816</v>
      </c>
      <c r="L47" s="1417">
        <f ca="1">INDIRECT("'数据-取费表'!d"&amp;$G$1)</f>
        <v>40</v>
      </c>
      <c r="M47" s="1380" t="str">
        <f>IF(ISNUMBER(FIND("住宅",C1)),"住宅","非住宅")</f>
        <v>非住宅</v>
      </c>
      <c r="O47" s="1418" t="s">
        <v>403</v>
      </c>
      <c r="P47" s="1419" t="s">
        <v>817</v>
      </c>
      <c r="Q47" s="1420">
        <f ca="1">C40+J29</f>
        <v>0</v>
      </c>
      <c r="R47" s="1420" t="s">
        <v>818</v>
      </c>
    </row>
    <row r="48" spans="1:18" s="1384" customFormat="1" ht="28.5" thickBot="1">
      <c r="A48" s="1110" t="s">
        <v>438</v>
      </c>
      <c r="B48" s="300" t="s">
        <v>692</v>
      </c>
      <c r="C48" s="1359">
        <f ca="1">C49+C53+C55</f>
        <v>0</v>
      </c>
      <c r="D48" s="1112"/>
      <c r="E48" s="1113"/>
      <c r="F48" s="962"/>
      <c r="G48" s="722"/>
      <c r="H48" s="723"/>
      <c r="I48" s="1421" t="s">
        <v>819</v>
      </c>
      <c r="J48" s="1422" t="s">
        <v>3574</v>
      </c>
      <c r="K48" s="1423" t="s">
        <v>820</v>
      </c>
      <c r="L48" s="1424">
        <f ca="1">INDIRECT("'数据-取费表'!f"&amp;$G$1)</f>
        <v>0</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2021</v>
      </c>
      <c r="K49" s="1423" t="s">
        <v>824</v>
      </c>
      <c r="L49" s="1427"/>
      <c r="O49" s="1428" t="s">
        <v>405</v>
      </c>
      <c r="P49" s="1419" t="s">
        <v>825</v>
      </c>
      <c r="Q49" s="1420">
        <f ca="1">C29</f>
        <v>4298461</v>
      </c>
      <c r="R49" s="1420" t="s">
        <v>818</v>
      </c>
    </row>
    <row r="50" spans="1:18" s="1384" customFormat="1" ht="13.5" thickBot="1">
      <c r="A50" s="976"/>
      <c r="B50" s="979"/>
      <c r="C50" s="980"/>
      <c r="D50" s="953"/>
      <c r="E50" s="1056" t="s">
        <v>697</v>
      </c>
      <c r="F50" s="1057">
        <f ca="1">F7</f>
        <v>642</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39038135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844" t="s">
        <v>837</v>
      </c>
      <c r="L53" s="3845"/>
      <c r="O53" s="1418" t="s">
        <v>409</v>
      </c>
      <c r="P53" s="1419" t="s">
        <v>838</v>
      </c>
      <c r="Q53" s="1420">
        <f ca="1">Q47+Q48</f>
        <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3331307</v>
      </c>
      <c r="D56" s="1447"/>
      <c r="E56" s="1448"/>
      <c r="F56" s="1440"/>
      <c r="I56" s="1449" t="s">
        <v>842</v>
      </c>
      <c r="J56" s="1450" t="s">
        <v>3521</v>
      </c>
      <c r="K56" s="1421" t="s">
        <v>843</v>
      </c>
      <c r="L56" s="1424" t="str">
        <f ca="1">IF(L48&lt;J51,"——",L48-J51)</f>
        <v>——</v>
      </c>
      <c r="O56" s="1418" t="s">
        <v>403</v>
      </c>
      <c r="P56" s="1419" t="s">
        <v>817</v>
      </c>
      <c r="Q56" s="1420">
        <f ca="1">C40+J29</f>
        <v>0</v>
      </c>
      <c r="R56" s="1420" t="s">
        <v>818</v>
      </c>
    </row>
    <row r="57" spans="1:18" s="1384" customFormat="1" ht="24.75" thickBot="1">
      <c r="A57" s="1451"/>
      <c r="B57" s="950" t="s">
        <v>767</v>
      </c>
      <c r="C57" s="238">
        <f ca="1">C29</f>
        <v>4298461</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69474</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64477</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4997</v>
      </c>
      <c r="D65" s="964" t="s">
        <v>743</v>
      </c>
      <c r="E65" s="950" t="s">
        <v>744</v>
      </c>
      <c r="F65" s="330">
        <f t="shared" ca="1" si="0"/>
        <v>1.5E-3</v>
      </c>
      <c r="I65" s="1462" t="s">
        <v>867</v>
      </c>
      <c r="J65" s="1463">
        <v>40</v>
      </c>
      <c r="K65" s="1463">
        <v>30</v>
      </c>
      <c r="L65" s="1463">
        <v>50</v>
      </c>
      <c r="M65" s="1465">
        <v>0.02</v>
      </c>
      <c r="O65" s="1418" t="s">
        <v>403</v>
      </c>
      <c r="P65" s="1419" t="s">
        <v>868</v>
      </c>
      <c r="Q65" s="1420">
        <f ca="1">C40+J29</f>
        <v>0</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-69474</v>
      </c>
      <c r="D67" s="963" t="s">
        <v>753</v>
      </c>
      <c r="E67" s="968"/>
      <c r="F67" s="969"/>
      <c r="O67" s="1428" t="s">
        <v>405</v>
      </c>
      <c r="P67" s="1419" t="s">
        <v>850</v>
      </c>
      <c r="Q67" s="1466">
        <f ca="1">L51</f>
        <v>39038135</v>
      </c>
      <c r="R67" s="1420" t="s">
        <v>870</v>
      </c>
    </row>
    <row r="68" spans="1:18" s="1384" customFormat="1" ht="16.5" thickBot="1">
      <c r="A68" s="947" t="s">
        <v>395</v>
      </c>
      <c r="B68" s="948" t="s">
        <v>774</v>
      </c>
      <c r="C68" s="301">
        <f ca="1">ROUND(C67*(1-((1+F70)/(1+F68))^F69)/(F68-F70),0)</f>
        <v>0</v>
      </c>
      <c r="D68" s="965" t="s">
        <v>758</v>
      </c>
      <c r="E68" s="950" t="s">
        <v>759</v>
      </c>
      <c r="F68" s="312">
        <f ca="1">F40</f>
        <v>0.06</v>
      </c>
      <c r="O68" s="1428" t="s">
        <v>406</v>
      </c>
      <c r="P68" s="1467" t="s">
        <v>871</v>
      </c>
      <c r="Q68" s="1420">
        <f ca="1">ROUND(Q69-Q70*Q71,0)</f>
        <v>2080867</v>
      </c>
      <c r="R68" s="1420" t="s">
        <v>414</v>
      </c>
    </row>
    <row r="69" spans="1:18" s="1384" customFormat="1" ht="13.5" thickBot="1">
      <c r="A69" s="951"/>
      <c r="B69" s="952"/>
      <c r="C69" s="306"/>
      <c r="D69" s="970" t="s">
        <v>762</v>
      </c>
      <c r="E69" s="950" t="s">
        <v>763</v>
      </c>
      <c r="F69" s="333">
        <f ca="1">F41</f>
        <v>0</v>
      </c>
      <c r="O69" s="1428" t="s">
        <v>411</v>
      </c>
      <c r="P69" s="1467" t="s">
        <v>872</v>
      </c>
      <c r="Q69" s="1420">
        <f ca="1">C39</f>
        <v>2314058</v>
      </c>
      <c r="R69" s="1420" t="s">
        <v>818</v>
      </c>
    </row>
    <row r="70" spans="1:18" s="1384" customFormat="1" ht="13.5" thickBot="1">
      <c r="A70" s="954"/>
      <c r="B70" s="955"/>
      <c r="C70" s="310"/>
      <c r="D70" s="966"/>
      <c r="E70" s="950" t="s">
        <v>766</v>
      </c>
      <c r="F70" s="1054"/>
      <c r="O70" s="1428" t="s">
        <v>412</v>
      </c>
      <c r="P70" s="1467" t="s">
        <v>873</v>
      </c>
      <c r="Q70" s="1420">
        <f ca="1">C13</f>
        <v>3331307</v>
      </c>
      <c r="R70" s="1420" t="s">
        <v>818</v>
      </c>
    </row>
    <row r="71" spans="1:18" s="1384" customFormat="1" ht="13.5" thickBot="1">
      <c r="A71" s="971" t="s">
        <v>396</v>
      </c>
      <c r="B71" s="972" t="s">
        <v>776</v>
      </c>
      <c r="C71" s="336">
        <f ca="1">ROUND(C68/F71,0)</f>
        <v>0</v>
      </c>
      <c r="D71" s="973" t="s">
        <v>777</v>
      </c>
      <c r="E71" s="974" t="s">
        <v>778</v>
      </c>
      <c r="F71" s="339">
        <f ca="1">F43</f>
        <v>642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233191</v>
      </c>
      <c r="D75" s="1384"/>
      <c r="E75" s="1384"/>
      <c r="F75" s="1384"/>
      <c r="K75" s="1402"/>
      <c r="L75" s="1384"/>
      <c r="O75" s="1418" t="s">
        <v>409</v>
      </c>
      <c r="P75" s="1419" t="s">
        <v>838</v>
      </c>
      <c r="Q75" s="1420">
        <f ca="1">Q65+Q66</f>
        <v>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0.89900000000000002</v>
      </c>
    </row>
    <row r="80" spans="1:18">
      <c r="B80" s="340" t="s">
        <v>800</v>
      </c>
      <c r="C80" s="274">
        <f ca="1">ROUND(C75/C39,3)</f>
        <v>0.10100000000000001</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2434</v>
      </c>
      <c r="B1" s="2829"/>
      <c r="C1" s="2841"/>
      <c r="D1" s="2841"/>
      <c r="E1" s="2830"/>
      <c r="F1" s="2831"/>
      <c r="G1" s="2832"/>
      <c r="J1" s="2835" t="s">
        <v>2313</v>
      </c>
      <c r="K1" s="2836"/>
      <c r="L1" s="2836"/>
      <c r="M1" s="2836"/>
      <c r="N1" s="2836"/>
      <c r="O1" s="2836"/>
      <c r="P1" s="2836"/>
      <c r="Q1" s="2836"/>
      <c r="R1" s="2837"/>
      <c r="S1" s="2838"/>
      <c r="T1" s="2838"/>
      <c r="U1" s="2838"/>
    </row>
    <row r="2" spans="1:22" s="2850" customFormat="1" ht="13.15" customHeight="1">
      <c r="A2" s="1385" t="s">
        <v>2314</v>
      </c>
      <c r="B2" s="2840" t="e">
        <f>IF(D2="——",C40,C40+E2)</f>
        <v>#DIV/0!</v>
      </c>
      <c r="C2" s="2841" t="s">
        <v>2315</v>
      </c>
      <c r="D2" s="3439" t="s">
        <v>3360</v>
      </c>
      <c r="E2" s="3440"/>
      <c r="F2" s="2843"/>
      <c r="G2" s="2844"/>
      <c r="H2" s="2845"/>
      <c r="I2" s="2846"/>
      <c r="J2" s="3855" t="s">
        <v>2316</v>
      </c>
      <c r="K2" s="3856"/>
      <c r="L2" s="2847" t="s">
        <v>2317</v>
      </c>
      <c r="M2" s="2847" t="s">
        <v>2318</v>
      </c>
      <c r="N2" s="2847" t="s">
        <v>2319</v>
      </c>
      <c r="O2" s="2847" t="s">
        <v>2320</v>
      </c>
      <c r="P2" s="2847" t="s">
        <v>2321</v>
      </c>
      <c r="Q2" s="2848" t="s">
        <v>2322</v>
      </c>
      <c r="R2" s="2849" t="s">
        <v>2323</v>
      </c>
      <c r="S2" s="2838"/>
      <c r="T2" s="2838"/>
      <c r="U2" s="2838"/>
      <c r="V2" s="2846"/>
    </row>
    <row r="3" spans="1:22" s="2850" customFormat="1" ht="13.15" customHeight="1">
      <c r="A3" s="2851" t="s">
        <v>2324</v>
      </c>
      <c r="B3" s="2852" t="e">
        <f>ROUND(B2*10000/B4,0)</f>
        <v>#DIV/0!</v>
      </c>
      <c r="C3" s="2841" t="s">
        <v>2325</v>
      </c>
      <c r="D3" s="2841"/>
      <c r="E3" s="2842"/>
      <c r="F3" s="2843"/>
      <c r="G3" s="2844"/>
      <c r="H3" s="2845"/>
      <c r="I3" s="2846"/>
      <c r="J3" s="3857" t="s">
        <v>2326</v>
      </c>
      <c r="K3" s="3858"/>
      <c r="L3" s="2853"/>
      <c r="M3" s="2853"/>
      <c r="N3" s="2853"/>
      <c r="O3" s="2853"/>
      <c r="P3" s="2853"/>
      <c r="Q3" s="2854"/>
      <c r="R3" s="2855">
        <f>SUM(L3:Q3)</f>
        <v>0</v>
      </c>
      <c r="S3" s="2838"/>
      <c r="T3" s="2838"/>
      <c r="U3" s="2838"/>
      <c r="V3" s="2846"/>
    </row>
    <row r="4" spans="1:22" s="2850" customFormat="1" ht="13.15" customHeight="1">
      <c r="A4" s="2856" t="s">
        <v>2327</v>
      </c>
      <c r="B4" s="2857"/>
      <c r="C4" s="2841"/>
      <c r="D4" s="2841"/>
      <c r="E4" s="2842"/>
      <c r="F4" s="2843"/>
      <c r="G4" s="2844"/>
      <c r="H4" s="2845"/>
      <c r="I4" s="2846"/>
      <c r="J4" s="3857" t="s">
        <v>2328</v>
      </c>
      <c r="K4" s="3858"/>
      <c r="L4" s="2858"/>
      <c r="M4" s="2858"/>
      <c r="N4" s="2858"/>
      <c r="O4" s="2858"/>
      <c r="P4" s="2858"/>
      <c r="Q4" s="2859"/>
      <c r="R4" s="2860">
        <f>SUM(L4:Q4)</f>
        <v>0</v>
      </c>
      <c r="S4" s="2838"/>
      <c r="T4" s="2838"/>
      <c r="U4" s="2838"/>
      <c r="V4" s="2846"/>
    </row>
    <row r="5" spans="1:22" s="2850" customFormat="1" ht="13.15"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0</v>
      </c>
      <c r="S5" s="2838"/>
      <c r="T5" s="2838" t="s">
        <v>2331</v>
      </c>
      <c r="U5" s="2838" t="e">
        <f>ROUND(R5*10000/365/R3,1)</f>
        <v>#DIV/0!</v>
      </c>
      <c r="V5" s="2846"/>
    </row>
    <row r="6" spans="1:22" s="2850" customFormat="1" ht="13.15" customHeight="1" thickBot="1">
      <c r="A6" s="3863" t="s">
        <v>2332</v>
      </c>
      <c r="B6" s="3864"/>
      <c r="C6" s="3865"/>
      <c r="D6" s="2867"/>
      <c r="E6" s="2868"/>
      <c r="F6" s="2869"/>
      <c r="G6" s="2870"/>
      <c r="H6" s="2845"/>
      <c r="I6" s="2846"/>
      <c r="J6" s="3849">
        <v>1</v>
      </c>
      <c r="K6" s="3850"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15" customHeight="1">
      <c r="A7" s="2873" t="s">
        <v>2342</v>
      </c>
      <c r="B7" s="2874"/>
      <c r="C7" s="2875"/>
      <c r="D7" s="2876">
        <f>SUM(D9,D10,D11,D17,0)</f>
        <v>0</v>
      </c>
      <c r="E7" s="2877" t="e">
        <f>E9+E10+E11+E17</f>
        <v>#DIV/0!</v>
      </c>
      <c r="F7" s="2878"/>
      <c r="G7" s="2879"/>
      <c r="H7" s="2845"/>
      <c r="I7" s="2846"/>
      <c r="J7" s="3849"/>
      <c r="K7" s="3851"/>
      <c r="L7" s="2880" t="s">
        <v>2343</v>
      </c>
      <c r="M7" s="2881"/>
      <c r="N7" s="2857"/>
      <c r="O7" s="2882"/>
      <c r="P7" s="2882"/>
      <c r="Q7" s="2883">
        <v>365</v>
      </c>
      <c r="R7" s="2884">
        <f>ROUND(M7*N7*O7*P7*Q7/10000,0)</f>
        <v>0</v>
      </c>
      <c r="S7" s="2838"/>
      <c r="T7" s="2838" t="s">
        <v>2344</v>
      </c>
      <c r="U7" s="2838"/>
      <c r="V7" s="2846"/>
    </row>
    <row r="8" spans="1:22" s="2850" customFormat="1" ht="13.15" customHeight="1">
      <c r="A8" s="2885" t="s">
        <v>2345</v>
      </c>
      <c r="B8" s="3866" t="s">
        <v>2346</v>
      </c>
      <c r="C8" s="3867"/>
      <c r="D8" s="2886" t="s">
        <v>2347</v>
      </c>
      <c r="E8" s="2887" t="s">
        <v>2348</v>
      </c>
      <c r="F8" s="2888" t="s">
        <v>2349</v>
      </c>
      <c r="G8" s="2889"/>
      <c r="H8" s="2845"/>
      <c r="I8" s="2846"/>
      <c r="J8" s="3849"/>
      <c r="K8" s="3851"/>
      <c r="L8" s="2880" t="s">
        <v>2350</v>
      </c>
      <c r="M8" s="2881"/>
      <c r="N8" s="2857"/>
      <c r="O8" s="2882"/>
      <c r="P8" s="2882"/>
      <c r="Q8" s="2883">
        <v>365</v>
      </c>
      <c r="R8" s="2884">
        <f t="shared" ref="R8:R13" si="0">ROUND(M8*N8*O8*P8*Q8/10000,0)</f>
        <v>0</v>
      </c>
      <c r="S8" s="2838"/>
      <c r="T8" s="2838" t="s">
        <v>2351</v>
      </c>
      <c r="U8" s="2838"/>
      <c r="V8" s="2846"/>
    </row>
    <row r="9" spans="1:22" s="2850" customFormat="1" ht="13.15" customHeight="1">
      <c r="A9" s="2885">
        <v>1</v>
      </c>
      <c r="B9" s="3866" t="s">
        <v>2352</v>
      </c>
      <c r="C9" s="3867"/>
      <c r="D9" s="2886">
        <f>ROUND(D6*E9,0)</f>
        <v>0</v>
      </c>
      <c r="E9" s="2890"/>
      <c r="F9" s="2891" t="s">
        <v>2353</v>
      </c>
      <c r="G9" s="2870"/>
      <c r="H9" s="2845"/>
      <c r="I9" s="2846"/>
      <c r="J9" s="3849"/>
      <c r="K9" s="3851"/>
      <c r="L9" s="2880" t="s">
        <v>2354</v>
      </c>
      <c r="M9" s="2881"/>
      <c r="N9" s="2857"/>
      <c r="O9" s="2882"/>
      <c r="P9" s="2882"/>
      <c r="Q9" s="2883">
        <v>365</v>
      </c>
      <c r="R9" s="2884">
        <f t="shared" si="0"/>
        <v>0</v>
      </c>
      <c r="S9" s="2838"/>
      <c r="T9" s="2838"/>
      <c r="U9" s="2838"/>
      <c r="V9" s="2846"/>
    </row>
    <row r="10" spans="1:22" s="2850" customFormat="1" ht="13.15" customHeight="1">
      <c r="A10" s="2885">
        <v>2</v>
      </c>
      <c r="B10" s="3866" t="s">
        <v>2355</v>
      </c>
      <c r="C10" s="3867"/>
      <c r="D10" s="2886">
        <f>ROUND(D6*E10,0)</f>
        <v>0</v>
      </c>
      <c r="E10" s="2890"/>
      <c r="F10" s="2891" t="s">
        <v>2356</v>
      </c>
      <c r="G10" s="2870"/>
      <c r="H10" s="2845"/>
      <c r="I10" s="2846"/>
      <c r="J10" s="3849"/>
      <c r="K10" s="3851"/>
      <c r="L10" s="2880" t="s">
        <v>2357</v>
      </c>
      <c r="M10" s="2881"/>
      <c r="N10" s="2857"/>
      <c r="O10" s="2882"/>
      <c r="P10" s="2882"/>
      <c r="Q10" s="2883">
        <v>365</v>
      </c>
      <c r="R10" s="2884">
        <f t="shared" si="0"/>
        <v>0</v>
      </c>
      <c r="S10" s="2838"/>
      <c r="T10" s="2838"/>
      <c r="U10" s="2838"/>
      <c r="V10" s="2846"/>
    </row>
    <row r="11" spans="1:22" s="2850" customFormat="1" ht="13.15" customHeight="1">
      <c r="A11" s="2885">
        <v>3</v>
      </c>
      <c r="B11" s="3866" t="s">
        <v>2358</v>
      </c>
      <c r="C11" s="3867"/>
      <c r="D11" s="2886">
        <f>D12+D14+D15+D16</f>
        <v>0</v>
      </c>
      <c r="E11" s="2892" t="e">
        <f>D11/D6</f>
        <v>#DIV/0!</v>
      </c>
      <c r="F11" s="2888"/>
      <c r="G11" s="2889"/>
      <c r="H11" s="2845"/>
      <c r="I11" s="2846"/>
      <c r="J11" s="3849"/>
      <c r="K11" s="3851"/>
      <c r="L11" s="2880" t="s">
        <v>2359</v>
      </c>
      <c r="M11" s="2881"/>
      <c r="N11" s="2857"/>
      <c r="O11" s="2882"/>
      <c r="P11" s="2882"/>
      <c r="Q11" s="2883">
        <v>365</v>
      </c>
      <c r="R11" s="2884">
        <f t="shared" si="0"/>
        <v>0</v>
      </c>
      <c r="S11" s="2838"/>
      <c r="T11" s="2838"/>
      <c r="U11" s="2838"/>
      <c r="V11" s="2846"/>
    </row>
    <row r="12" spans="1:22" s="2850" customFormat="1" ht="13.15" customHeight="1">
      <c r="A12" s="2893" t="s">
        <v>2360</v>
      </c>
      <c r="B12" s="3859" t="s">
        <v>2361</v>
      </c>
      <c r="C12" s="3860"/>
      <c r="D12" s="2894">
        <f>ROUND(D13*1.2%*(1-30%),0)</f>
        <v>0</v>
      </c>
      <c r="E12" s="2895">
        <v>1.2E-2</v>
      </c>
      <c r="F12" s="2888" t="s">
        <v>2362</v>
      </c>
      <c r="G12" s="2889"/>
      <c r="H12" s="2845"/>
      <c r="I12" s="2846"/>
      <c r="J12" s="3849"/>
      <c r="K12" s="3851"/>
      <c r="L12" s="2880" t="s">
        <v>2363</v>
      </c>
      <c r="M12" s="2881"/>
      <c r="N12" s="2857"/>
      <c r="O12" s="2882"/>
      <c r="P12" s="2882"/>
      <c r="Q12" s="2883">
        <v>365</v>
      </c>
      <c r="R12" s="2884">
        <f t="shared" si="0"/>
        <v>0</v>
      </c>
      <c r="S12" s="2838"/>
      <c r="T12" s="2838"/>
      <c r="U12" s="2838"/>
      <c r="V12" s="2846"/>
    </row>
    <row r="13" spans="1:22" s="2850" customFormat="1" ht="13.15" customHeight="1">
      <c r="A13" s="2893"/>
      <c r="B13" s="2896"/>
      <c r="C13" s="2897" t="s">
        <v>2364</v>
      </c>
      <c r="D13" s="2898"/>
      <c r="E13" s="2899"/>
      <c r="F13" s="2888"/>
      <c r="G13" s="2889"/>
      <c r="H13" s="2845"/>
      <c r="I13" s="2846"/>
      <c r="J13" s="3849"/>
      <c r="K13" s="3851"/>
      <c r="L13" s="2880" t="s">
        <v>2365</v>
      </c>
      <c r="M13" s="2881"/>
      <c r="N13" s="2857"/>
      <c r="O13" s="2882"/>
      <c r="P13" s="2882"/>
      <c r="Q13" s="2883">
        <v>365</v>
      </c>
      <c r="R13" s="2884">
        <f t="shared" si="0"/>
        <v>0</v>
      </c>
      <c r="S13" s="2838"/>
      <c r="T13" s="2838"/>
      <c r="U13" s="2838"/>
      <c r="V13" s="2846"/>
    </row>
    <row r="14" spans="1:22" s="2850" customFormat="1" ht="13.15" customHeight="1">
      <c r="A14" s="2893" t="s">
        <v>2366</v>
      </c>
      <c r="B14" s="3859" t="s">
        <v>2367</v>
      </c>
      <c r="C14" s="3860"/>
      <c r="D14" s="2894">
        <f>ROUND(E14*B5/10000,0)</f>
        <v>0</v>
      </c>
      <c r="E14" s="2883"/>
      <c r="F14" s="2888" t="s">
        <v>2368</v>
      </c>
      <c r="G14" s="2889"/>
      <c r="H14" s="2845"/>
      <c r="I14" s="2846"/>
      <c r="J14" s="3849"/>
      <c r="K14" s="3852"/>
      <c r="L14" s="2900" t="s">
        <v>2369</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2370</v>
      </c>
      <c r="B15" s="3859" t="s">
        <v>2371</v>
      </c>
      <c r="C15" s="3860"/>
      <c r="D15" s="2894">
        <f>ROUND(D6*E15,0)</f>
        <v>0</v>
      </c>
      <c r="E15" s="2895">
        <v>5.5E-2</v>
      </c>
      <c r="F15" s="2888" t="s">
        <v>2372</v>
      </c>
      <c r="G15" s="2870"/>
      <c r="H15" s="2845"/>
      <c r="I15" s="2846"/>
      <c r="J15" s="3849">
        <v>2</v>
      </c>
      <c r="K15" s="3850" t="s">
        <v>2373</v>
      </c>
      <c r="L15" s="2880" t="s">
        <v>2374</v>
      </c>
      <c r="M15" s="2881" t="s">
        <v>2375</v>
      </c>
      <c r="N15" s="2881" t="s">
        <v>2376</v>
      </c>
      <c r="O15" s="2882" t="s">
        <v>2377</v>
      </c>
      <c r="P15" s="2882" t="s">
        <v>2339</v>
      </c>
      <c r="Q15" s="2857" t="s">
        <v>2378</v>
      </c>
      <c r="R15" s="2904" t="s">
        <v>2340</v>
      </c>
      <c r="S15" s="2838"/>
      <c r="T15" s="2838"/>
      <c r="U15" s="2838"/>
      <c r="V15" s="2846"/>
    </row>
    <row r="16" spans="1:22" s="2850" customFormat="1" ht="13.15" customHeight="1">
      <c r="A16" s="2893" t="s">
        <v>2379</v>
      </c>
      <c r="B16" s="3859" t="s">
        <v>2380</v>
      </c>
      <c r="C16" s="3860"/>
      <c r="D16" s="2905">
        <f>D6*E16</f>
        <v>0</v>
      </c>
      <c r="E16" s="2906"/>
      <c r="F16" s="2891" t="s">
        <v>2381</v>
      </c>
      <c r="G16" s="2870"/>
      <c r="H16" s="2845"/>
      <c r="I16" s="2846"/>
      <c r="J16" s="3849"/>
      <c r="K16" s="3851"/>
      <c r="L16" s="2880" t="s">
        <v>2382</v>
      </c>
      <c r="M16" s="2881"/>
      <c r="N16" s="2881"/>
      <c r="O16" s="2882"/>
      <c r="P16" s="2883">
        <v>365</v>
      </c>
      <c r="Q16" s="2857"/>
      <c r="R16" s="2904">
        <f>ROUND(M16*N16*O16*P16/10000,0)</f>
        <v>0</v>
      </c>
      <c r="S16" s="2838"/>
      <c r="T16" s="2838"/>
      <c r="U16" s="2838"/>
      <c r="V16" s="2846"/>
    </row>
    <row r="17" spans="1:22" s="2850" customFormat="1" ht="13.15" customHeight="1" thickBot="1">
      <c r="A17" s="2907">
        <v>4</v>
      </c>
      <c r="B17" s="3861" t="s">
        <v>2383</v>
      </c>
      <c r="C17" s="3862"/>
      <c r="D17" s="2908">
        <f>ROUND(D6*E17,0)</f>
        <v>0</v>
      </c>
      <c r="E17" s="2909"/>
      <c r="F17" s="2910" t="s">
        <v>2384</v>
      </c>
      <c r="G17" s="2870"/>
      <c r="H17" s="2845"/>
      <c r="I17" s="2846"/>
      <c r="J17" s="3849"/>
      <c r="K17" s="3851"/>
      <c r="L17" s="2880" t="s">
        <v>2385</v>
      </c>
      <c r="M17" s="2881"/>
      <c r="N17" s="2881"/>
      <c r="O17" s="2882"/>
      <c r="P17" s="2883">
        <v>365</v>
      </c>
      <c r="Q17" s="2857"/>
      <c r="R17" s="2904">
        <f>ROUND(M17*N17*O17*P17/10000,0)</f>
        <v>0</v>
      </c>
      <c r="S17" s="2838"/>
      <c r="T17" s="2838"/>
      <c r="U17" s="2838"/>
      <c r="V17" s="2846"/>
    </row>
    <row r="18" spans="1:22" s="2850" customFormat="1" ht="13.15" customHeight="1" thickBot="1">
      <c r="A18" s="2873" t="s">
        <v>2386</v>
      </c>
      <c r="B18" s="2874"/>
      <c r="C18" s="2874"/>
      <c r="D18" s="2911">
        <f>ROUND(D6*E18,0)</f>
        <v>0</v>
      </c>
      <c r="E18" s="2912"/>
      <c r="F18" s="2913" t="s">
        <v>2387</v>
      </c>
      <c r="G18" s="2870"/>
      <c r="H18" s="2845"/>
      <c r="I18" s="2846"/>
      <c r="J18" s="3849"/>
      <c r="K18" s="3851"/>
      <c r="L18" s="2880" t="s">
        <v>2388</v>
      </c>
      <c r="M18" s="2881"/>
      <c r="N18" s="2881"/>
      <c r="O18" s="2882"/>
      <c r="P18" s="2883">
        <v>365</v>
      </c>
      <c r="Q18" s="2857"/>
      <c r="R18" s="2904">
        <f>ROUND(M18*N18*O18*P18/10000,0)</f>
        <v>0</v>
      </c>
      <c r="S18" s="2838"/>
      <c r="T18" s="2838"/>
      <c r="U18" s="2838"/>
      <c r="V18" s="2846"/>
    </row>
    <row r="19" spans="1:22" s="2850" customFormat="1" ht="13.15" customHeight="1" thickBot="1">
      <c r="A19" s="2914" t="s">
        <v>2389</v>
      </c>
      <c r="B19" s="2868"/>
      <c r="C19" s="2868"/>
      <c r="D19" s="2868"/>
      <c r="E19" s="2868"/>
      <c r="F19" s="2869"/>
      <c r="G19" s="2889"/>
      <c r="H19" s="2845"/>
      <c r="I19" s="2846"/>
      <c r="J19" s="3849"/>
      <c r="K19" s="3852"/>
      <c r="L19" s="2900" t="s">
        <v>2369</v>
      </c>
      <c r="M19" s="2901"/>
      <c r="N19" s="2901">
        <f>SUM(N16:N18)</f>
        <v>0</v>
      </c>
      <c r="O19" s="2902"/>
      <c r="P19" s="2915" t="s">
        <v>2433</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849">
        <v>3</v>
      </c>
      <c r="K20" s="3850" t="s">
        <v>2390</v>
      </c>
      <c r="L20" s="2880" t="s">
        <v>2391</v>
      </c>
      <c r="M20" s="2881" t="s">
        <v>2392</v>
      </c>
      <c r="N20" s="2918" t="s">
        <v>2393</v>
      </c>
      <c r="O20" s="2882" t="s">
        <v>2394</v>
      </c>
      <c r="P20" s="2883" t="s">
        <v>2395</v>
      </c>
      <c r="Q20" s="2857" t="s">
        <v>2396</v>
      </c>
      <c r="R20" s="2904" t="s">
        <v>2397</v>
      </c>
      <c r="S20" s="2919"/>
      <c r="T20" s="2919"/>
      <c r="U20" s="2919"/>
      <c r="V20" s="2846"/>
    </row>
    <row r="21" spans="1:22" s="2850" customFormat="1" ht="13.15" customHeight="1">
      <c r="A21" s="2873"/>
      <c r="B21" s="2874"/>
      <c r="C21" s="2920" t="s">
        <v>2398</v>
      </c>
      <c r="D21" s="2921" t="s">
        <v>2399</v>
      </c>
      <c r="E21" s="2922" t="s">
        <v>2400</v>
      </c>
      <c r="F21" s="2917"/>
      <c r="G21" s="2889"/>
      <c r="H21" s="2845"/>
      <c r="I21" s="2846"/>
      <c r="J21" s="3849"/>
      <c r="K21" s="3851"/>
      <c r="L21" s="2880" t="s">
        <v>2401</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2402</v>
      </c>
      <c r="D22" s="2925" t="s">
        <v>2403</v>
      </c>
      <c r="E22" s="2926" t="s">
        <v>2404</v>
      </c>
      <c r="F22" s="2917"/>
      <c r="G22" s="2927"/>
      <c r="H22" s="2845"/>
      <c r="I22" s="2846"/>
      <c r="J22" s="3849"/>
      <c r="K22" s="3851"/>
      <c r="L22" s="2880" t="s">
        <v>2405</v>
      </c>
      <c r="M22" s="2881"/>
      <c r="N22" s="2881"/>
      <c r="O22" s="2882"/>
      <c r="P22" s="2883">
        <v>365</v>
      </c>
      <c r="Q22" s="2857"/>
      <c r="R22" s="2923">
        <f>ROUND(M22*N22*O22*P22/10000,0)</f>
        <v>0</v>
      </c>
      <c r="S22" s="2919"/>
      <c r="T22" s="2919"/>
      <c r="U22" s="2919"/>
      <c r="V22" s="2846"/>
    </row>
    <row r="23" spans="1:22" s="2850" customFormat="1" ht="13.15" customHeight="1">
      <c r="A23" s="2928">
        <v>1</v>
      </c>
      <c r="B23" s="2929" t="s">
        <v>2406</v>
      </c>
      <c r="C23" s="2930">
        <f>D6</f>
        <v>0</v>
      </c>
      <c r="D23" s="2931">
        <f>C23*(1+D24)</f>
        <v>0</v>
      </c>
      <c r="E23" s="2932">
        <f>D23*(1+E24)</f>
        <v>0</v>
      </c>
      <c r="F23" s="2933"/>
      <c r="G23" s="2934"/>
      <c r="H23" s="2845"/>
      <c r="I23" s="2846"/>
      <c r="J23" s="3849"/>
      <c r="K23" s="3851"/>
      <c r="L23" s="2880" t="s">
        <v>2407</v>
      </c>
      <c r="M23" s="2881"/>
      <c r="N23" s="2881"/>
      <c r="O23" s="2882"/>
      <c r="P23" s="2883">
        <v>365</v>
      </c>
      <c r="Q23" s="2857"/>
      <c r="R23" s="2923">
        <f>ROUND(M23*N23*O23*P23/10000,0)</f>
        <v>0</v>
      </c>
      <c r="S23" s="2838"/>
      <c r="T23" s="2838"/>
      <c r="U23" s="2838"/>
      <c r="V23" s="2846"/>
    </row>
    <row r="24" spans="1:22" s="2850" customFormat="1" ht="13.15" customHeight="1">
      <c r="A24" s="2935"/>
      <c r="B24" s="2936" t="s">
        <v>2408</v>
      </c>
      <c r="C24" s="2937"/>
      <c r="D24" s="2938"/>
      <c r="E24" s="2939"/>
      <c r="F24" s="2940"/>
      <c r="G24" s="2934"/>
      <c r="H24" s="2845"/>
      <c r="I24" s="2846"/>
      <c r="J24" s="3849"/>
      <c r="K24" s="3852"/>
      <c r="L24" s="2900" t="s">
        <v>2369</v>
      </c>
      <c r="M24" s="2901">
        <f>SUM(M21:M23)</f>
        <v>0</v>
      </c>
      <c r="N24" s="2901"/>
      <c r="O24" s="2902"/>
      <c r="P24" s="2915" t="s">
        <v>2433</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2409</v>
      </c>
      <c r="L25" s="2943"/>
      <c r="M25" s="2943"/>
      <c r="N25" s="2943"/>
      <c r="O25" s="2943"/>
      <c r="P25" s="2944"/>
      <c r="Q25" s="2945">
        <v>0</v>
      </c>
      <c r="R25" s="2916">
        <f>ROUND(R14*Q25,0)</f>
        <v>0</v>
      </c>
      <c r="S25" s="2838"/>
      <c r="T25" s="2838"/>
      <c r="U25" s="2838"/>
      <c r="V25" s="2946"/>
    </row>
    <row r="26" spans="1:22" s="2947" customFormat="1" ht="13.15" customHeight="1">
      <c r="A26" s="2928">
        <v>2</v>
      </c>
      <c r="B26" s="2929" t="s">
        <v>2410</v>
      </c>
      <c r="C26" s="2930">
        <f>D7</f>
        <v>0</v>
      </c>
      <c r="D26" s="2931">
        <f>D23*D27</f>
        <v>0</v>
      </c>
      <c r="E26" s="2932">
        <f>E23*E27</f>
        <v>0</v>
      </c>
      <c r="F26" s="2933"/>
      <c r="G26" s="2934"/>
      <c r="H26" s="2845"/>
      <c r="I26" s="2846"/>
      <c r="J26" s="3853">
        <v>5</v>
      </c>
      <c r="K26" s="2948" t="s">
        <v>2411</v>
      </c>
      <c r="L26" s="2949"/>
      <c r="M26" s="2950"/>
      <c r="N26" s="2951" t="s">
        <v>2412</v>
      </c>
      <c r="O26" s="2951" t="s">
        <v>2413</v>
      </c>
      <c r="P26" s="2952" t="s">
        <v>2414</v>
      </c>
      <c r="Q26" s="2952" t="s">
        <v>2415</v>
      </c>
      <c r="R26" s="2855" t="s">
        <v>2340</v>
      </c>
      <c r="S26" s="2953"/>
      <c r="T26" s="2953"/>
      <c r="U26" s="2953"/>
      <c r="V26" s="2946"/>
    </row>
    <row r="27" spans="1:22" s="2850" customFormat="1" ht="13.15" customHeight="1">
      <c r="A27" s="2935"/>
      <c r="B27" s="2936" t="s">
        <v>2416</v>
      </c>
      <c r="C27" s="2954" t="e">
        <f>E7</f>
        <v>#DIV/0!</v>
      </c>
      <c r="D27" s="2938"/>
      <c r="E27" s="2939"/>
      <c r="F27" s="2940"/>
      <c r="G27" s="2934"/>
      <c r="H27" s="2955"/>
      <c r="I27" s="2946"/>
      <c r="J27" s="3854"/>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2417</v>
      </c>
      <c r="F28" s="2940"/>
      <c r="G28" s="2927"/>
      <c r="H28" s="2955"/>
      <c r="I28" s="2946"/>
      <c r="J28" s="2961">
        <v>6</v>
      </c>
      <c r="K28" s="2962" t="s">
        <v>2418</v>
      </c>
      <c r="L28" s="2963" t="s">
        <v>2419</v>
      </c>
      <c r="M28" s="2964"/>
      <c r="N28" s="2963" t="s">
        <v>2420</v>
      </c>
      <c r="O28" s="2965"/>
      <c r="P28" s="2963" t="s">
        <v>2421</v>
      </c>
      <c r="Q28" s="2966">
        <v>1.4999999999999999E-2</v>
      </c>
      <c r="R28" s="2967"/>
      <c r="S28" s="2919"/>
      <c r="T28" s="2919"/>
      <c r="U28" s="2919"/>
      <c r="V28" s="2946"/>
    </row>
    <row r="29" spans="1:22" s="2947" customFormat="1" ht="13.15" customHeight="1">
      <c r="A29" s="2928">
        <v>3</v>
      </c>
      <c r="B29" s="2929" t="s">
        <v>2422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2423</v>
      </c>
      <c r="K31" s="2836"/>
      <c r="L31" s="2836"/>
      <c r="M31" s="2836"/>
      <c r="N31" s="2836"/>
      <c r="O31" s="2836"/>
      <c r="P31" s="2836"/>
      <c r="Q31" s="2836"/>
      <c r="R31" s="2837"/>
      <c r="S31" s="2919"/>
      <c r="T31" s="2838"/>
      <c r="U31" s="2838"/>
      <c r="V31" s="2946"/>
    </row>
    <row r="32" spans="1:22" s="2947" customFormat="1" ht="13.15" customHeight="1">
      <c r="A32" s="2928">
        <v>4</v>
      </c>
      <c r="B32" s="2929" t="s">
        <v>2424</v>
      </c>
      <c r="C32" s="2930">
        <f>C23-C26-C29</f>
        <v>0</v>
      </c>
      <c r="D32" s="2931">
        <f>D23-D26-D29</f>
        <v>0</v>
      </c>
      <c r="E32" s="2932">
        <f>E23-E26-E29</f>
        <v>0</v>
      </c>
      <c r="F32" s="2933"/>
      <c r="G32" s="2927"/>
      <c r="H32" s="2845"/>
      <c r="I32" s="2846"/>
      <c r="J32" s="3855" t="s">
        <v>2316</v>
      </c>
      <c r="K32" s="3856"/>
      <c r="L32" s="2847" t="s">
        <v>2317</v>
      </c>
      <c r="M32" s="2847" t="s">
        <v>2318</v>
      </c>
      <c r="N32" s="2847" t="s">
        <v>2319</v>
      </c>
      <c r="O32" s="2847" t="s">
        <v>2320</v>
      </c>
      <c r="P32" s="2847" t="s">
        <v>2321</v>
      </c>
      <c r="Q32" s="2848" t="s">
        <v>2322</v>
      </c>
      <c r="R32" s="2970" t="s">
        <v>2323</v>
      </c>
      <c r="S32" s="2919"/>
      <c r="T32" s="2838"/>
      <c r="U32" s="2838"/>
      <c r="V32" s="2946"/>
    </row>
    <row r="33" spans="1:23" s="2850" customFormat="1" ht="13.15" customHeight="1">
      <c r="A33" s="2928"/>
      <c r="B33" s="2929"/>
      <c r="C33" s="2930"/>
      <c r="D33" s="2971"/>
      <c r="E33" s="2972"/>
      <c r="F33" s="2933"/>
      <c r="G33" s="2927"/>
      <c r="H33" s="2955"/>
      <c r="I33" s="2946"/>
      <c r="J33" s="3857" t="s">
        <v>2326</v>
      </c>
      <c r="K33" s="3858"/>
      <c r="L33" s="2853"/>
      <c r="M33" s="2853"/>
      <c r="N33" s="2853"/>
      <c r="O33" s="2853"/>
      <c r="P33" s="2853"/>
      <c r="Q33" s="2854"/>
      <c r="R33" s="2973">
        <f>SUM(L33:Q33)</f>
        <v>0</v>
      </c>
      <c r="S33" s="2919"/>
      <c r="T33" s="2838"/>
      <c r="U33" s="2838"/>
      <c r="V33" s="2846"/>
    </row>
    <row r="34" spans="1:23" s="2850" customFormat="1" ht="13.15" customHeight="1">
      <c r="A34" s="2928">
        <v>5</v>
      </c>
      <c r="B34" s="2929" t="s">
        <v>2425</v>
      </c>
      <c r="C34" s="2974"/>
      <c r="D34" s="2975"/>
      <c r="E34" s="2976"/>
      <c r="F34" s="2933"/>
      <c r="G34" s="2927"/>
      <c r="H34" s="2955"/>
      <c r="I34" s="2946"/>
      <c r="J34" s="3857" t="s">
        <v>2328</v>
      </c>
      <c r="K34" s="3858"/>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2426</v>
      </c>
      <c r="C35" s="2978"/>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15" customHeight="1" thickBot="1">
      <c r="A36" s="2928">
        <v>7</v>
      </c>
      <c r="B36" s="2983" t="s">
        <v>2427</v>
      </c>
      <c r="C36" s="2984"/>
      <c r="D36" s="2985"/>
      <c r="E36" s="2986"/>
      <c r="F36" s="2987">
        <f>C36+D36+E36</f>
        <v>0</v>
      </c>
      <c r="G36" s="2927"/>
      <c r="H36" s="2845"/>
      <c r="I36" s="2846"/>
      <c r="J36" s="3849">
        <v>1</v>
      </c>
      <c r="K36" s="3850" t="s">
        <v>2428</v>
      </c>
      <c r="L36" s="2871"/>
      <c r="M36" s="2872"/>
      <c r="N36" s="2872"/>
      <c r="O36" s="2872"/>
      <c r="P36" s="2872"/>
      <c r="Q36" s="2872"/>
      <c r="R36" s="2855" t="s">
        <v>2340</v>
      </c>
      <c r="S36" s="2919"/>
      <c r="T36" s="2838" t="s">
        <v>2341</v>
      </c>
      <c r="U36" s="2838"/>
      <c r="V36" s="2846"/>
    </row>
    <row r="37" spans="1:23" s="2850" customFormat="1" ht="13.15" customHeight="1">
      <c r="A37" s="2928"/>
      <c r="B37" s="2929"/>
      <c r="C37" s="2929"/>
      <c r="D37" s="2929"/>
      <c r="E37" s="2929"/>
      <c r="F37" s="2933"/>
      <c r="G37" s="2927"/>
      <c r="H37" s="2845"/>
      <c r="I37" s="2846"/>
      <c r="J37" s="3849"/>
      <c r="K37" s="3851"/>
      <c r="L37" s="2880"/>
      <c r="M37" s="2881"/>
      <c r="N37" s="2857"/>
      <c r="O37" s="2882"/>
      <c r="P37" s="2882"/>
      <c r="Q37" s="2883"/>
      <c r="R37" s="2884"/>
      <c r="S37" s="2919"/>
      <c r="T37" s="2838" t="s">
        <v>2344</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849"/>
      <c r="K38" s="3851"/>
      <c r="L38" s="2880"/>
      <c r="M38" s="2881"/>
      <c r="N38" s="2857"/>
      <c r="O38" s="2882"/>
      <c r="P38" s="2882"/>
      <c r="Q38" s="2883"/>
      <c r="R38" s="2884"/>
      <c r="S38" s="2919"/>
      <c r="T38" s="2838" t="s">
        <v>2351</v>
      </c>
      <c r="U38" s="2838"/>
      <c r="V38" s="2846"/>
    </row>
    <row r="39" spans="1:23" s="2850" customFormat="1" ht="13.15" customHeight="1">
      <c r="A39" s="2928">
        <v>9</v>
      </c>
      <c r="B39" s="2929" t="s">
        <v>2429</v>
      </c>
      <c r="C39" s="2894" t="e">
        <f>C38</f>
        <v>#DIV/0!</v>
      </c>
      <c r="D39" s="2929">
        <f>D38/(1+D34)^C36</f>
        <v>0</v>
      </c>
      <c r="E39" s="2929">
        <f>E38/(1+E34)^(C36+D36)</f>
        <v>0</v>
      </c>
      <c r="F39" s="2933"/>
      <c r="G39" s="2988"/>
      <c r="H39" s="2845"/>
      <c r="I39" s="2846"/>
      <c r="J39" s="3849"/>
      <c r="K39" s="3851"/>
      <c r="L39" s="2880"/>
      <c r="M39" s="2881"/>
      <c r="N39" s="2857"/>
      <c r="O39" s="2882"/>
      <c r="P39" s="2882"/>
      <c r="Q39" s="2883"/>
      <c r="R39" s="2884"/>
      <c r="S39" s="2919"/>
      <c r="T39" s="2838"/>
      <c r="U39" s="2838"/>
      <c r="V39" s="2846"/>
    </row>
    <row r="40" spans="1:23" s="2850" customFormat="1" ht="13.15" customHeight="1">
      <c r="A40" s="2989">
        <v>10</v>
      </c>
      <c r="B40" s="2929" t="s">
        <v>2430</v>
      </c>
      <c r="C40" s="2990" t="e">
        <f>C39+D39+E39</f>
        <v>#DIV/0!</v>
      </c>
      <c r="D40" s="2991"/>
      <c r="E40" s="2991"/>
      <c r="F40" s="2992"/>
      <c r="G40" s="2927"/>
      <c r="H40" s="2845"/>
      <c r="I40" s="2846"/>
      <c r="J40" s="3849"/>
      <c r="K40" s="3852"/>
      <c r="L40" s="2900" t="s">
        <v>2369</v>
      </c>
      <c r="M40" s="2901"/>
      <c r="N40" s="2901"/>
      <c r="O40" s="2902"/>
      <c r="P40" s="2902"/>
      <c r="Q40" s="2903"/>
      <c r="R40" s="2849">
        <f>SUM(R37:R39)</f>
        <v>0</v>
      </c>
      <c r="S40" s="2919"/>
      <c r="T40" s="2838"/>
      <c r="U40" s="2838"/>
      <c r="V40" s="2846"/>
    </row>
    <row r="41" spans="1:23" s="2850" customFormat="1" ht="13.15" customHeight="1" thickBot="1">
      <c r="A41" s="2993">
        <v>11</v>
      </c>
      <c r="B41" s="2994" t="s">
        <v>2431</v>
      </c>
      <c r="C41" s="2994" t="e">
        <f>ROUND(C40*10000/B4,0)</f>
        <v>#DIV/0!</v>
      </c>
      <c r="D41" s="2995"/>
      <c r="E41" s="2995"/>
      <c r="F41" s="2996"/>
      <c r="G41" s="2997"/>
      <c r="H41" s="2845"/>
      <c r="I41" s="2846"/>
      <c r="J41" s="2941">
        <v>2</v>
      </c>
      <c r="K41" s="2942" t="s">
        <v>2409</v>
      </c>
      <c r="L41" s="2943"/>
      <c r="M41" s="2943"/>
      <c r="N41" s="2943"/>
      <c r="O41" s="2943"/>
      <c r="P41" s="2944"/>
      <c r="Q41" s="2945"/>
      <c r="R41" s="2916">
        <f>ROUND(R40*Q41,0)</f>
        <v>0</v>
      </c>
      <c r="S41" s="2919"/>
      <c r="T41" s="2838"/>
      <c r="U41" s="2953"/>
      <c r="V41" s="2846"/>
    </row>
    <row r="42" spans="1:23" s="2850" customFormat="1" ht="13.15" customHeight="1">
      <c r="G42" s="2997"/>
      <c r="H42" s="2845"/>
      <c r="I42" s="2846"/>
      <c r="J42" s="3853">
        <v>3</v>
      </c>
      <c r="K42" s="2948" t="s">
        <v>2411</v>
      </c>
      <c r="L42" s="2949"/>
      <c r="M42" s="2950"/>
      <c r="N42" s="2951" t="s">
        <v>2412</v>
      </c>
      <c r="O42" s="2951" t="s">
        <v>2413</v>
      </c>
      <c r="P42" s="2952" t="s">
        <v>2414</v>
      </c>
      <c r="Q42" s="2952" t="s">
        <v>2415</v>
      </c>
      <c r="R42" s="2855" t="s">
        <v>2340</v>
      </c>
      <c r="S42" s="2953"/>
      <c r="T42" s="2953"/>
      <c r="U42" s="2838"/>
      <c r="V42" s="2846"/>
    </row>
    <row r="43" spans="1:23" ht="13.15" customHeight="1">
      <c r="A43" s="2850"/>
      <c r="B43" s="2850"/>
      <c r="C43" s="2850"/>
      <c r="D43" s="2850"/>
      <c r="E43" s="2850"/>
      <c r="F43" s="2850"/>
      <c r="I43" s="2833"/>
      <c r="J43" s="3854"/>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2418</v>
      </c>
      <c r="L44" s="3001" t="s">
        <v>2419</v>
      </c>
      <c r="M44" s="2964"/>
      <c r="N44" s="3001" t="s">
        <v>2420</v>
      </c>
      <c r="O44" s="2964"/>
      <c r="P44" s="3001" t="s">
        <v>2421</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4"/>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4">
        <f>SUM(E6:E13)</f>
        <v>642</v>
      </c>
      <c r="F2" s="2704"/>
      <c r="G2" s="1489"/>
      <c r="H2" s="1489"/>
      <c r="I2" s="1489"/>
      <c r="J2" s="1489"/>
      <c r="K2" s="1489"/>
      <c r="L2" s="1489"/>
      <c r="M2" s="1489"/>
      <c r="N2" s="1489"/>
      <c r="O2" s="1489"/>
      <c r="P2" s="1489"/>
      <c r="Q2" s="1489"/>
      <c r="R2" s="1489"/>
      <c r="S2" s="1489"/>
    </row>
    <row r="3" spans="1:22" ht="15.75">
      <c r="A3" s="1870" t="s">
        <v>686</v>
      </c>
      <c r="B3" s="2598">
        <f ca="1">ROUND(B2*10000/E2,0)</f>
        <v>0</v>
      </c>
      <c r="C3" s="1872" t="s">
        <v>1659</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1653</v>
      </c>
      <c r="B5" s="3868" t="s">
        <v>1654</v>
      </c>
      <c r="C5" s="3869"/>
      <c r="D5" s="2705"/>
      <c r="E5" s="1874" t="s">
        <v>1655</v>
      </c>
      <c r="F5" s="1875" t="s">
        <v>1656</v>
      </c>
      <c r="G5" s="1489"/>
      <c r="H5" s="1489"/>
      <c r="I5" s="1489"/>
      <c r="J5" s="1489"/>
      <c r="K5" s="1489"/>
      <c r="L5" s="1489"/>
      <c r="M5" s="1489"/>
      <c r="N5" s="1489"/>
      <c r="O5" s="1489"/>
      <c r="P5" s="1489"/>
      <c r="Q5" s="1489"/>
      <c r="R5" s="1489"/>
      <c r="S5" s="1489"/>
    </row>
    <row r="6" spans="1:22">
      <c r="A6" s="2601" t="str">
        <f>'数据-取费表'!AN6</f>
        <v>收益法 (元)</v>
      </c>
      <c r="B6" s="2599">
        <f ca="1">IF(F6="是",'数据-取费表'!AO6,0)</f>
        <v>0</v>
      </c>
      <c r="C6" s="1872" t="s">
        <v>1651</v>
      </c>
      <c r="D6" s="2706"/>
      <c r="E6" s="2603">
        <f>IF(OR(A6=0,F6="否"),0,'数据-取费表'!K6+'数据-取费表'!S6)</f>
        <v>642</v>
      </c>
      <c r="F6" s="1876" t="s">
        <v>1657</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1651</v>
      </c>
      <c r="D7" s="2706"/>
      <c r="E7" s="2603">
        <f>IF(OR(A7=0,F7="否"),0,'数据-取费表'!K7+'数据-取费表'!S7)</f>
        <v>0</v>
      </c>
      <c r="F7" s="1876" t="s">
        <v>1657</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1651</v>
      </c>
      <c r="D8" s="2706"/>
      <c r="E8" s="2603">
        <f>IF(OR(A8=0,F8="否"),0,'数据-取费表'!K8+'数据-取费表'!S8)</f>
        <v>0</v>
      </c>
      <c r="F8" s="1876" t="s">
        <v>1657</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1651</v>
      </c>
      <c r="D9" s="2706"/>
      <c r="E9" s="2603">
        <f>IF(OR(A9=0,F9="否"),0,'数据-取费表'!K9+'数据-取费表'!S9)</f>
        <v>0</v>
      </c>
      <c r="F9" s="1876" t="s">
        <v>1657</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1651</v>
      </c>
      <c r="D10" s="2706"/>
      <c r="E10" s="2603">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1651</v>
      </c>
      <c r="D11" s="2706"/>
      <c r="E11" s="2603">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1651</v>
      </c>
      <c r="D12" s="2706"/>
      <c r="E12" s="2603">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1651</v>
      </c>
      <c r="D13" s="2707"/>
      <c r="E13" s="2603">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3"/>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642</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1666</v>
      </c>
      <c r="B4" s="356"/>
      <c r="C4" s="3817" t="s">
        <v>1667</v>
      </c>
      <c r="D4" s="3818"/>
      <c r="E4" s="3819" t="s">
        <v>1668</v>
      </c>
      <c r="F4" s="3820"/>
      <c r="G4" s="3817" t="s">
        <v>1669</v>
      </c>
      <c r="H4" s="3818"/>
      <c r="I4" s="3817" t="s">
        <v>1670</v>
      </c>
      <c r="J4" s="3818"/>
      <c r="K4" s="1889" t="s">
        <v>1671</v>
      </c>
      <c r="L4" s="2712"/>
      <c r="M4" s="2713"/>
      <c r="N4" s="2713"/>
      <c r="O4" s="2713"/>
      <c r="P4" s="3821" t="s">
        <v>1672</v>
      </c>
      <c r="Q4" s="3822"/>
      <c r="R4" s="3827" t="s">
        <v>1668</v>
      </c>
      <c r="S4" s="3828"/>
      <c r="T4" s="3827" t="s">
        <v>1669</v>
      </c>
      <c r="U4" s="3828"/>
      <c r="V4" s="3812" t="s">
        <v>1670</v>
      </c>
      <c r="W4" s="3812"/>
      <c r="X4" s="1355"/>
      <c r="Y4" s="3827" t="s">
        <v>1672</v>
      </c>
      <c r="Z4" s="3828"/>
      <c r="AA4" s="3814" t="s">
        <v>1668</v>
      </c>
      <c r="AB4" s="3814" t="s">
        <v>1669</v>
      </c>
      <c r="AC4" s="3814" t="s">
        <v>1670</v>
      </c>
    </row>
    <row r="5" spans="1:29" ht="15">
      <c r="A5" s="358"/>
      <c r="B5" s="359"/>
      <c r="C5" s="3870" t="s">
        <v>1673</v>
      </c>
      <c r="D5" s="3841"/>
      <c r="E5" s="3871" t="s">
        <v>1674</v>
      </c>
      <c r="F5" s="3836"/>
      <c r="G5" s="3870" t="s">
        <v>1675</v>
      </c>
      <c r="H5" s="3841"/>
      <c r="I5" s="3870" t="s">
        <v>1676</v>
      </c>
      <c r="J5" s="3841"/>
      <c r="K5" s="1890"/>
      <c r="L5" s="2712"/>
      <c r="M5" s="2713"/>
      <c r="N5" s="2713"/>
      <c r="O5" s="2713"/>
      <c r="P5" s="3823"/>
      <c r="Q5" s="3824"/>
      <c r="R5" s="3829"/>
      <c r="S5" s="3830"/>
      <c r="T5" s="3829"/>
      <c r="U5" s="3830"/>
      <c r="V5" s="3812"/>
      <c r="W5" s="3812"/>
      <c r="X5" s="1355"/>
      <c r="Y5" s="3829"/>
      <c r="Z5" s="3830"/>
      <c r="AA5" s="3815"/>
      <c r="AB5" s="3815"/>
      <c r="AC5" s="3815"/>
    </row>
    <row r="6" spans="1:29" ht="15.75" thickBot="1">
      <c r="A6" s="360"/>
      <c r="B6" s="361"/>
      <c r="C6" s="3833" t="s">
        <v>1677</v>
      </c>
      <c r="D6" s="3834"/>
      <c r="E6" s="3842" t="s">
        <v>1677</v>
      </c>
      <c r="F6" s="3843"/>
      <c r="G6" s="3833" t="s">
        <v>1677</v>
      </c>
      <c r="H6" s="3834"/>
      <c r="I6" s="3833" t="s">
        <v>1677</v>
      </c>
      <c r="J6" s="3834"/>
      <c r="K6" s="1890" t="s">
        <v>1678</v>
      </c>
      <c r="L6" s="2712"/>
      <c r="M6" s="2713"/>
      <c r="N6" s="2713"/>
      <c r="O6" s="2713"/>
      <c r="P6" s="3825"/>
      <c r="Q6" s="3826"/>
      <c r="R6" s="3829"/>
      <c r="S6" s="3830"/>
      <c r="T6" s="3831"/>
      <c r="U6" s="3832"/>
      <c r="V6" s="3812"/>
      <c r="W6" s="3812"/>
      <c r="X6" s="1355"/>
      <c r="Y6" s="3831"/>
      <c r="Z6" s="3832"/>
      <c r="AA6" s="3816"/>
      <c r="AB6" s="3816"/>
      <c r="AC6" s="3816"/>
    </row>
    <row r="7" spans="1:29" s="108" customFormat="1" ht="15.75" thickBot="1">
      <c r="A7" s="362" t="s">
        <v>1679</v>
      </c>
      <c r="B7" s="363"/>
      <c r="C7" s="364">
        <f>'数据-取费表'!B2</f>
        <v>45426</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837" t="s">
        <v>1680</v>
      </c>
      <c r="Q7" s="3839"/>
      <c r="R7" s="701" t="s">
        <v>20</v>
      </c>
      <c r="S7" s="702">
        <f t="shared" ref="S7:S15" si="0">F7</f>
        <v>0</v>
      </c>
      <c r="T7" s="701" t="s">
        <v>20</v>
      </c>
      <c r="U7" s="702">
        <f t="shared" ref="U7:U15" si="1">H7</f>
        <v>0</v>
      </c>
      <c r="V7" s="701" t="s">
        <v>20</v>
      </c>
      <c r="W7" s="702">
        <f t="shared" ref="W7:W15" si="2">J7</f>
        <v>0</v>
      </c>
      <c r="X7" s="703"/>
      <c r="Y7" s="3837" t="s">
        <v>1680</v>
      </c>
      <c r="Z7" s="383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837" t="s">
        <v>1683</v>
      </c>
      <c r="Q8" s="3838"/>
      <c r="R8" s="701" t="s">
        <v>20</v>
      </c>
      <c r="S8" s="702">
        <f t="shared" si="0"/>
        <v>100</v>
      </c>
      <c r="T8" s="701" t="s">
        <v>20</v>
      </c>
      <c r="U8" s="702">
        <f t="shared" si="1"/>
        <v>100</v>
      </c>
      <c r="V8" s="701" t="s">
        <v>20</v>
      </c>
      <c r="W8" s="702">
        <f t="shared" si="2"/>
        <v>100</v>
      </c>
      <c r="X8" s="703"/>
      <c r="Y8" s="3837" t="s">
        <v>1683</v>
      </c>
      <c r="Z8" s="383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813" t="s">
        <v>1686</v>
      </c>
      <c r="Q9" s="1343" t="str">
        <f t="shared" ref="Q9:Q15" si="6">B9</f>
        <v>用途</v>
      </c>
      <c r="R9" s="701" t="s">
        <v>14</v>
      </c>
      <c r="S9" s="702">
        <f t="shared" si="0"/>
        <v>100</v>
      </c>
      <c r="T9" s="701" t="s">
        <v>14</v>
      </c>
      <c r="U9" s="702">
        <f t="shared" si="1"/>
        <v>100</v>
      </c>
      <c r="V9" s="701" t="s">
        <v>14</v>
      </c>
      <c r="W9" s="702">
        <f t="shared" si="2"/>
        <v>100</v>
      </c>
      <c r="X9" s="703"/>
      <c r="Y9" s="3702"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813"/>
      <c r="Q10" s="1343" t="str">
        <f t="shared" si="6"/>
        <v>土地使用年限（年）</v>
      </c>
      <c r="R10" s="701" t="s">
        <v>14</v>
      </c>
      <c r="S10" s="702">
        <f t="shared" si="0"/>
        <v>100</v>
      </c>
      <c r="T10" s="701" t="s">
        <v>14</v>
      </c>
      <c r="U10" s="702">
        <f t="shared" si="1"/>
        <v>100</v>
      </c>
      <c r="V10" s="701" t="s">
        <v>14</v>
      </c>
      <c r="W10" s="702">
        <f t="shared" si="2"/>
        <v>100</v>
      </c>
      <c r="X10" s="703"/>
      <c r="Y10" s="370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813"/>
      <c r="Q11" s="1343" t="str">
        <f t="shared" si="6"/>
        <v>容积率</v>
      </c>
      <c r="R11" s="701" t="s">
        <v>18</v>
      </c>
      <c r="S11" s="702" t="e">
        <f t="shared" si="0"/>
        <v>#N/A</v>
      </c>
      <c r="T11" s="701" t="s">
        <v>18</v>
      </c>
      <c r="U11" s="702" t="e">
        <f t="shared" si="1"/>
        <v>#N/A</v>
      </c>
      <c r="V11" s="701" t="s">
        <v>18</v>
      </c>
      <c r="W11" s="702" t="e">
        <f t="shared" si="2"/>
        <v>#N/A</v>
      </c>
      <c r="X11" s="703"/>
      <c r="Y11" s="370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813"/>
      <c r="Q12" s="1343">
        <f t="shared" si="6"/>
        <v>111</v>
      </c>
      <c r="R12" s="701" t="s">
        <v>18</v>
      </c>
      <c r="S12" s="702">
        <f t="shared" si="0"/>
        <v>100</v>
      </c>
      <c r="T12" s="701" t="s">
        <v>18</v>
      </c>
      <c r="U12" s="702">
        <f t="shared" si="1"/>
        <v>100</v>
      </c>
      <c r="V12" s="701" t="s">
        <v>18</v>
      </c>
      <c r="W12" s="702">
        <f t="shared" si="2"/>
        <v>100</v>
      </c>
      <c r="X12" s="703"/>
      <c r="Y12" s="370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813"/>
      <c r="Q13" s="1343">
        <f t="shared" si="6"/>
        <v>111</v>
      </c>
      <c r="R13" s="701" t="s">
        <v>18</v>
      </c>
      <c r="S13" s="702">
        <f t="shared" si="0"/>
        <v>100</v>
      </c>
      <c r="T13" s="701" t="s">
        <v>18</v>
      </c>
      <c r="U13" s="702">
        <f t="shared" si="1"/>
        <v>100</v>
      </c>
      <c r="V13" s="701" t="s">
        <v>18</v>
      </c>
      <c r="W13" s="702">
        <f t="shared" si="2"/>
        <v>100</v>
      </c>
      <c r="X13" s="703"/>
      <c r="Y13" s="370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813"/>
      <c r="Q14" s="1343">
        <f t="shared" si="6"/>
        <v>111</v>
      </c>
      <c r="R14" s="701" t="s">
        <v>18</v>
      </c>
      <c r="S14" s="702">
        <f t="shared" si="0"/>
        <v>100</v>
      </c>
      <c r="T14" s="701" t="s">
        <v>18</v>
      </c>
      <c r="U14" s="702">
        <f t="shared" si="1"/>
        <v>100</v>
      </c>
      <c r="V14" s="701" t="s">
        <v>18</v>
      </c>
      <c r="W14" s="702">
        <f t="shared" si="2"/>
        <v>100</v>
      </c>
      <c r="X14" s="703"/>
      <c r="Y14" s="3702"/>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803" t="s">
        <v>1691</v>
      </c>
      <c r="Q15" s="1352" t="str">
        <f t="shared" si="6"/>
        <v>居住社区成熟度</v>
      </c>
      <c r="R15" s="705" t="s">
        <v>18</v>
      </c>
      <c r="S15" s="706">
        <f t="shared" si="0"/>
        <v>100</v>
      </c>
      <c r="T15" s="705" t="s">
        <v>18</v>
      </c>
      <c r="U15" s="706">
        <f t="shared" si="1"/>
        <v>100</v>
      </c>
      <c r="V15" s="705" t="s">
        <v>18</v>
      </c>
      <c r="W15" s="706">
        <f t="shared" si="2"/>
        <v>100</v>
      </c>
      <c r="X15" s="1355"/>
      <c r="Y15" s="380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804"/>
      <c r="Q16" s="1352"/>
      <c r="R16" s="705"/>
      <c r="S16" s="706"/>
      <c r="T16" s="705"/>
      <c r="U16" s="706"/>
      <c r="V16" s="705"/>
      <c r="W16" s="706"/>
      <c r="X16" s="1355"/>
      <c r="Y16" s="3806"/>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804"/>
      <c r="Q17" s="1352" t="str">
        <f>B17</f>
        <v>交通便捷度</v>
      </c>
      <c r="R17" s="705" t="s">
        <v>18</v>
      </c>
      <c r="S17" s="706">
        <f>F17</f>
        <v>100</v>
      </c>
      <c r="T17" s="705" t="s">
        <v>18</v>
      </c>
      <c r="U17" s="706">
        <f>H17</f>
        <v>100</v>
      </c>
      <c r="V17" s="705" t="s">
        <v>18</v>
      </c>
      <c r="W17" s="706">
        <f>J17</f>
        <v>100</v>
      </c>
      <c r="X17" s="1355"/>
      <c r="Y17" s="380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804"/>
      <c r="Q18" s="1352"/>
      <c r="R18" s="705"/>
      <c r="S18" s="706"/>
      <c r="T18" s="705"/>
      <c r="U18" s="706"/>
      <c r="V18" s="705"/>
      <c r="W18" s="706"/>
      <c r="X18" s="1355"/>
      <c r="Y18" s="3806"/>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804"/>
      <c r="Q19" s="1352" t="str">
        <f>B19</f>
        <v>公共配套设施</v>
      </c>
      <c r="R19" s="705" t="s">
        <v>18</v>
      </c>
      <c r="S19" s="706">
        <f>F19</f>
        <v>100</v>
      </c>
      <c r="T19" s="705" t="s">
        <v>18</v>
      </c>
      <c r="U19" s="706">
        <f>H19</f>
        <v>100</v>
      </c>
      <c r="V19" s="705" t="s">
        <v>18</v>
      </c>
      <c r="W19" s="706">
        <f>J19</f>
        <v>100</v>
      </c>
      <c r="X19" s="1355"/>
      <c r="Y19" s="380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804"/>
      <c r="Q20" s="1352"/>
      <c r="R20" s="705"/>
      <c r="S20" s="706"/>
      <c r="T20" s="705"/>
      <c r="U20" s="706"/>
      <c r="V20" s="705"/>
      <c r="W20" s="706"/>
      <c r="X20" s="1355"/>
      <c r="Y20" s="3806"/>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804"/>
      <c r="Q21" s="1352" t="str">
        <f>B21</f>
        <v>基础设施水平</v>
      </c>
      <c r="R21" s="705" t="s">
        <v>14</v>
      </c>
      <c r="S21" s="706">
        <f>F21</f>
        <v>100</v>
      </c>
      <c r="T21" s="705" t="s">
        <v>14</v>
      </c>
      <c r="U21" s="706">
        <f>H21</f>
        <v>100</v>
      </c>
      <c r="V21" s="705" t="s">
        <v>14</v>
      </c>
      <c r="W21" s="706">
        <f>J21</f>
        <v>100</v>
      </c>
      <c r="X21" s="1355"/>
      <c r="Y21" s="380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804"/>
      <c r="Q22" s="1352"/>
      <c r="R22" s="705"/>
      <c r="S22" s="706"/>
      <c r="T22" s="705"/>
      <c r="U22" s="706"/>
      <c r="V22" s="705"/>
      <c r="W22" s="706"/>
      <c r="X22" s="1355"/>
      <c r="Y22" s="3806"/>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804"/>
      <c r="Q23" s="1352" t="str">
        <f>B23</f>
        <v>自然及人文环境</v>
      </c>
      <c r="R23" s="705" t="s">
        <v>18</v>
      </c>
      <c r="S23" s="706">
        <f>F23</f>
        <v>100</v>
      </c>
      <c r="T23" s="705" t="s">
        <v>18</v>
      </c>
      <c r="U23" s="706">
        <f>H23</f>
        <v>100</v>
      </c>
      <c r="V23" s="705" t="s">
        <v>18</v>
      </c>
      <c r="W23" s="706">
        <f>J23</f>
        <v>100</v>
      </c>
      <c r="X23" s="1355"/>
      <c r="Y23" s="380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804"/>
      <c r="Q24" s="1352"/>
      <c r="R24" s="705"/>
      <c r="S24" s="706"/>
      <c r="T24" s="705"/>
      <c r="U24" s="706"/>
      <c r="V24" s="705"/>
      <c r="W24" s="706"/>
      <c r="X24" s="1355"/>
      <c r="Y24" s="380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0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0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804"/>
      <c r="Q26" s="1352" t="str">
        <f t="shared" si="11"/>
        <v>朝向</v>
      </c>
      <c r="R26" s="705" t="s">
        <v>18</v>
      </c>
      <c r="S26" s="706">
        <f t="shared" si="12"/>
        <v>100</v>
      </c>
      <c r="T26" s="705" t="s">
        <v>18</v>
      </c>
      <c r="U26" s="706">
        <f t="shared" si="13"/>
        <v>100</v>
      </c>
      <c r="V26" s="705" t="s">
        <v>18</v>
      </c>
      <c r="W26" s="706">
        <f t="shared" si="14"/>
        <v>100</v>
      </c>
      <c r="X26" s="1355"/>
      <c r="Y26" s="380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804"/>
      <c r="Q27" s="1343">
        <f t="shared" si="11"/>
        <v>111</v>
      </c>
      <c r="R27" s="701" t="s">
        <v>18</v>
      </c>
      <c r="S27" s="702">
        <f t="shared" si="12"/>
        <v>100</v>
      </c>
      <c r="T27" s="701" t="s">
        <v>18</v>
      </c>
      <c r="U27" s="702">
        <f t="shared" si="13"/>
        <v>100</v>
      </c>
      <c r="V27" s="701" t="s">
        <v>18</v>
      </c>
      <c r="W27" s="702">
        <f t="shared" si="14"/>
        <v>100</v>
      </c>
      <c r="X27" s="703"/>
      <c r="Y27" s="380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04"/>
      <c r="Q28" s="1352">
        <f t="shared" si="11"/>
        <v>111</v>
      </c>
      <c r="R28" s="705" t="s">
        <v>18</v>
      </c>
      <c r="S28" s="706">
        <f t="shared" si="12"/>
        <v>100</v>
      </c>
      <c r="T28" s="705" t="s">
        <v>18</v>
      </c>
      <c r="U28" s="706">
        <f t="shared" si="13"/>
        <v>100</v>
      </c>
      <c r="V28" s="705" t="s">
        <v>18</v>
      </c>
      <c r="W28" s="706">
        <f t="shared" si="14"/>
        <v>100</v>
      </c>
      <c r="X28" s="1355"/>
      <c r="Y28" s="380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04"/>
      <c r="Q29" s="1352">
        <f t="shared" si="11"/>
        <v>111</v>
      </c>
      <c r="R29" s="705" t="s">
        <v>18</v>
      </c>
      <c r="S29" s="706">
        <f t="shared" si="12"/>
        <v>100</v>
      </c>
      <c r="T29" s="705" t="s">
        <v>18</v>
      </c>
      <c r="U29" s="706">
        <f t="shared" si="13"/>
        <v>100</v>
      </c>
      <c r="V29" s="705" t="s">
        <v>18</v>
      </c>
      <c r="W29" s="706">
        <f t="shared" si="14"/>
        <v>100</v>
      </c>
      <c r="X29" s="1355"/>
      <c r="Y29" s="380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04"/>
      <c r="Q30" s="1352">
        <f t="shared" si="11"/>
        <v>111</v>
      </c>
      <c r="R30" s="705" t="s">
        <v>18</v>
      </c>
      <c r="S30" s="706">
        <f t="shared" si="12"/>
        <v>100</v>
      </c>
      <c r="T30" s="705" t="s">
        <v>18</v>
      </c>
      <c r="U30" s="706">
        <f t="shared" si="13"/>
        <v>100</v>
      </c>
      <c r="V30" s="705" t="s">
        <v>18</v>
      </c>
      <c r="W30" s="706">
        <f t="shared" si="14"/>
        <v>100</v>
      </c>
      <c r="X30" s="1355"/>
      <c r="Y30" s="380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04"/>
      <c r="Q31" s="1352">
        <f t="shared" si="11"/>
        <v>111</v>
      </c>
      <c r="R31" s="705" t="s">
        <v>18</v>
      </c>
      <c r="S31" s="706">
        <f t="shared" si="12"/>
        <v>100</v>
      </c>
      <c r="T31" s="705" t="s">
        <v>18</v>
      </c>
      <c r="U31" s="706">
        <f t="shared" si="13"/>
        <v>100</v>
      </c>
      <c r="V31" s="705" t="s">
        <v>18</v>
      </c>
      <c r="W31" s="706">
        <f t="shared" si="14"/>
        <v>100</v>
      </c>
      <c r="X31" s="1355"/>
      <c r="Y31" s="380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807" t="s">
        <v>1696</v>
      </c>
      <c r="Q32" s="1352" t="str">
        <f t="shared" si="11"/>
        <v>建筑类型</v>
      </c>
      <c r="R32" s="705" t="s">
        <v>18</v>
      </c>
      <c r="S32" s="706">
        <f t="shared" si="12"/>
        <v>100</v>
      </c>
      <c r="T32" s="705" t="s">
        <v>18</v>
      </c>
      <c r="U32" s="706">
        <f t="shared" si="13"/>
        <v>100</v>
      </c>
      <c r="V32" s="705" t="s">
        <v>18</v>
      </c>
      <c r="W32" s="706">
        <f t="shared" si="14"/>
        <v>100</v>
      </c>
      <c r="X32" s="1355"/>
      <c r="Y32" s="381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808"/>
      <c r="Q33" s="707" t="str">
        <f t="shared" si="11"/>
        <v>项目建筑规模</v>
      </c>
      <c r="R33" s="708" t="s">
        <v>18</v>
      </c>
      <c r="S33" s="709" t="e">
        <f t="shared" si="12"/>
        <v>#N/A</v>
      </c>
      <c r="T33" s="708" t="s">
        <v>18</v>
      </c>
      <c r="U33" s="709" t="e">
        <f t="shared" si="13"/>
        <v>#N/A</v>
      </c>
      <c r="V33" s="708" t="s">
        <v>18</v>
      </c>
      <c r="W33" s="709" t="e">
        <f t="shared" si="14"/>
        <v>#N/A</v>
      </c>
      <c r="X33" s="710"/>
      <c r="Y33" s="381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808"/>
      <c r="Q34" s="1352" t="str">
        <f t="shared" si="11"/>
        <v>建筑结构</v>
      </c>
      <c r="R34" s="705" t="s">
        <v>18</v>
      </c>
      <c r="S34" s="706">
        <f t="shared" si="12"/>
        <v>100</v>
      </c>
      <c r="T34" s="705" t="s">
        <v>18</v>
      </c>
      <c r="U34" s="706">
        <f t="shared" si="13"/>
        <v>100</v>
      </c>
      <c r="V34" s="705" t="s">
        <v>18</v>
      </c>
      <c r="W34" s="706">
        <f t="shared" si="14"/>
        <v>100</v>
      </c>
      <c r="X34" s="1355"/>
      <c r="Y34" s="381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808"/>
      <c r="Q35" s="1352" t="str">
        <f t="shared" si="11"/>
        <v>建筑品质</v>
      </c>
      <c r="R35" s="705" t="s">
        <v>18</v>
      </c>
      <c r="S35" s="706">
        <f t="shared" si="12"/>
        <v>100</v>
      </c>
      <c r="T35" s="705" t="s">
        <v>18</v>
      </c>
      <c r="U35" s="706">
        <f t="shared" si="13"/>
        <v>100</v>
      </c>
      <c r="V35" s="705" t="s">
        <v>18</v>
      </c>
      <c r="W35" s="706">
        <f t="shared" si="14"/>
        <v>100</v>
      </c>
      <c r="X35" s="1355"/>
      <c r="Y35" s="381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808"/>
      <c r="Q36" s="1352" t="str">
        <f t="shared" si="11"/>
        <v>公共部分装修</v>
      </c>
      <c r="R36" s="705" t="s">
        <v>18</v>
      </c>
      <c r="S36" s="706">
        <f t="shared" si="12"/>
        <v>100</v>
      </c>
      <c r="T36" s="705" t="s">
        <v>18</v>
      </c>
      <c r="U36" s="706">
        <f t="shared" si="13"/>
        <v>100</v>
      </c>
      <c r="V36" s="705" t="s">
        <v>18</v>
      </c>
      <c r="W36" s="706">
        <f t="shared" si="14"/>
        <v>100</v>
      </c>
      <c r="X36" s="1355"/>
      <c r="Y36" s="381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808"/>
      <c r="Q37" s="1343" t="str">
        <f t="shared" si="11"/>
        <v>成新度</v>
      </c>
      <c r="R37" s="701" t="s">
        <v>18</v>
      </c>
      <c r="S37" s="702" t="e">
        <f t="shared" si="12"/>
        <v>#N/A</v>
      </c>
      <c r="T37" s="701" t="s">
        <v>18</v>
      </c>
      <c r="U37" s="702" t="e">
        <f t="shared" si="13"/>
        <v>#N/A</v>
      </c>
      <c r="V37" s="701" t="s">
        <v>18</v>
      </c>
      <c r="W37" s="702" t="e">
        <f t="shared" si="14"/>
        <v>#N/A</v>
      </c>
      <c r="X37" s="703"/>
      <c r="Y37" s="381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808" t="s">
        <v>1696</v>
      </c>
      <c r="Q38" s="1352" t="str">
        <f t="shared" si="11"/>
        <v>物业管理</v>
      </c>
      <c r="R38" s="705" t="s">
        <v>18</v>
      </c>
      <c r="S38" s="706">
        <f t="shared" si="12"/>
        <v>100</v>
      </c>
      <c r="T38" s="705" t="s">
        <v>18</v>
      </c>
      <c r="U38" s="706">
        <f t="shared" si="13"/>
        <v>100</v>
      </c>
      <c r="V38" s="705" t="s">
        <v>18</v>
      </c>
      <c r="W38" s="706">
        <f t="shared" si="14"/>
        <v>100</v>
      </c>
      <c r="X38" s="1355"/>
      <c r="Y38" s="381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808"/>
      <c r="Q39" s="1352" t="str">
        <f t="shared" si="11"/>
        <v>市政基础设施</v>
      </c>
      <c r="R39" s="705" t="s">
        <v>18</v>
      </c>
      <c r="S39" s="706">
        <f t="shared" si="12"/>
        <v>100</v>
      </c>
      <c r="T39" s="705" t="s">
        <v>18</v>
      </c>
      <c r="U39" s="706">
        <f t="shared" si="13"/>
        <v>100</v>
      </c>
      <c r="V39" s="705" t="s">
        <v>18</v>
      </c>
      <c r="W39" s="706">
        <f t="shared" si="14"/>
        <v>100</v>
      </c>
      <c r="X39" s="1355"/>
      <c r="Y39" s="381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808"/>
      <c r="Q40" s="1352" t="str">
        <f t="shared" si="11"/>
        <v>房型</v>
      </c>
      <c r="R40" s="705" t="s">
        <v>18</v>
      </c>
      <c r="S40" s="706">
        <f t="shared" si="12"/>
        <v>100</v>
      </c>
      <c r="T40" s="705" t="s">
        <v>18</v>
      </c>
      <c r="U40" s="706">
        <f t="shared" si="13"/>
        <v>100</v>
      </c>
      <c r="V40" s="705" t="s">
        <v>18</v>
      </c>
      <c r="W40" s="706">
        <f t="shared" si="14"/>
        <v>100</v>
      </c>
      <c r="X40" s="1355"/>
      <c r="Y40" s="381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08"/>
      <c r="Q41" s="707" t="str">
        <f t="shared" si="11"/>
        <v>单套/主力户型建筑面积</v>
      </c>
      <c r="R41" s="708" t="s">
        <v>18</v>
      </c>
      <c r="S41" s="709">
        <f t="shared" si="12"/>
        <v>100</v>
      </c>
      <c r="T41" s="708" t="s">
        <v>18</v>
      </c>
      <c r="U41" s="709">
        <f t="shared" si="13"/>
        <v>100</v>
      </c>
      <c r="V41" s="708" t="s">
        <v>18</v>
      </c>
      <c r="W41" s="709">
        <f t="shared" si="14"/>
        <v>100</v>
      </c>
      <c r="X41" s="710"/>
      <c r="Y41" s="381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808"/>
      <c r="Q42" s="1352" t="str">
        <f t="shared" si="11"/>
        <v>内部装修</v>
      </c>
      <c r="R42" s="705" t="s">
        <v>18</v>
      </c>
      <c r="S42" s="706">
        <f t="shared" si="12"/>
        <v>100</v>
      </c>
      <c r="T42" s="705" t="s">
        <v>18</v>
      </c>
      <c r="U42" s="706">
        <f t="shared" si="13"/>
        <v>100</v>
      </c>
      <c r="V42" s="705" t="s">
        <v>18</v>
      </c>
      <c r="W42" s="706">
        <f t="shared" si="14"/>
        <v>100</v>
      </c>
      <c r="X42" s="1355"/>
      <c r="Y42" s="381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808"/>
      <c r="Q43" s="1352" t="str">
        <f t="shared" si="11"/>
        <v>内部装修维护情况</v>
      </c>
      <c r="R43" s="705" t="s">
        <v>18</v>
      </c>
      <c r="S43" s="706">
        <f t="shared" si="12"/>
        <v>100</v>
      </c>
      <c r="T43" s="705" t="s">
        <v>18</v>
      </c>
      <c r="U43" s="706">
        <f t="shared" si="13"/>
        <v>100</v>
      </c>
      <c r="V43" s="705" t="s">
        <v>18</v>
      </c>
      <c r="W43" s="706">
        <f t="shared" si="14"/>
        <v>100</v>
      </c>
      <c r="X43" s="1355"/>
      <c r="Y43" s="381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808"/>
      <c r="Q44" s="1343">
        <f t="shared" si="11"/>
        <v>111</v>
      </c>
      <c r="R44" s="701" t="s">
        <v>18</v>
      </c>
      <c r="S44" s="702">
        <f t="shared" si="12"/>
        <v>100</v>
      </c>
      <c r="T44" s="701" t="s">
        <v>18</v>
      </c>
      <c r="U44" s="702">
        <f t="shared" si="13"/>
        <v>100</v>
      </c>
      <c r="V44" s="701" t="s">
        <v>18</v>
      </c>
      <c r="W44" s="702">
        <f t="shared" si="14"/>
        <v>100</v>
      </c>
      <c r="X44" s="703"/>
      <c r="Y44" s="381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08"/>
      <c r="Q45" s="1352">
        <f t="shared" si="11"/>
        <v>111</v>
      </c>
      <c r="R45" s="705" t="s">
        <v>18</v>
      </c>
      <c r="S45" s="706">
        <f t="shared" si="12"/>
        <v>100</v>
      </c>
      <c r="T45" s="705" t="s">
        <v>18</v>
      </c>
      <c r="U45" s="706">
        <f t="shared" si="13"/>
        <v>100</v>
      </c>
      <c r="V45" s="705" t="s">
        <v>18</v>
      </c>
      <c r="W45" s="706">
        <f t="shared" si="14"/>
        <v>100</v>
      </c>
      <c r="X45" s="1355"/>
      <c r="Y45" s="381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09"/>
      <c r="Q46" s="1352">
        <f t="shared" si="11"/>
        <v>111</v>
      </c>
      <c r="R46" s="705" t="s">
        <v>17</v>
      </c>
      <c r="S46" s="706">
        <f t="shared" si="12"/>
        <v>100</v>
      </c>
      <c r="T46" s="705" t="s">
        <v>17</v>
      </c>
      <c r="U46" s="706">
        <f t="shared" si="13"/>
        <v>100</v>
      </c>
      <c r="V46" s="705" t="s">
        <v>17</v>
      </c>
      <c r="W46" s="706">
        <f t="shared" si="14"/>
        <v>100</v>
      </c>
      <c r="X46" s="1355"/>
      <c r="Y46" s="381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1"/>
      <c r="M47" s="2722"/>
      <c r="N47" s="2713"/>
      <c r="O47" s="2722"/>
      <c r="P47" s="3798" t="str">
        <f>A47</f>
        <v>成交单价（元/平方米）</v>
      </c>
      <c r="Q47" s="3798"/>
      <c r="R47" s="3799">
        <f>E47</f>
        <v>0</v>
      </c>
      <c r="S47" s="3799"/>
      <c r="T47" s="3799">
        <f>G47</f>
        <v>0</v>
      </c>
      <c r="U47" s="3799"/>
      <c r="V47" s="3799">
        <f>I47</f>
        <v>0</v>
      </c>
      <c r="W47" s="379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1"/>
      <c r="M48" s="2722"/>
      <c r="N48" s="2722"/>
      <c r="O48" s="2722"/>
      <c r="P48" s="3798" t="str">
        <f>A48</f>
        <v>比较价值（元/平方米）</v>
      </c>
      <c r="Q48" s="3798"/>
      <c r="R48" s="3799" t="e">
        <f>IF(F1="售价",ROUND(PRODUCT(R47,AA7:AA46),0),ROUND(PRODUCT(R47,AA7:AA46),1))</f>
        <v>#DIV/0!</v>
      </c>
      <c r="S48" s="3799"/>
      <c r="T48" s="3799" t="e">
        <f>IF(F1="售价",ROUND(PRODUCT(T47,AB7:AB46),0),ROUND(PRODUCT(T47,AB7:AB46),1))</f>
        <v>#DIV/0!</v>
      </c>
      <c r="U48" s="3799"/>
      <c r="V48" s="3799" t="e">
        <f>IF(F1="售价",ROUND(PRODUCT(V47,AC7:AC46),0),ROUND(PRODUCT(V47,AC7:AC46),1))</f>
        <v>#DIV/0!</v>
      </c>
      <c r="W48" s="379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1"/>
      <c r="M49" s="2722"/>
      <c r="N49" s="2722"/>
      <c r="O49" s="2722"/>
      <c r="P49" s="3800" t="str">
        <f>A49</f>
        <v>估价对象XX用房的比较价值（楼面单价，元/平方米）</v>
      </c>
      <c r="Q49" s="3801"/>
      <c r="R49" s="3802" t="e">
        <f>IF(F1="售价",ROUND(IF(D48="简单平均",AVERAGE(R48:V48),R48*F48+T48*H48+V48*J48),0),ROUND(IF(D48="简单平均",AVERAGE(R48:V48),R48*F48+T48*H48+V48*J48),1))</f>
        <v>#DIV/0!</v>
      </c>
      <c r="S49" s="3802"/>
      <c r="T49" s="3802"/>
      <c r="U49" s="3802"/>
      <c r="V49" s="3802"/>
      <c r="W49" s="3802"/>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642</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1769</v>
      </c>
      <c r="B4" s="356"/>
      <c r="C4" s="3817" t="s">
        <v>1770</v>
      </c>
      <c r="D4" s="3818"/>
      <c r="E4" s="3819" t="s">
        <v>1771</v>
      </c>
      <c r="F4" s="3820"/>
      <c r="G4" s="3817" t="s">
        <v>1772</v>
      </c>
      <c r="H4" s="3818"/>
      <c r="I4" s="3817" t="s">
        <v>1773</v>
      </c>
      <c r="J4" s="3818"/>
      <c r="K4" s="559" t="s">
        <v>1774</v>
      </c>
      <c r="L4" s="2712"/>
      <c r="M4" s="2713"/>
      <c r="N4" s="2713"/>
      <c r="O4" s="2713"/>
      <c r="P4" s="3878" t="s">
        <v>1775</v>
      </c>
      <c r="Q4" s="3879"/>
      <c r="R4" s="3882" t="s">
        <v>1771</v>
      </c>
      <c r="S4" s="3883"/>
      <c r="T4" s="3882" t="s">
        <v>1772</v>
      </c>
      <c r="U4" s="3883"/>
      <c r="V4" s="3884" t="s">
        <v>1773</v>
      </c>
      <c r="W4" s="3884"/>
      <c r="X4" s="1958"/>
      <c r="Y4" s="3882" t="s">
        <v>1775</v>
      </c>
      <c r="Z4" s="3883"/>
      <c r="AA4" s="3886" t="s">
        <v>1771</v>
      </c>
      <c r="AB4" s="3886" t="s">
        <v>1772</v>
      </c>
      <c r="AC4" s="3875" t="s">
        <v>1773</v>
      </c>
    </row>
    <row r="5" spans="1:29" ht="15">
      <c r="A5" s="358"/>
      <c r="B5" s="359"/>
      <c r="C5" s="3870" t="s">
        <v>1673</v>
      </c>
      <c r="D5" s="3841"/>
      <c r="E5" s="3871" t="s">
        <v>1674</v>
      </c>
      <c r="F5" s="3836"/>
      <c r="G5" s="3870" t="s">
        <v>1675</v>
      </c>
      <c r="H5" s="3841"/>
      <c r="I5" s="3870" t="s">
        <v>1676</v>
      </c>
      <c r="J5" s="3841"/>
      <c r="K5" s="559"/>
      <c r="L5" s="2712"/>
      <c r="M5" s="2713"/>
      <c r="N5" s="2713"/>
      <c r="O5" s="2713"/>
      <c r="P5" s="3880"/>
      <c r="Q5" s="3824"/>
      <c r="R5" s="3829"/>
      <c r="S5" s="3830"/>
      <c r="T5" s="3829"/>
      <c r="U5" s="3830"/>
      <c r="V5" s="3812"/>
      <c r="W5" s="3812"/>
      <c r="X5" s="1355"/>
      <c r="Y5" s="3829"/>
      <c r="Z5" s="3830"/>
      <c r="AA5" s="3815"/>
      <c r="AB5" s="3815"/>
      <c r="AC5" s="3876"/>
    </row>
    <row r="6" spans="1:29" ht="15.75" thickBot="1">
      <c r="A6" s="360"/>
      <c r="B6" s="361"/>
      <c r="C6" s="3833" t="s">
        <v>1677</v>
      </c>
      <c r="D6" s="3834"/>
      <c r="E6" s="3842" t="s">
        <v>1677</v>
      </c>
      <c r="F6" s="3843"/>
      <c r="G6" s="3833" t="s">
        <v>1677</v>
      </c>
      <c r="H6" s="3834"/>
      <c r="I6" s="3833" t="s">
        <v>1677</v>
      </c>
      <c r="J6" s="3834"/>
      <c r="K6" s="559" t="s">
        <v>1678</v>
      </c>
      <c r="L6" s="2712"/>
      <c r="M6" s="2713"/>
      <c r="N6" s="2713"/>
      <c r="O6" s="2713"/>
      <c r="P6" s="3881"/>
      <c r="Q6" s="3826"/>
      <c r="R6" s="3829"/>
      <c r="S6" s="3830"/>
      <c r="T6" s="3831"/>
      <c r="U6" s="3832"/>
      <c r="V6" s="3812"/>
      <c r="W6" s="3812"/>
      <c r="X6" s="1355"/>
      <c r="Y6" s="3831"/>
      <c r="Z6" s="3832"/>
      <c r="AA6" s="3816"/>
      <c r="AB6" s="3816"/>
      <c r="AC6" s="3877"/>
    </row>
    <row r="7" spans="1:29" s="108" customFormat="1" ht="15.75" thickBot="1">
      <c r="A7" s="362" t="s">
        <v>1679</v>
      </c>
      <c r="B7" s="363"/>
      <c r="C7" s="364">
        <f>'数据-取费表'!B2</f>
        <v>45426</v>
      </c>
      <c r="D7" s="365">
        <v>100</v>
      </c>
      <c r="E7" s="366"/>
      <c r="F7" s="367">
        <f>SUMIF(59:59,YEAR(E7)&amp;"-"&amp;MONTH(E7),60:60)</f>
        <v>0</v>
      </c>
      <c r="G7" s="366"/>
      <c r="H7" s="365">
        <f>SUMIF(59:59,YEAR(G7)&amp;"-"&amp;MONTH(G7),60:60)</f>
        <v>0</v>
      </c>
      <c r="I7" s="366"/>
      <c r="J7" s="365">
        <f>SUMIF(59:59,YEAR(I7)&amp;"-"&amp;MONTH(I7),60:60)</f>
        <v>0</v>
      </c>
      <c r="K7" s="560"/>
      <c r="L7" s="2714"/>
      <c r="M7" s="2715"/>
      <c r="N7" s="2715"/>
      <c r="O7" s="2715"/>
      <c r="P7" s="3885" t="s">
        <v>1680</v>
      </c>
      <c r="Q7" s="3839"/>
      <c r="R7" s="701" t="s">
        <v>14</v>
      </c>
      <c r="S7" s="702">
        <f t="shared" ref="S7:S15" si="0">F7</f>
        <v>0</v>
      </c>
      <c r="T7" s="701" t="s">
        <v>14</v>
      </c>
      <c r="U7" s="702">
        <f t="shared" ref="U7:U15" si="1">H7</f>
        <v>0</v>
      </c>
      <c r="V7" s="701" t="s">
        <v>14</v>
      </c>
      <c r="W7" s="702">
        <f t="shared" ref="W7:W15" si="2">J7</f>
        <v>0</v>
      </c>
      <c r="X7" s="703"/>
      <c r="Y7" s="3837" t="s">
        <v>1680</v>
      </c>
      <c r="Z7" s="3838"/>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885" t="s">
        <v>1683</v>
      </c>
      <c r="Q8" s="3838"/>
      <c r="R8" s="701" t="s">
        <v>14</v>
      </c>
      <c r="S8" s="702">
        <f t="shared" si="0"/>
        <v>100</v>
      </c>
      <c r="T8" s="701" t="s">
        <v>14</v>
      </c>
      <c r="U8" s="702">
        <f t="shared" si="1"/>
        <v>100</v>
      </c>
      <c r="V8" s="701" t="s">
        <v>14</v>
      </c>
      <c r="W8" s="702">
        <f t="shared" si="2"/>
        <v>100</v>
      </c>
      <c r="X8" s="703"/>
      <c r="Y8" s="3837" t="s">
        <v>1683</v>
      </c>
      <c r="Z8" s="3838"/>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813" t="s">
        <v>1686</v>
      </c>
      <c r="Q9" s="1343" t="str">
        <f t="shared" ref="Q9:Q15" si="6">B9</f>
        <v>用途</v>
      </c>
      <c r="R9" s="701" t="s">
        <v>14</v>
      </c>
      <c r="S9" s="702">
        <f t="shared" si="0"/>
        <v>100</v>
      </c>
      <c r="T9" s="701" t="s">
        <v>14</v>
      </c>
      <c r="U9" s="702">
        <f t="shared" si="1"/>
        <v>100</v>
      </c>
      <c r="V9" s="701" t="s">
        <v>14</v>
      </c>
      <c r="W9" s="702">
        <f t="shared" si="2"/>
        <v>100</v>
      </c>
      <c r="X9" s="703"/>
      <c r="Y9" s="3702" t="s">
        <v>1687</v>
      </c>
      <c r="Z9" s="52" t="str">
        <f t="shared" ref="Z9:Z15" si="7">Q9</f>
        <v>用途</v>
      </c>
      <c r="AA9" s="704">
        <f t="shared" si="3"/>
        <v>1</v>
      </c>
      <c r="AB9" s="704">
        <f t="shared" si="4"/>
        <v>1</v>
      </c>
      <c r="AC9" s="1959">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813"/>
      <c r="Q10" s="1343" t="str">
        <f t="shared" si="6"/>
        <v>土地使用年限（年）</v>
      </c>
      <c r="R10" s="701" t="s">
        <v>14</v>
      </c>
      <c r="S10" s="702">
        <f t="shared" si="0"/>
        <v>100</v>
      </c>
      <c r="T10" s="701" t="s">
        <v>14</v>
      </c>
      <c r="U10" s="702">
        <f t="shared" si="1"/>
        <v>100</v>
      </c>
      <c r="V10" s="701" t="s">
        <v>14</v>
      </c>
      <c r="W10" s="702">
        <f t="shared" si="2"/>
        <v>100</v>
      </c>
      <c r="X10" s="703"/>
      <c r="Y10" s="370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813"/>
      <c r="Q11" s="1343" t="str">
        <f t="shared" si="6"/>
        <v>容积率</v>
      </c>
      <c r="R11" s="701" t="s">
        <v>14</v>
      </c>
      <c r="S11" s="702">
        <f t="shared" si="0"/>
        <v>100</v>
      </c>
      <c r="T11" s="701" t="s">
        <v>14</v>
      </c>
      <c r="U11" s="702">
        <f t="shared" si="1"/>
        <v>100</v>
      </c>
      <c r="V11" s="701" t="s">
        <v>14</v>
      </c>
      <c r="W11" s="702">
        <f t="shared" si="2"/>
        <v>100</v>
      </c>
      <c r="X11" s="703"/>
      <c r="Y11" s="370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813"/>
      <c r="Q12" s="1343">
        <f t="shared" si="6"/>
        <v>111</v>
      </c>
      <c r="R12" s="701" t="s">
        <v>14</v>
      </c>
      <c r="S12" s="702">
        <f t="shared" si="0"/>
        <v>100</v>
      </c>
      <c r="T12" s="701" t="s">
        <v>14</v>
      </c>
      <c r="U12" s="702">
        <f t="shared" si="1"/>
        <v>100</v>
      </c>
      <c r="V12" s="701" t="s">
        <v>14</v>
      </c>
      <c r="W12" s="702">
        <f t="shared" si="2"/>
        <v>100</v>
      </c>
      <c r="X12" s="703"/>
      <c r="Y12" s="370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813"/>
      <c r="Q13" s="1343">
        <f t="shared" si="6"/>
        <v>111</v>
      </c>
      <c r="R13" s="701" t="s">
        <v>14</v>
      </c>
      <c r="S13" s="702">
        <f t="shared" si="0"/>
        <v>100</v>
      </c>
      <c r="T13" s="701" t="s">
        <v>14</v>
      </c>
      <c r="U13" s="702">
        <f t="shared" si="1"/>
        <v>100</v>
      </c>
      <c r="V13" s="701" t="s">
        <v>14</v>
      </c>
      <c r="W13" s="702">
        <f t="shared" si="2"/>
        <v>100</v>
      </c>
      <c r="X13" s="703"/>
      <c r="Y13" s="370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813"/>
      <c r="Q14" s="1343">
        <f t="shared" si="6"/>
        <v>111</v>
      </c>
      <c r="R14" s="701" t="s">
        <v>14</v>
      </c>
      <c r="S14" s="702">
        <f t="shared" si="0"/>
        <v>100</v>
      </c>
      <c r="T14" s="701" t="s">
        <v>14</v>
      </c>
      <c r="U14" s="702">
        <f t="shared" si="1"/>
        <v>100</v>
      </c>
      <c r="V14" s="701" t="s">
        <v>14</v>
      </c>
      <c r="W14" s="702">
        <f t="shared" si="2"/>
        <v>100</v>
      </c>
      <c r="X14" s="703"/>
      <c r="Y14" s="3702"/>
      <c r="Z14" s="52">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803" t="s">
        <v>1691</v>
      </c>
      <c r="Q15" s="1352" t="str">
        <f t="shared" si="6"/>
        <v>办公集聚程度</v>
      </c>
      <c r="R15" s="705" t="s">
        <v>14</v>
      </c>
      <c r="S15" s="706">
        <f t="shared" si="0"/>
        <v>100</v>
      </c>
      <c r="T15" s="705" t="s">
        <v>14</v>
      </c>
      <c r="U15" s="706">
        <f t="shared" si="1"/>
        <v>100</v>
      </c>
      <c r="V15" s="705" t="s">
        <v>14</v>
      </c>
      <c r="W15" s="706">
        <f t="shared" si="2"/>
        <v>100</v>
      </c>
      <c r="X15" s="1355"/>
      <c r="Y15" s="380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9"/>
      <c r="M16" s="2713"/>
      <c r="N16" s="2713"/>
      <c r="O16" s="2713"/>
      <c r="P16" s="3804"/>
      <c r="Q16" s="1352"/>
      <c r="R16" s="705"/>
      <c r="S16" s="706"/>
      <c r="T16" s="705"/>
      <c r="U16" s="706"/>
      <c r="V16" s="705"/>
      <c r="W16" s="706"/>
      <c r="X16" s="1355"/>
      <c r="Y16" s="3806"/>
      <c r="Z16" s="1356"/>
      <c r="AA16" s="1353">
        <v>1</v>
      </c>
      <c r="AB16" s="1353">
        <v>1</v>
      </c>
      <c r="AC16" s="1962">
        <v>1</v>
      </c>
    </row>
    <row r="17" spans="1:29" ht="15">
      <c r="A17" s="379"/>
      <c r="B17" s="579" t="s">
        <v>1259</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804"/>
      <c r="Q17" s="1352" t="str">
        <f>B17</f>
        <v>交通便捷度</v>
      </c>
      <c r="R17" s="705" t="s">
        <v>14</v>
      </c>
      <c r="S17" s="706">
        <f>F17</f>
        <v>100</v>
      </c>
      <c r="T17" s="705" t="s">
        <v>14</v>
      </c>
      <c r="U17" s="706">
        <f>H17</f>
        <v>100</v>
      </c>
      <c r="V17" s="705" t="s">
        <v>14</v>
      </c>
      <c r="W17" s="706">
        <f>J17</f>
        <v>100</v>
      </c>
      <c r="X17" s="1355"/>
      <c r="Y17" s="380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9"/>
      <c r="M18" s="2713"/>
      <c r="N18" s="2713"/>
      <c r="O18" s="2713"/>
      <c r="P18" s="3804"/>
      <c r="Q18" s="1352"/>
      <c r="R18" s="705"/>
      <c r="S18" s="706"/>
      <c r="T18" s="705"/>
      <c r="U18" s="706"/>
      <c r="V18" s="705"/>
      <c r="W18" s="706"/>
      <c r="X18" s="1355"/>
      <c r="Y18" s="3806"/>
      <c r="Z18" s="1356"/>
      <c r="AA18" s="1353">
        <v>1</v>
      </c>
      <c r="AB18" s="1353">
        <v>1</v>
      </c>
      <c r="AC18" s="1962">
        <v>1</v>
      </c>
    </row>
    <row r="19" spans="1:29" ht="15">
      <c r="A19" s="379"/>
      <c r="B19" s="579" t="s">
        <v>1812</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804"/>
      <c r="Q19" s="1352" t="str">
        <f>B19</f>
        <v>公共配套设施</v>
      </c>
      <c r="R19" s="705" t="s">
        <v>14</v>
      </c>
      <c r="S19" s="706">
        <f>F19</f>
        <v>100</v>
      </c>
      <c r="T19" s="705" t="s">
        <v>14</v>
      </c>
      <c r="U19" s="706">
        <f>H19</f>
        <v>100</v>
      </c>
      <c r="V19" s="705" t="s">
        <v>14</v>
      </c>
      <c r="W19" s="706">
        <f>J19</f>
        <v>100</v>
      </c>
      <c r="X19" s="1355"/>
      <c r="Y19" s="380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9"/>
      <c r="M20" s="2713"/>
      <c r="N20" s="2713"/>
      <c r="O20" s="2713"/>
      <c r="P20" s="3804"/>
      <c r="Q20" s="1352"/>
      <c r="R20" s="705"/>
      <c r="S20" s="706"/>
      <c r="T20" s="705"/>
      <c r="U20" s="706"/>
      <c r="V20" s="705"/>
      <c r="W20" s="706"/>
      <c r="X20" s="1355"/>
      <c r="Y20" s="3806"/>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804"/>
      <c r="Q21" s="1352" t="str">
        <f>B21</f>
        <v>基础设施水平</v>
      </c>
      <c r="R21" s="705" t="s">
        <v>14</v>
      </c>
      <c r="S21" s="706">
        <f>F21</f>
        <v>100</v>
      </c>
      <c r="T21" s="705" t="s">
        <v>14</v>
      </c>
      <c r="U21" s="706">
        <f>H21</f>
        <v>100</v>
      </c>
      <c r="V21" s="705" t="s">
        <v>14</v>
      </c>
      <c r="W21" s="706">
        <f>J21</f>
        <v>100</v>
      </c>
      <c r="X21" s="1355"/>
      <c r="Y21" s="380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9"/>
      <c r="M22" s="2713"/>
      <c r="N22" s="2713"/>
      <c r="O22" s="2713"/>
      <c r="P22" s="3804"/>
      <c r="Q22" s="1352"/>
      <c r="R22" s="705"/>
      <c r="S22" s="706"/>
      <c r="T22" s="705"/>
      <c r="U22" s="706"/>
      <c r="V22" s="705"/>
      <c r="W22" s="706"/>
      <c r="X22" s="1355"/>
      <c r="Y22" s="3806"/>
      <c r="Z22" s="1356"/>
      <c r="AA22" s="1353">
        <v>1</v>
      </c>
      <c r="AB22" s="1353">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804"/>
      <c r="Q23" s="1352" t="str">
        <f>B23</f>
        <v>环境质量</v>
      </c>
      <c r="R23" s="705" t="s">
        <v>14</v>
      </c>
      <c r="S23" s="706">
        <f>F23</f>
        <v>100</v>
      </c>
      <c r="T23" s="705" t="s">
        <v>14</v>
      </c>
      <c r="U23" s="706">
        <f>H23</f>
        <v>100</v>
      </c>
      <c r="V23" s="705" t="s">
        <v>14</v>
      </c>
      <c r="W23" s="706">
        <f>J23</f>
        <v>100</v>
      </c>
      <c r="X23" s="1355"/>
      <c r="Y23" s="380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9"/>
      <c r="M24" s="2713"/>
      <c r="N24" s="2713"/>
      <c r="O24" s="2713"/>
      <c r="P24" s="3804"/>
      <c r="Q24" s="1352"/>
      <c r="R24" s="705"/>
      <c r="S24" s="706"/>
      <c r="T24" s="705"/>
      <c r="U24" s="706"/>
      <c r="V24" s="705"/>
      <c r="W24" s="706"/>
      <c r="X24" s="1355"/>
      <c r="Y24" s="380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804"/>
      <c r="Q25" s="1352" t="str">
        <f>B25</f>
        <v>毗邻道路的类型与等级</v>
      </c>
      <c r="R25" s="705" t="s">
        <v>14</v>
      </c>
      <c r="S25" s="706">
        <f>F25</f>
        <v>100</v>
      </c>
      <c r="T25" s="705" t="s">
        <v>14</v>
      </c>
      <c r="U25" s="706">
        <f>H25</f>
        <v>100</v>
      </c>
      <c r="V25" s="705" t="s">
        <v>14</v>
      </c>
      <c r="W25" s="706">
        <f>J25</f>
        <v>100</v>
      </c>
      <c r="X25" s="1355"/>
      <c r="Y25" s="380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804"/>
      <c r="Q26" s="1352"/>
      <c r="R26" s="705"/>
      <c r="S26" s="706"/>
      <c r="T26" s="705"/>
      <c r="U26" s="706"/>
      <c r="V26" s="705"/>
      <c r="W26" s="706"/>
      <c r="X26" s="1355"/>
      <c r="Y26" s="380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804"/>
      <c r="Q27" s="1352" t="str">
        <f t="shared" ref="Q27:Q47" si="11">B27</f>
        <v>楼层</v>
      </c>
      <c r="R27" s="705" t="s">
        <v>14</v>
      </c>
      <c r="S27" s="706">
        <f>F27</f>
        <v>100</v>
      </c>
      <c r="T27" s="705" t="s">
        <v>14</v>
      </c>
      <c r="U27" s="706">
        <f>H27</f>
        <v>100</v>
      </c>
      <c r="V27" s="705" t="s">
        <v>14</v>
      </c>
      <c r="W27" s="706">
        <f>J27</f>
        <v>100</v>
      </c>
      <c r="X27" s="1355"/>
      <c r="Y27" s="380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804"/>
      <c r="Q28" s="1343" t="str">
        <f t="shared" si="11"/>
        <v>朝向</v>
      </c>
      <c r="R28" s="701" t="s">
        <v>14</v>
      </c>
      <c r="S28" s="702">
        <f>F28</f>
        <v>100</v>
      </c>
      <c r="T28" s="701" t="s">
        <v>14</v>
      </c>
      <c r="U28" s="702">
        <f>H28</f>
        <v>100</v>
      </c>
      <c r="V28" s="701" t="s">
        <v>14</v>
      </c>
      <c r="W28" s="702">
        <f>J28</f>
        <v>100</v>
      </c>
      <c r="X28" s="703"/>
      <c r="Y28" s="380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804"/>
      <c r="Q29" s="1352">
        <f t="shared" si="11"/>
        <v>111</v>
      </c>
      <c r="R29" s="705" t="s">
        <v>14</v>
      </c>
      <c r="S29" s="706">
        <f t="shared" ref="S29:S47" si="12">F29</f>
        <v>100</v>
      </c>
      <c r="T29" s="705" t="s">
        <v>14</v>
      </c>
      <c r="U29" s="706">
        <f t="shared" ref="U29:U47" si="13">H29</f>
        <v>100</v>
      </c>
      <c r="V29" s="705" t="s">
        <v>14</v>
      </c>
      <c r="W29" s="706">
        <f t="shared" ref="W29:W47" si="14">J29</f>
        <v>100</v>
      </c>
      <c r="X29" s="1355"/>
      <c r="Y29" s="380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804"/>
      <c r="Q30" s="1352">
        <f t="shared" si="11"/>
        <v>111</v>
      </c>
      <c r="R30" s="705" t="s">
        <v>14</v>
      </c>
      <c r="S30" s="706">
        <f t="shared" si="12"/>
        <v>100</v>
      </c>
      <c r="T30" s="705" t="s">
        <v>14</v>
      </c>
      <c r="U30" s="706">
        <f t="shared" si="13"/>
        <v>100</v>
      </c>
      <c r="V30" s="705" t="s">
        <v>14</v>
      </c>
      <c r="W30" s="706">
        <f t="shared" si="14"/>
        <v>100</v>
      </c>
      <c r="X30" s="1355"/>
      <c r="Y30" s="380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804"/>
      <c r="Q31" s="1352">
        <f t="shared" si="11"/>
        <v>111</v>
      </c>
      <c r="R31" s="705" t="s">
        <v>14</v>
      </c>
      <c r="S31" s="706">
        <f t="shared" si="12"/>
        <v>100</v>
      </c>
      <c r="T31" s="705" t="s">
        <v>14</v>
      </c>
      <c r="U31" s="706">
        <f t="shared" si="13"/>
        <v>100</v>
      </c>
      <c r="V31" s="705" t="s">
        <v>14</v>
      </c>
      <c r="W31" s="706">
        <f t="shared" si="14"/>
        <v>100</v>
      </c>
      <c r="X31" s="1355"/>
      <c r="Y31" s="380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804"/>
      <c r="Q32" s="1352">
        <f t="shared" si="11"/>
        <v>111</v>
      </c>
      <c r="R32" s="705" t="s">
        <v>14</v>
      </c>
      <c r="S32" s="706">
        <f t="shared" si="12"/>
        <v>100</v>
      </c>
      <c r="T32" s="705" t="s">
        <v>14</v>
      </c>
      <c r="U32" s="706">
        <f t="shared" si="13"/>
        <v>100</v>
      </c>
      <c r="V32" s="705" t="s">
        <v>14</v>
      </c>
      <c r="W32" s="706">
        <f t="shared" si="14"/>
        <v>100</v>
      </c>
      <c r="X32" s="1355"/>
      <c r="Y32" s="380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9"/>
      <c r="M33" s="2713"/>
      <c r="N33" s="2713"/>
      <c r="O33" s="2713"/>
      <c r="P33" s="3807" t="s">
        <v>1696</v>
      </c>
      <c r="Q33" s="1352" t="str">
        <f t="shared" si="11"/>
        <v>建筑类型</v>
      </c>
      <c r="R33" s="705" t="s">
        <v>14</v>
      </c>
      <c r="S33" s="706">
        <f t="shared" si="12"/>
        <v>100</v>
      </c>
      <c r="T33" s="705" t="s">
        <v>14</v>
      </c>
      <c r="U33" s="706">
        <f t="shared" si="13"/>
        <v>100</v>
      </c>
      <c r="V33" s="705" t="s">
        <v>14</v>
      </c>
      <c r="W33" s="706">
        <f t="shared" si="14"/>
        <v>100</v>
      </c>
      <c r="X33" s="1355"/>
      <c r="Y33" s="381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808"/>
      <c r="Q34" s="707" t="str">
        <f t="shared" si="11"/>
        <v>项目建筑规模</v>
      </c>
      <c r="R34" s="708" t="s">
        <v>14</v>
      </c>
      <c r="S34" s="709" t="e">
        <f t="shared" si="12"/>
        <v>#N/A</v>
      </c>
      <c r="T34" s="708" t="s">
        <v>14</v>
      </c>
      <c r="U34" s="709" t="e">
        <f t="shared" si="13"/>
        <v>#N/A</v>
      </c>
      <c r="V34" s="708" t="s">
        <v>14</v>
      </c>
      <c r="W34" s="709" t="e">
        <f t="shared" si="14"/>
        <v>#N/A</v>
      </c>
      <c r="X34" s="710"/>
      <c r="Y34" s="381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808"/>
      <c r="Q35" s="1352" t="str">
        <f t="shared" si="11"/>
        <v>建筑结构</v>
      </c>
      <c r="R35" s="705" t="s">
        <v>14</v>
      </c>
      <c r="S35" s="706">
        <f t="shared" si="12"/>
        <v>100</v>
      </c>
      <c r="T35" s="705" t="s">
        <v>14</v>
      </c>
      <c r="U35" s="706">
        <f t="shared" si="13"/>
        <v>100</v>
      </c>
      <c r="V35" s="705" t="s">
        <v>14</v>
      </c>
      <c r="W35" s="706">
        <f t="shared" si="14"/>
        <v>100</v>
      </c>
      <c r="X35" s="1355"/>
      <c r="Y35" s="381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808"/>
      <c r="Q36" s="1352" t="str">
        <f t="shared" si="11"/>
        <v>公共部分装修</v>
      </c>
      <c r="R36" s="705" t="s">
        <v>14</v>
      </c>
      <c r="S36" s="706">
        <f t="shared" si="12"/>
        <v>100</v>
      </c>
      <c r="T36" s="705" t="s">
        <v>14</v>
      </c>
      <c r="U36" s="706">
        <f t="shared" si="13"/>
        <v>100</v>
      </c>
      <c r="V36" s="705" t="s">
        <v>14</v>
      </c>
      <c r="W36" s="706">
        <f t="shared" si="14"/>
        <v>100</v>
      </c>
      <c r="X36" s="1355"/>
      <c r="Y36" s="381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808"/>
      <c r="Q37" s="1352" t="str">
        <f t="shared" si="11"/>
        <v>成新度</v>
      </c>
      <c r="R37" s="705" t="s">
        <v>14</v>
      </c>
      <c r="S37" s="706" t="e">
        <f t="shared" si="12"/>
        <v>#N/A</v>
      </c>
      <c r="T37" s="705" t="s">
        <v>14</v>
      </c>
      <c r="U37" s="706" t="e">
        <f t="shared" si="13"/>
        <v>#N/A</v>
      </c>
      <c r="V37" s="705" t="s">
        <v>14</v>
      </c>
      <c r="W37" s="706" t="e">
        <f t="shared" si="14"/>
        <v>#N/A</v>
      </c>
      <c r="X37" s="1355"/>
      <c r="Y37" s="381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808"/>
      <c r="Q38" s="1343" t="str">
        <f t="shared" si="11"/>
        <v>写字楼等级</v>
      </c>
      <c r="R38" s="701" t="s">
        <v>14</v>
      </c>
      <c r="S38" s="702">
        <f t="shared" si="12"/>
        <v>100</v>
      </c>
      <c r="T38" s="701" t="s">
        <v>14</v>
      </c>
      <c r="U38" s="702">
        <f t="shared" si="13"/>
        <v>100</v>
      </c>
      <c r="V38" s="701" t="s">
        <v>14</v>
      </c>
      <c r="W38" s="702">
        <f t="shared" si="14"/>
        <v>100</v>
      </c>
      <c r="X38" s="703"/>
      <c r="Y38" s="381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808" t="s">
        <v>1696</v>
      </c>
      <c r="Q39" s="1352" t="str">
        <f t="shared" si="11"/>
        <v>物业管理</v>
      </c>
      <c r="R39" s="705" t="s">
        <v>14</v>
      </c>
      <c r="S39" s="706">
        <f t="shared" si="12"/>
        <v>100</v>
      </c>
      <c r="T39" s="705" t="s">
        <v>14</v>
      </c>
      <c r="U39" s="706">
        <f t="shared" si="13"/>
        <v>100</v>
      </c>
      <c r="V39" s="705" t="s">
        <v>14</v>
      </c>
      <c r="W39" s="706">
        <f t="shared" si="14"/>
        <v>100</v>
      </c>
      <c r="X39" s="1355"/>
      <c r="Y39" s="381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808"/>
      <c r="Q40" s="1352" t="str">
        <f t="shared" si="11"/>
        <v>市政基础设施</v>
      </c>
      <c r="R40" s="705" t="s">
        <v>14</v>
      </c>
      <c r="S40" s="706">
        <f t="shared" si="12"/>
        <v>100</v>
      </c>
      <c r="T40" s="705" t="s">
        <v>14</v>
      </c>
      <c r="U40" s="706">
        <f t="shared" si="13"/>
        <v>100</v>
      </c>
      <c r="V40" s="705" t="s">
        <v>14</v>
      </c>
      <c r="W40" s="706">
        <f t="shared" si="14"/>
        <v>100</v>
      </c>
      <c r="X40" s="1355"/>
      <c r="Y40" s="381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808"/>
      <c r="Q41" s="1352" t="str">
        <f t="shared" si="11"/>
        <v>层高</v>
      </c>
      <c r="R41" s="705" t="s">
        <v>14</v>
      </c>
      <c r="S41" s="706">
        <f t="shared" si="12"/>
        <v>100</v>
      </c>
      <c r="T41" s="705" t="s">
        <v>14</v>
      </c>
      <c r="U41" s="706">
        <f t="shared" si="13"/>
        <v>100</v>
      </c>
      <c r="V41" s="705" t="s">
        <v>14</v>
      </c>
      <c r="W41" s="706">
        <f t="shared" si="14"/>
        <v>100</v>
      </c>
      <c r="X41" s="1355"/>
      <c r="Y41" s="381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808"/>
      <c r="Q42" s="707" t="str">
        <f t="shared" si="11"/>
        <v>单套建筑面积</v>
      </c>
      <c r="R42" s="708" t="s">
        <v>14</v>
      </c>
      <c r="S42" s="709">
        <f t="shared" si="12"/>
        <v>100</v>
      </c>
      <c r="T42" s="708" t="s">
        <v>14</v>
      </c>
      <c r="U42" s="709">
        <f t="shared" si="13"/>
        <v>100</v>
      </c>
      <c r="V42" s="708" t="s">
        <v>14</v>
      </c>
      <c r="W42" s="709">
        <f t="shared" si="14"/>
        <v>100</v>
      </c>
      <c r="X42" s="710"/>
      <c r="Y42" s="381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808"/>
      <c r="Q43" s="1352" t="str">
        <f t="shared" si="11"/>
        <v>内部装修</v>
      </c>
      <c r="R43" s="705" t="s">
        <v>14</v>
      </c>
      <c r="S43" s="706">
        <f t="shared" si="12"/>
        <v>100</v>
      </c>
      <c r="T43" s="705" t="s">
        <v>14</v>
      </c>
      <c r="U43" s="706">
        <f t="shared" si="13"/>
        <v>100</v>
      </c>
      <c r="V43" s="705" t="s">
        <v>14</v>
      </c>
      <c r="W43" s="706">
        <f t="shared" si="14"/>
        <v>100</v>
      </c>
      <c r="X43" s="1355"/>
      <c r="Y43" s="381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808"/>
      <c r="Q44" s="1352" t="str">
        <f t="shared" si="11"/>
        <v>内部装修维护情况</v>
      </c>
      <c r="R44" s="705" t="s">
        <v>14</v>
      </c>
      <c r="S44" s="706">
        <f t="shared" si="12"/>
        <v>100</v>
      </c>
      <c r="T44" s="705" t="s">
        <v>14</v>
      </c>
      <c r="U44" s="706">
        <f t="shared" si="13"/>
        <v>100</v>
      </c>
      <c r="V44" s="705" t="s">
        <v>14</v>
      </c>
      <c r="W44" s="706">
        <f t="shared" si="14"/>
        <v>100</v>
      </c>
      <c r="X44" s="1355"/>
      <c r="Y44" s="381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808"/>
      <c r="Q45" s="1343">
        <f t="shared" si="11"/>
        <v>111</v>
      </c>
      <c r="R45" s="701" t="s">
        <v>14</v>
      </c>
      <c r="S45" s="702">
        <f t="shared" si="12"/>
        <v>100</v>
      </c>
      <c r="T45" s="701" t="s">
        <v>14</v>
      </c>
      <c r="U45" s="702">
        <f t="shared" si="13"/>
        <v>100</v>
      </c>
      <c r="V45" s="701" t="s">
        <v>14</v>
      </c>
      <c r="W45" s="702">
        <f t="shared" si="14"/>
        <v>100</v>
      </c>
      <c r="X45" s="703"/>
      <c r="Y45" s="381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808"/>
      <c r="Q46" s="1352">
        <f t="shared" si="11"/>
        <v>111</v>
      </c>
      <c r="R46" s="705" t="s">
        <v>14</v>
      </c>
      <c r="S46" s="706">
        <f t="shared" si="12"/>
        <v>100</v>
      </c>
      <c r="T46" s="705" t="s">
        <v>14</v>
      </c>
      <c r="U46" s="706">
        <f t="shared" si="13"/>
        <v>100</v>
      </c>
      <c r="V46" s="705" t="s">
        <v>14</v>
      </c>
      <c r="W46" s="706">
        <f t="shared" si="14"/>
        <v>100</v>
      </c>
      <c r="X46" s="1355"/>
      <c r="Y46" s="381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809"/>
      <c r="Q47" s="1352">
        <f t="shared" si="11"/>
        <v>111</v>
      </c>
      <c r="R47" s="705" t="s">
        <v>14</v>
      </c>
      <c r="S47" s="706">
        <f t="shared" si="12"/>
        <v>100</v>
      </c>
      <c r="T47" s="705" t="s">
        <v>14</v>
      </c>
      <c r="U47" s="706">
        <f t="shared" si="13"/>
        <v>100</v>
      </c>
      <c r="V47" s="705" t="s">
        <v>14</v>
      </c>
      <c r="W47" s="706">
        <f t="shared" si="14"/>
        <v>100</v>
      </c>
      <c r="X47" s="1355"/>
      <c r="Y47" s="381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1"/>
      <c r="M48" s="2713"/>
      <c r="N48" s="2713"/>
      <c r="O48" s="2713"/>
      <c r="P48" s="3813" t="str">
        <f>A48</f>
        <v>成交单价（元/平方米）</v>
      </c>
      <c r="Q48" s="3798"/>
      <c r="R48" s="3799">
        <f>E48</f>
        <v>0</v>
      </c>
      <c r="S48" s="3799"/>
      <c r="T48" s="3799">
        <f>G48</f>
        <v>0</v>
      </c>
      <c r="U48" s="3799"/>
      <c r="V48" s="3799">
        <f>I48</f>
        <v>0</v>
      </c>
      <c r="W48" s="379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1"/>
      <c r="M49" s="2713"/>
      <c r="N49" s="2713"/>
      <c r="O49" s="2713"/>
      <c r="P49" s="3813" t="str">
        <f>A49</f>
        <v>比较价值（元/平方米）</v>
      </c>
      <c r="Q49" s="3798"/>
      <c r="R49" s="3799" t="e">
        <f>IF(F1="售价",ROUND(PRODUCT(R48,AA7:AA47),0),ROUND(PRODUCT(R48,AA7:AA47),1))</f>
        <v>#DIV/0!</v>
      </c>
      <c r="S49" s="3799"/>
      <c r="T49" s="3799" t="e">
        <f>IF(F1="售价",ROUND(PRODUCT(T48,AB7:AB47),0),ROUND(PRODUCT(T48,AB7:AB47),1))</f>
        <v>#DIV/0!</v>
      </c>
      <c r="U49" s="3799"/>
      <c r="V49" s="3799" t="e">
        <f>IF(F1="售价",ROUND(PRODUCT(V48,AC7:AC47),0),ROUND(PRODUCT(V48,AC7:AC47),1))</f>
        <v>#DIV/0!</v>
      </c>
      <c r="W49" s="379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1"/>
      <c r="M50" s="2713"/>
      <c r="N50" s="2713"/>
      <c r="O50" s="2713"/>
      <c r="P50" s="3872" t="str">
        <f>A50</f>
        <v>估价对象XX用房的比较价值（楼面单价，元/平方米）</v>
      </c>
      <c r="Q50" s="3873"/>
      <c r="R50" s="3874" t="e">
        <f>IF(F1="售价",ROUND(IF(D49="简单平均",AVERAGE(R49:V49),R49*F49+T49*H49+V49*J49),0),ROUND(IF(D49="简单平均",AVERAGE(R49:V49),R49*F49+T49*H49+V49*J49),1))</f>
        <v>#DIV/0!</v>
      </c>
      <c r="S50" s="3874"/>
      <c r="T50" s="3874"/>
      <c r="U50" s="3874"/>
      <c r="V50" s="3874"/>
      <c r="W50" s="3874"/>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642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817" t="s">
        <v>1770</v>
      </c>
      <c r="D4" s="3818"/>
      <c r="E4" s="3819" t="s">
        <v>1771</v>
      </c>
      <c r="F4" s="3820"/>
      <c r="G4" s="3817" t="s">
        <v>1772</v>
      </c>
      <c r="H4" s="3818"/>
      <c r="I4" s="3817" t="s">
        <v>1773</v>
      </c>
      <c r="J4" s="3818"/>
      <c r="K4" s="559" t="s">
        <v>1774</v>
      </c>
      <c r="L4" s="913"/>
      <c r="M4" s="914"/>
      <c r="N4" s="914"/>
      <c r="O4" s="914"/>
      <c r="P4" s="3821" t="s">
        <v>1775</v>
      </c>
      <c r="Q4" s="3822"/>
      <c r="R4" s="3827" t="s">
        <v>1771</v>
      </c>
      <c r="S4" s="3828"/>
      <c r="T4" s="3827" t="s">
        <v>1772</v>
      </c>
      <c r="U4" s="3828"/>
      <c r="V4" s="3812" t="s">
        <v>1773</v>
      </c>
      <c r="W4" s="3812"/>
      <c r="X4" s="1355"/>
      <c r="Y4" s="3827" t="s">
        <v>1775</v>
      </c>
      <c r="Z4" s="3828"/>
      <c r="AA4" s="3814" t="s">
        <v>1771</v>
      </c>
      <c r="AB4" s="3815" t="s">
        <v>1772</v>
      </c>
      <c r="AC4" s="3814" t="s">
        <v>1773</v>
      </c>
    </row>
    <row r="5" spans="1:29" ht="15">
      <c r="A5" s="358"/>
      <c r="B5" s="359"/>
      <c r="C5" s="3870" t="s">
        <v>1673</v>
      </c>
      <c r="D5" s="3841"/>
      <c r="E5" s="3871" t="s">
        <v>1674</v>
      </c>
      <c r="F5" s="3836"/>
      <c r="G5" s="3870" t="s">
        <v>1675</v>
      </c>
      <c r="H5" s="3841"/>
      <c r="I5" s="3870" t="s">
        <v>1676</v>
      </c>
      <c r="J5" s="3841"/>
      <c r="K5" s="559"/>
      <c r="L5" s="913"/>
      <c r="M5" s="914"/>
      <c r="N5" s="914"/>
      <c r="O5" s="914"/>
      <c r="P5" s="3823"/>
      <c r="Q5" s="3824"/>
      <c r="R5" s="3829"/>
      <c r="S5" s="3830"/>
      <c r="T5" s="3829"/>
      <c r="U5" s="3830"/>
      <c r="V5" s="3812"/>
      <c r="W5" s="3812"/>
      <c r="X5" s="1355"/>
      <c r="Y5" s="3829"/>
      <c r="Z5" s="3830"/>
      <c r="AA5" s="3815"/>
      <c r="AB5" s="3815"/>
      <c r="AC5" s="3815"/>
    </row>
    <row r="6" spans="1:29" ht="15.75" thickBot="1">
      <c r="A6" s="360"/>
      <c r="B6" s="361"/>
      <c r="C6" s="3833" t="s">
        <v>1677</v>
      </c>
      <c r="D6" s="3834"/>
      <c r="E6" s="3842" t="s">
        <v>1677</v>
      </c>
      <c r="F6" s="3843"/>
      <c r="G6" s="3833" t="s">
        <v>1677</v>
      </c>
      <c r="H6" s="3834"/>
      <c r="I6" s="3833" t="s">
        <v>1677</v>
      </c>
      <c r="J6" s="3834"/>
      <c r="K6" s="559" t="s">
        <v>1678</v>
      </c>
      <c r="L6" s="913"/>
      <c r="M6" s="914"/>
      <c r="N6" s="914"/>
      <c r="O6" s="914"/>
      <c r="P6" s="3825"/>
      <c r="Q6" s="3826"/>
      <c r="R6" s="3829"/>
      <c r="S6" s="3830"/>
      <c r="T6" s="3831"/>
      <c r="U6" s="3832"/>
      <c r="V6" s="3812"/>
      <c r="W6" s="3812"/>
      <c r="X6" s="1355"/>
      <c r="Y6" s="3831"/>
      <c r="Z6" s="3832"/>
      <c r="AA6" s="3816"/>
      <c r="AB6" s="3816"/>
      <c r="AC6" s="3816"/>
    </row>
    <row r="7" spans="1:29" s="108" customFormat="1" ht="15.75" thickBot="1">
      <c r="A7" s="362" t="s">
        <v>1679</v>
      </c>
      <c r="B7" s="363"/>
      <c r="C7" s="364">
        <f>'数据-取费表'!B2</f>
        <v>45426</v>
      </c>
      <c r="D7" s="365">
        <v>100</v>
      </c>
      <c r="E7" s="366"/>
      <c r="F7" s="367">
        <f>SUMIF(52:52,YEAR(E7)&amp;"-"&amp;MONTH(E7),53:53)</f>
        <v>0</v>
      </c>
      <c r="G7" s="366"/>
      <c r="H7" s="365">
        <f>SUMIF(52:52,YEAR(G7)&amp;"-"&amp;MONTH(G7),53:53)</f>
        <v>0</v>
      </c>
      <c r="I7" s="366"/>
      <c r="J7" s="365">
        <f>SUMIF(52:52,YEAR(I7)&amp;"-"&amp;MONTH(I7),53:53)</f>
        <v>0</v>
      </c>
      <c r="K7" s="560"/>
      <c r="L7" s="915"/>
      <c r="M7" s="916"/>
      <c r="N7" s="916"/>
      <c r="O7" s="916"/>
      <c r="P7" s="3837" t="s">
        <v>1680</v>
      </c>
      <c r="Q7" s="3839"/>
      <c r="R7" s="701" t="s">
        <v>14</v>
      </c>
      <c r="S7" s="702">
        <f t="shared" ref="S7:S15" si="0">F7</f>
        <v>0</v>
      </c>
      <c r="T7" s="701" t="s">
        <v>14</v>
      </c>
      <c r="U7" s="702">
        <f t="shared" ref="U7:U15" si="1">H7</f>
        <v>0</v>
      </c>
      <c r="V7" s="701" t="s">
        <v>14</v>
      </c>
      <c r="W7" s="702">
        <f t="shared" ref="W7:W15" si="2">J7</f>
        <v>0</v>
      </c>
      <c r="X7" s="703"/>
      <c r="Y7" s="3837" t="s">
        <v>1680</v>
      </c>
      <c r="Z7" s="383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37" t="s">
        <v>1683</v>
      </c>
      <c r="Q8" s="3838"/>
      <c r="R8" s="701" t="s">
        <v>14</v>
      </c>
      <c r="S8" s="702">
        <f t="shared" si="0"/>
        <v>100</v>
      </c>
      <c r="T8" s="701" t="s">
        <v>14</v>
      </c>
      <c r="U8" s="702">
        <f t="shared" si="1"/>
        <v>100</v>
      </c>
      <c r="V8" s="701" t="s">
        <v>14</v>
      </c>
      <c r="W8" s="702">
        <f t="shared" si="2"/>
        <v>100</v>
      </c>
      <c r="X8" s="703"/>
      <c r="Y8" s="3837" t="s">
        <v>1683</v>
      </c>
      <c r="Z8" s="383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98" t="s">
        <v>1686</v>
      </c>
      <c r="Q9" s="1343" t="str">
        <f t="shared" ref="Q9:Q15" si="6">B9</f>
        <v>用途</v>
      </c>
      <c r="R9" s="701" t="s">
        <v>14</v>
      </c>
      <c r="S9" s="702">
        <f t="shared" si="0"/>
        <v>100</v>
      </c>
      <c r="T9" s="701" t="s">
        <v>14</v>
      </c>
      <c r="U9" s="702">
        <f t="shared" si="1"/>
        <v>100</v>
      </c>
      <c r="V9" s="701" t="s">
        <v>14</v>
      </c>
      <c r="W9" s="702">
        <f t="shared" si="2"/>
        <v>100</v>
      </c>
      <c r="X9" s="703"/>
      <c r="Y9" s="3702"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798"/>
      <c r="Q10" s="1343" t="str">
        <f t="shared" si="6"/>
        <v>土地使用年限（年）</v>
      </c>
      <c r="R10" s="701" t="s">
        <v>14</v>
      </c>
      <c r="S10" s="702">
        <f t="shared" si="0"/>
        <v>100</v>
      </c>
      <c r="T10" s="701" t="s">
        <v>14</v>
      </c>
      <c r="U10" s="702">
        <f t="shared" si="1"/>
        <v>100</v>
      </c>
      <c r="V10" s="701" t="s">
        <v>14</v>
      </c>
      <c r="W10" s="702">
        <f t="shared" si="2"/>
        <v>100</v>
      </c>
      <c r="X10" s="703"/>
      <c r="Y10" s="370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98"/>
      <c r="Q11" s="1343" t="str">
        <f t="shared" si="6"/>
        <v>容积率</v>
      </c>
      <c r="R11" s="701" t="s">
        <v>14</v>
      </c>
      <c r="S11" s="702">
        <f t="shared" si="0"/>
        <v>100</v>
      </c>
      <c r="T11" s="701" t="s">
        <v>14</v>
      </c>
      <c r="U11" s="702">
        <f t="shared" si="1"/>
        <v>100</v>
      </c>
      <c r="V11" s="701" t="s">
        <v>14</v>
      </c>
      <c r="W11" s="702">
        <f t="shared" si="2"/>
        <v>100</v>
      </c>
      <c r="X11" s="703"/>
      <c r="Y11" s="370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98"/>
      <c r="Q12" s="1343">
        <f t="shared" si="6"/>
        <v>111</v>
      </c>
      <c r="R12" s="701" t="s">
        <v>14</v>
      </c>
      <c r="S12" s="702">
        <f t="shared" si="0"/>
        <v>100</v>
      </c>
      <c r="T12" s="701" t="s">
        <v>14</v>
      </c>
      <c r="U12" s="702">
        <f t="shared" si="1"/>
        <v>100</v>
      </c>
      <c r="V12" s="701" t="s">
        <v>14</v>
      </c>
      <c r="W12" s="702">
        <f t="shared" si="2"/>
        <v>100</v>
      </c>
      <c r="X12" s="703"/>
      <c r="Y12" s="370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98"/>
      <c r="Q13" s="1343">
        <f t="shared" si="6"/>
        <v>111</v>
      </c>
      <c r="R13" s="701" t="s">
        <v>14</v>
      </c>
      <c r="S13" s="702">
        <f t="shared" si="0"/>
        <v>100</v>
      </c>
      <c r="T13" s="701" t="s">
        <v>14</v>
      </c>
      <c r="U13" s="702">
        <f t="shared" si="1"/>
        <v>100</v>
      </c>
      <c r="V13" s="701" t="s">
        <v>14</v>
      </c>
      <c r="W13" s="702">
        <f t="shared" si="2"/>
        <v>100</v>
      </c>
      <c r="X13" s="703"/>
      <c r="Y13" s="370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98"/>
      <c r="Q14" s="1343">
        <f t="shared" si="6"/>
        <v>111</v>
      </c>
      <c r="R14" s="701" t="s">
        <v>14</v>
      </c>
      <c r="S14" s="702">
        <f t="shared" si="0"/>
        <v>100</v>
      </c>
      <c r="T14" s="701" t="s">
        <v>14</v>
      </c>
      <c r="U14" s="702">
        <f t="shared" si="1"/>
        <v>100</v>
      </c>
      <c r="V14" s="701" t="s">
        <v>14</v>
      </c>
      <c r="W14" s="702">
        <f t="shared" si="2"/>
        <v>100</v>
      </c>
      <c r="X14" s="703"/>
      <c r="Y14" s="370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05" t="s">
        <v>1691</v>
      </c>
      <c r="Q15" s="1352" t="str">
        <f t="shared" si="6"/>
        <v>产业集聚程度</v>
      </c>
      <c r="R15" s="705" t="s">
        <v>14</v>
      </c>
      <c r="S15" s="706">
        <f t="shared" si="0"/>
        <v>100</v>
      </c>
      <c r="T15" s="705" t="s">
        <v>14</v>
      </c>
      <c r="U15" s="706">
        <f t="shared" si="1"/>
        <v>100</v>
      </c>
      <c r="V15" s="705" t="s">
        <v>14</v>
      </c>
      <c r="W15" s="706">
        <f t="shared" si="2"/>
        <v>100</v>
      </c>
      <c r="X15" s="1355"/>
      <c r="Y15" s="380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06"/>
      <c r="Q16" s="1352"/>
      <c r="R16" s="705"/>
      <c r="S16" s="706"/>
      <c r="T16" s="705"/>
      <c r="U16" s="706"/>
      <c r="V16" s="705"/>
      <c r="W16" s="706"/>
      <c r="X16" s="1355"/>
      <c r="Y16" s="380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06"/>
      <c r="Q17" s="1352" t="str">
        <f>B17</f>
        <v>交通便捷度</v>
      </c>
      <c r="R17" s="705" t="s">
        <v>14</v>
      </c>
      <c r="S17" s="706">
        <f>F17</f>
        <v>100</v>
      </c>
      <c r="T17" s="705" t="s">
        <v>14</v>
      </c>
      <c r="U17" s="706">
        <f>H17</f>
        <v>100</v>
      </c>
      <c r="V17" s="705" t="s">
        <v>14</v>
      </c>
      <c r="W17" s="706">
        <f>J17</f>
        <v>100</v>
      </c>
      <c r="X17" s="1355"/>
      <c r="Y17" s="380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06"/>
      <c r="Q18" s="1352"/>
      <c r="R18" s="705"/>
      <c r="S18" s="706"/>
      <c r="T18" s="705"/>
      <c r="U18" s="706"/>
      <c r="V18" s="705"/>
      <c r="W18" s="706"/>
      <c r="X18" s="1355"/>
      <c r="Y18" s="380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06"/>
      <c r="Q19" s="1352" t="str">
        <f>B19</f>
        <v>公共配套设施</v>
      </c>
      <c r="R19" s="705" t="s">
        <v>14</v>
      </c>
      <c r="S19" s="706">
        <f>F19</f>
        <v>100</v>
      </c>
      <c r="T19" s="705" t="s">
        <v>14</v>
      </c>
      <c r="U19" s="706">
        <f>H19</f>
        <v>100</v>
      </c>
      <c r="V19" s="705" t="s">
        <v>14</v>
      </c>
      <c r="W19" s="706">
        <f>J19</f>
        <v>100</v>
      </c>
      <c r="X19" s="1355"/>
      <c r="Y19" s="380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06"/>
      <c r="Q20" s="1352"/>
      <c r="R20" s="705"/>
      <c r="S20" s="706"/>
      <c r="T20" s="705"/>
      <c r="U20" s="706"/>
      <c r="V20" s="705"/>
      <c r="W20" s="706"/>
      <c r="X20" s="1355"/>
      <c r="Y20" s="380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06"/>
      <c r="Q21" s="1352" t="str">
        <f>B21</f>
        <v>基础设施水平</v>
      </c>
      <c r="R21" s="705" t="s">
        <v>14</v>
      </c>
      <c r="S21" s="706">
        <f>F21</f>
        <v>100</v>
      </c>
      <c r="T21" s="705" t="s">
        <v>14</v>
      </c>
      <c r="U21" s="706">
        <f>H21</f>
        <v>100</v>
      </c>
      <c r="V21" s="705" t="s">
        <v>14</v>
      </c>
      <c r="W21" s="706">
        <f>J21</f>
        <v>100</v>
      </c>
      <c r="X21" s="1355"/>
      <c r="Y21" s="380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06"/>
      <c r="Q22" s="1352"/>
      <c r="R22" s="705"/>
      <c r="S22" s="706"/>
      <c r="T22" s="705"/>
      <c r="U22" s="706"/>
      <c r="V22" s="705"/>
      <c r="W22" s="706"/>
      <c r="X22" s="1355"/>
      <c r="Y22" s="380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06"/>
      <c r="Q23" s="1352" t="str">
        <f>B23</f>
        <v>环境质量</v>
      </c>
      <c r="R23" s="705" t="s">
        <v>14</v>
      </c>
      <c r="S23" s="706">
        <f>F23</f>
        <v>100</v>
      </c>
      <c r="T23" s="705" t="s">
        <v>14</v>
      </c>
      <c r="U23" s="706">
        <f>H23</f>
        <v>100</v>
      </c>
      <c r="V23" s="705" t="s">
        <v>14</v>
      </c>
      <c r="W23" s="706">
        <f>J23</f>
        <v>100</v>
      </c>
      <c r="X23" s="1355"/>
      <c r="Y23" s="380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06"/>
      <c r="Q24" s="1352"/>
      <c r="R24" s="705"/>
      <c r="S24" s="706"/>
      <c r="T24" s="705"/>
      <c r="U24" s="706"/>
      <c r="V24" s="705"/>
      <c r="W24" s="706"/>
      <c r="X24" s="1355"/>
      <c r="Y24" s="380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06"/>
      <c r="Q25" s="1352">
        <f>B25</f>
        <v>111</v>
      </c>
      <c r="R25" s="705" t="s">
        <v>14</v>
      </c>
      <c r="S25" s="706">
        <f>F25</f>
        <v>100</v>
      </c>
      <c r="T25" s="705" t="s">
        <v>14</v>
      </c>
      <c r="U25" s="706">
        <f>H25</f>
        <v>100</v>
      </c>
      <c r="V25" s="705" t="s">
        <v>14</v>
      </c>
      <c r="W25" s="706">
        <f>J25</f>
        <v>100</v>
      </c>
      <c r="X25" s="1355"/>
      <c r="Y25" s="380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06"/>
      <c r="Q26" s="1352">
        <f t="shared" ref="Q26:Q40" si="11">B26</f>
        <v>111</v>
      </c>
      <c r="R26" s="705" t="s">
        <v>14</v>
      </c>
      <c r="S26" s="706">
        <f>F26</f>
        <v>100</v>
      </c>
      <c r="T26" s="705" t="s">
        <v>14</v>
      </c>
      <c r="U26" s="706">
        <f>H26</f>
        <v>100</v>
      </c>
      <c r="V26" s="705" t="s">
        <v>14</v>
      </c>
      <c r="W26" s="706">
        <f>J26</f>
        <v>100</v>
      </c>
      <c r="X26" s="1355"/>
      <c r="Y26" s="380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06"/>
      <c r="Q27" s="1343">
        <f t="shared" si="11"/>
        <v>111</v>
      </c>
      <c r="R27" s="701" t="s">
        <v>14</v>
      </c>
      <c r="S27" s="702">
        <f>F27</f>
        <v>100</v>
      </c>
      <c r="T27" s="701" t="s">
        <v>14</v>
      </c>
      <c r="U27" s="702">
        <f>H27</f>
        <v>100</v>
      </c>
      <c r="V27" s="701" t="s">
        <v>14</v>
      </c>
      <c r="W27" s="702">
        <f>J27</f>
        <v>100</v>
      </c>
      <c r="X27" s="703"/>
      <c r="Y27" s="380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06"/>
      <c r="Q28" s="1352">
        <f t="shared" si="11"/>
        <v>111</v>
      </c>
      <c r="R28" s="705" t="s">
        <v>14</v>
      </c>
      <c r="S28" s="706">
        <f t="shared" ref="S28:S40" si="12">F28</f>
        <v>100</v>
      </c>
      <c r="T28" s="705" t="s">
        <v>14</v>
      </c>
      <c r="U28" s="706">
        <f t="shared" ref="U28:U40" si="13">H28</f>
        <v>100</v>
      </c>
      <c r="V28" s="705" t="s">
        <v>14</v>
      </c>
      <c r="W28" s="706">
        <f t="shared" ref="W28:W40" si="14">J28</f>
        <v>100</v>
      </c>
      <c r="X28" s="1355"/>
      <c r="Y28" s="380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87" t="s">
        <v>1696</v>
      </c>
      <c r="Q29" s="1352" t="str">
        <f t="shared" si="11"/>
        <v>建筑类型</v>
      </c>
      <c r="R29" s="705" t="s">
        <v>14</v>
      </c>
      <c r="S29" s="706">
        <f t="shared" si="12"/>
        <v>100</v>
      </c>
      <c r="T29" s="705" t="s">
        <v>14</v>
      </c>
      <c r="U29" s="706">
        <f t="shared" si="13"/>
        <v>100</v>
      </c>
      <c r="V29" s="705" t="s">
        <v>14</v>
      </c>
      <c r="W29" s="706">
        <f t="shared" si="14"/>
        <v>100</v>
      </c>
      <c r="X29" s="1355"/>
      <c r="Y29" s="381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10"/>
      <c r="Q30" s="707" t="str">
        <f t="shared" si="11"/>
        <v>项目建筑规模</v>
      </c>
      <c r="R30" s="708" t="s">
        <v>14</v>
      </c>
      <c r="S30" s="709" t="e">
        <f t="shared" si="12"/>
        <v>#N/A</v>
      </c>
      <c r="T30" s="708" t="s">
        <v>14</v>
      </c>
      <c r="U30" s="709" t="e">
        <f t="shared" si="13"/>
        <v>#N/A</v>
      </c>
      <c r="V30" s="708" t="s">
        <v>14</v>
      </c>
      <c r="W30" s="709" t="e">
        <f t="shared" si="14"/>
        <v>#N/A</v>
      </c>
      <c r="X30" s="710"/>
      <c r="Y30" s="381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10"/>
      <c r="Q31" s="1352" t="str">
        <f t="shared" si="11"/>
        <v>建筑结构</v>
      </c>
      <c r="R31" s="705" t="s">
        <v>14</v>
      </c>
      <c r="S31" s="706">
        <f t="shared" si="12"/>
        <v>100</v>
      </c>
      <c r="T31" s="705" t="s">
        <v>14</v>
      </c>
      <c r="U31" s="706">
        <f t="shared" si="13"/>
        <v>100</v>
      </c>
      <c r="V31" s="705" t="s">
        <v>14</v>
      </c>
      <c r="W31" s="706">
        <f t="shared" si="14"/>
        <v>100</v>
      </c>
      <c r="X31" s="1355"/>
      <c r="Y31" s="381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10"/>
      <c r="Q32" s="1352" t="str">
        <f t="shared" si="11"/>
        <v>公共部分装修</v>
      </c>
      <c r="R32" s="705" t="s">
        <v>14</v>
      </c>
      <c r="S32" s="706">
        <f t="shared" si="12"/>
        <v>100</v>
      </c>
      <c r="T32" s="705" t="s">
        <v>14</v>
      </c>
      <c r="U32" s="706">
        <f t="shared" si="13"/>
        <v>100</v>
      </c>
      <c r="V32" s="705" t="s">
        <v>14</v>
      </c>
      <c r="W32" s="706">
        <f t="shared" si="14"/>
        <v>100</v>
      </c>
      <c r="X32" s="1355"/>
      <c r="Y32" s="381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10"/>
      <c r="Q33" s="1352" t="str">
        <f t="shared" si="11"/>
        <v>成新度</v>
      </c>
      <c r="R33" s="705" t="s">
        <v>14</v>
      </c>
      <c r="S33" s="706" t="e">
        <f t="shared" si="12"/>
        <v>#N/A</v>
      </c>
      <c r="T33" s="705" t="s">
        <v>14</v>
      </c>
      <c r="U33" s="706" t="e">
        <f t="shared" si="13"/>
        <v>#N/A</v>
      </c>
      <c r="V33" s="705" t="s">
        <v>14</v>
      </c>
      <c r="W33" s="706" t="e">
        <f t="shared" si="14"/>
        <v>#N/A</v>
      </c>
      <c r="X33" s="1355"/>
      <c r="Y33" s="381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10"/>
      <c r="Q34" s="1343" t="str">
        <f t="shared" si="11"/>
        <v>物业管理</v>
      </c>
      <c r="R34" s="701" t="s">
        <v>14</v>
      </c>
      <c r="S34" s="702">
        <f t="shared" si="12"/>
        <v>100</v>
      </c>
      <c r="T34" s="701" t="s">
        <v>14</v>
      </c>
      <c r="U34" s="702">
        <f t="shared" si="13"/>
        <v>100</v>
      </c>
      <c r="V34" s="701" t="s">
        <v>14</v>
      </c>
      <c r="W34" s="702">
        <f t="shared" si="14"/>
        <v>100</v>
      </c>
      <c r="X34" s="703"/>
      <c r="Y34" s="381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10" t="s">
        <v>1696</v>
      </c>
      <c r="Q35" s="1352" t="str">
        <f t="shared" si="11"/>
        <v>市政基础设施</v>
      </c>
      <c r="R35" s="705" t="s">
        <v>14</v>
      </c>
      <c r="S35" s="706">
        <f t="shared" si="12"/>
        <v>100</v>
      </c>
      <c r="T35" s="705" t="s">
        <v>14</v>
      </c>
      <c r="U35" s="706">
        <f t="shared" si="13"/>
        <v>100</v>
      </c>
      <c r="V35" s="705" t="s">
        <v>14</v>
      </c>
      <c r="W35" s="706">
        <f t="shared" si="14"/>
        <v>100</v>
      </c>
      <c r="X35" s="1355"/>
      <c r="Y35" s="381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10"/>
      <c r="Q36" s="1352" t="str">
        <f t="shared" si="11"/>
        <v>内部装修</v>
      </c>
      <c r="R36" s="705" t="s">
        <v>14</v>
      </c>
      <c r="S36" s="706">
        <f t="shared" si="12"/>
        <v>100</v>
      </c>
      <c r="T36" s="705" t="s">
        <v>14</v>
      </c>
      <c r="U36" s="706">
        <f t="shared" si="13"/>
        <v>100</v>
      </c>
      <c r="V36" s="705" t="s">
        <v>14</v>
      </c>
      <c r="W36" s="706">
        <f t="shared" si="14"/>
        <v>100</v>
      </c>
      <c r="X36" s="1355"/>
      <c r="Y36" s="381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10"/>
      <c r="Q37" s="1352" t="str">
        <f t="shared" si="11"/>
        <v>内部装修状况</v>
      </c>
      <c r="R37" s="705" t="s">
        <v>14</v>
      </c>
      <c r="S37" s="706">
        <f t="shared" si="12"/>
        <v>100</v>
      </c>
      <c r="T37" s="705" t="s">
        <v>14</v>
      </c>
      <c r="U37" s="706">
        <f t="shared" si="13"/>
        <v>100</v>
      </c>
      <c r="V37" s="705" t="s">
        <v>14</v>
      </c>
      <c r="W37" s="706">
        <f t="shared" si="14"/>
        <v>100</v>
      </c>
      <c r="X37" s="1355"/>
      <c r="Y37" s="381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10"/>
      <c r="Q38" s="707">
        <f t="shared" si="11"/>
        <v>111</v>
      </c>
      <c r="R38" s="708" t="s">
        <v>14</v>
      </c>
      <c r="S38" s="709">
        <f t="shared" si="12"/>
        <v>100</v>
      </c>
      <c r="T38" s="708" t="s">
        <v>14</v>
      </c>
      <c r="U38" s="709">
        <f t="shared" si="13"/>
        <v>100</v>
      </c>
      <c r="V38" s="708" t="s">
        <v>14</v>
      </c>
      <c r="W38" s="709">
        <f t="shared" si="14"/>
        <v>100</v>
      </c>
      <c r="X38" s="710"/>
      <c r="Y38" s="381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10"/>
      <c r="Q39" s="1352">
        <f t="shared" si="11"/>
        <v>111</v>
      </c>
      <c r="R39" s="705" t="s">
        <v>14</v>
      </c>
      <c r="S39" s="706">
        <f t="shared" si="12"/>
        <v>100</v>
      </c>
      <c r="T39" s="705" t="s">
        <v>14</v>
      </c>
      <c r="U39" s="706">
        <f t="shared" si="13"/>
        <v>100</v>
      </c>
      <c r="V39" s="705" t="s">
        <v>14</v>
      </c>
      <c r="W39" s="706">
        <f t="shared" si="14"/>
        <v>100</v>
      </c>
      <c r="X39" s="1355"/>
      <c r="Y39" s="381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11"/>
      <c r="Q40" s="1352">
        <f t="shared" si="11"/>
        <v>111</v>
      </c>
      <c r="R40" s="705" t="s">
        <v>14</v>
      </c>
      <c r="S40" s="706">
        <f t="shared" si="12"/>
        <v>100</v>
      </c>
      <c r="T40" s="705" t="s">
        <v>14</v>
      </c>
      <c r="U40" s="706">
        <f t="shared" si="13"/>
        <v>100</v>
      </c>
      <c r="V40" s="705" t="s">
        <v>14</v>
      </c>
      <c r="W40" s="706">
        <f t="shared" si="14"/>
        <v>100</v>
      </c>
      <c r="X40" s="1355"/>
      <c r="Y40" s="381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98" t="str">
        <f>A41</f>
        <v>成交单价（元/平方米）</v>
      </c>
      <c r="Q41" s="3798"/>
      <c r="R41" s="3799">
        <f>E41</f>
        <v>0</v>
      </c>
      <c r="S41" s="3799"/>
      <c r="T41" s="3799">
        <f>G41</f>
        <v>0</v>
      </c>
      <c r="U41" s="3799"/>
      <c r="V41" s="3799">
        <f>I41</f>
        <v>0</v>
      </c>
      <c r="W41" s="379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98" t="str">
        <f>A42</f>
        <v>比较价值（元/平方米）</v>
      </c>
      <c r="Q42" s="3798"/>
      <c r="R42" s="3799" t="e">
        <f>IF(F1="售价",ROUND(PRODUCT(R41,AA7:AA40),0),ROUND(PRODUCT(R41,AA7:AA40),1))</f>
        <v>#DIV/0!</v>
      </c>
      <c r="S42" s="3799"/>
      <c r="T42" s="3799" t="e">
        <f>IF(F1="售价",ROUND(PRODUCT(T41,AB7:AB40),0),ROUND(PRODUCT(T41,AB7:AB40),1))</f>
        <v>#DIV/0!</v>
      </c>
      <c r="U42" s="3799"/>
      <c r="V42" s="3799" t="e">
        <f>IF(F1="售价",ROUND(PRODUCT(V41,AC7:AC40),0),ROUND(PRODUCT(V41,AC7:AC40),1))</f>
        <v>#DIV/0!</v>
      </c>
      <c r="W42" s="379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800" t="str">
        <f>A43</f>
        <v>估价对象XX用房的比较价值（楼面单价，元/平方米）</v>
      </c>
      <c r="Q43" s="3801"/>
      <c r="R43" s="3802" t="e">
        <f>IF(F1="售价",ROUND(IF(D42="简单平均",AVERAGE(R42:V42),R42*F42+T42*H42+V42*J42),0),ROUND(IF(D42="简单平均",AVERAGE(R42:V42),R42*F42+T42*H42+V42*J42),1))</f>
        <v>#DIV/0!</v>
      </c>
      <c r="S43" s="3802"/>
      <c r="T43" s="3802"/>
      <c r="U43" s="3802"/>
      <c r="V43" s="3802"/>
      <c r="W43" s="3802"/>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0"/>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1769</v>
      </c>
      <c r="B4" s="356"/>
      <c r="C4" s="3817" t="s">
        <v>1770</v>
      </c>
      <c r="D4" s="3818"/>
      <c r="E4" s="3819" t="s">
        <v>1771</v>
      </c>
      <c r="F4" s="3820"/>
      <c r="G4" s="3817" t="s">
        <v>1772</v>
      </c>
      <c r="H4" s="3818"/>
      <c r="I4" s="3817" t="s">
        <v>1773</v>
      </c>
      <c r="J4" s="3818"/>
      <c r="K4" s="559" t="s">
        <v>1774</v>
      </c>
      <c r="L4" s="2712"/>
      <c r="M4" s="2713"/>
      <c r="N4" s="2713"/>
      <c r="O4" s="2713"/>
      <c r="P4" s="3821" t="s">
        <v>1775</v>
      </c>
      <c r="Q4" s="3822"/>
      <c r="R4" s="3827" t="s">
        <v>1771</v>
      </c>
      <c r="S4" s="3828"/>
      <c r="T4" s="3827" t="s">
        <v>1772</v>
      </c>
      <c r="U4" s="3828"/>
      <c r="V4" s="3812" t="s">
        <v>1773</v>
      </c>
      <c r="W4" s="3812"/>
      <c r="X4" s="1355"/>
      <c r="Y4" s="3827" t="s">
        <v>1775</v>
      </c>
      <c r="Z4" s="3828"/>
      <c r="AA4" s="3814" t="s">
        <v>1771</v>
      </c>
      <c r="AB4" s="3815" t="s">
        <v>1772</v>
      </c>
      <c r="AC4" s="3814" t="s">
        <v>1773</v>
      </c>
    </row>
    <row r="5" spans="1:29" ht="15">
      <c r="A5" s="358"/>
      <c r="B5" s="359"/>
      <c r="C5" s="3870" t="s">
        <v>1673</v>
      </c>
      <c r="D5" s="3841"/>
      <c r="E5" s="3871" t="s">
        <v>1674</v>
      </c>
      <c r="F5" s="3836"/>
      <c r="G5" s="3870" t="s">
        <v>1675</v>
      </c>
      <c r="H5" s="3841"/>
      <c r="I5" s="3870" t="s">
        <v>1676</v>
      </c>
      <c r="J5" s="3841"/>
      <c r="K5" s="559"/>
      <c r="L5" s="2712"/>
      <c r="M5" s="2713"/>
      <c r="N5" s="2713"/>
      <c r="O5" s="2713"/>
      <c r="P5" s="3823"/>
      <c r="Q5" s="3824"/>
      <c r="R5" s="3829"/>
      <c r="S5" s="3830"/>
      <c r="T5" s="3829"/>
      <c r="U5" s="3830"/>
      <c r="V5" s="3812"/>
      <c r="W5" s="3812"/>
      <c r="X5" s="1355"/>
      <c r="Y5" s="3829"/>
      <c r="Z5" s="3830"/>
      <c r="AA5" s="3815"/>
      <c r="AB5" s="3815"/>
      <c r="AC5" s="3815"/>
    </row>
    <row r="6" spans="1:29" ht="15.75" thickBot="1">
      <c r="A6" s="360"/>
      <c r="B6" s="361"/>
      <c r="C6" s="3833" t="s">
        <v>1677</v>
      </c>
      <c r="D6" s="3834"/>
      <c r="E6" s="3842" t="s">
        <v>1677</v>
      </c>
      <c r="F6" s="3843"/>
      <c r="G6" s="3833" t="s">
        <v>1677</v>
      </c>
      <c r="H6" s="3834"/>
      <c r="I6" s="3833" t="s">
        <v>1677</v>
      </c>
      <c r="J6" s="3834"/>
      <c r="K6" s="559" t="s">
        <v>1678</v>
      </c>
      <c r="L6" s="2712"/>
      <c r="M6" s="2713"/>
      <c r="N6" s="2713"/>
      <c r="O6" s="2713"/>
      <c r="P6" s="3825"/>
      <c r="Q6" s="3826"/>
      <c r="R6" s="3829"/>
      <c r="S6" s="3830"/>
      <c r="T6" s="3831"/>
      <c r="U6" s="3832"/>
      <c r="V6" s="3812"/>
      <c r="W6" s="3812"/>
      <c r="X6" s="1355"/>
      <c r="Y6" s="3831"/>
      <c r="Z6" s="3832"/>
      <c r="AA6" s="3816"/>
      <c r="AB6" s="3816"/>
      <c r="AC6" s="3816"/>
    </row>
    <row r="7" spans="1:29" s="108" customFormat="1" ht="15.75" thickBot="1">
      <c r="A7" s="362" t="s">
        <v>1679</v>
      </c>
      <c r="B7" s="363"/>
      <c r="C7" s="364">
        <f>'数据-取费表'!B2</f>
        <v>45426</v>
      </c>
      <c r="D7" s="365">
        <v>100</v>
      </c>
      <c r="E7" s="366"/>
      <c r="F7" s="367">
        <f>SUMIF(48:48,YEAR(E7)&amp;"-"&amp;MONTH(E7),49:49)</f>
        <v>0</v>
      </c>
      <c r="G7" s="366"/>
      <c r="H7" s="365">
        <f>SUMIF(48:48,YEAR(G7)&amp;"-"&amp;MONTH(G7),49:49)</f>
        <v>0</v>
      </c>
      <c r="I7" s="366"/>
      <c r="J7" s="365">
        <f>SUMIF(48:48,YEAR(I7)&amp;"-"&amp;MONTH(I7),49:49)</f>
        <v>0</v>
      </c>
      <c r="K7" s="560"/>
      <c r="L7" s="2714"/>
      <c r="M7" s="2715"/>
      <c r="N7" s="2715"/>
      <c r="O7" s="2715"/>
      <c r="P7" s="3837" t="s">
        <v>1680</v>
      </c>
      <c r="Q7" s="3839"/>
      <c r="R7" s="701" t="s">
        <v>14</v>
      </c>
      <c r="S7" s="702">
        <f t="shared" ref="S7:S14" si="0">F7</f>
        <v>0</v>
      </c>
      <c r="T7" s="701" t="s">
        <v>14</v>
      </c>
      <c r="U7" s="702">
        <f t="shared" ref="U7:U14" si="1">H7</f>
        <v>0</v>
      </c>
      <c r="V7" s="701" t="s">
        <v>14</v>
      </c>
      <c r="W7" s="702">
        <f t="shared" ref="W7:W14" si="2">J7</f>
        <v>0</v>
      </c>
      <c r="X7" s="703"/>
      <c r="Y7" s="3837" t="s">
        <v>1680</v>
      </c>
      <c r="Z7" s="383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837" t="s">
        <v>1683</v>
      </c>
      <c r="Q8" s="3838"/>
      <c r="R8" s="701" t="s">
        <v>14</v>
      </c>
      <c r="S8" s="702">
        <f t="shared" si="0"/>
        <v>100</v>
      </c>
      <c r="T8" s="701" t="s">
        <v>14</v>
      </c>
      <c r="U8" s="702">
        <f t="shared" si="1"/>
        <v>100</v>
      </c>
      <c r="V8" s="701" t="s">
        <v>14</v>
      </c>
      <c r="W8" s="702">
        <f t="shared" si="2"/>
        <v>100</v>
      </c>
      <c r="X8" s="703"/>
      <c r="Y8" s="3837" t="s">
        <v>1683</v>
      </c>
      <c r="Z8" s="383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98" t="s">
        <v>1686</v>
      </c>
      <c r="Q9" s="1343" t="str">
        <f t="shared" ref="Q9:Q14" si="6">B9</f>
        <v>用途</v>
      </c>
      <c r="R9" s="701" t="s">
        <v>14</v>
      </c>
      <c r="S9" s="702">
        <f t="shared" si="0"/>
        <v>100</v>
      </c>
      <c r="T9" s="701" t="s">
        <v>14</v>
      </c>
      <c r="U9" s="702">
        <f t="shared" si="1"/>
        <v>100</v>
      </c>
      <c r="V9" s="701" t="s">
        <v>14</v>
      </c>
      <c r="W9" s="702">
        <f t="shared" si="2"/>
        <v>100</v>
      </c>
      <c r="X9" s="703"/>
      <c r="Y9" s="3702" t="s">
        <v>1687</v>
      </c>
      <c r="Z9" s="52" t="str">
        <f t="shared" ref="Z9:Z14" si="7">Q9</f>
        <v>用途</v>
      </c>
      <c r="AA9" s="704">
        <f t="shared" si="3"/>
        <v>1</v>
      </c>
      <c r="AB9" s="704">
        <f t="shared" si="4"/>
        <v>1</v>
      </c>
      <c r="AC9" s="704">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98"/>
      <c r="Q10" s="1343" t="str">
        <f t="shared" si="6"/>
        <v>土地使用年限（年）</v>
      </c>
      <c r="R10" s="701" t="s">
        <v>14</v>
      </c>
      <c r="S10" s="702">
        <f t="shared" si="0"/>
        <v>100</v>
      </c>
      <c r="T10" s="701" t="s">
        <v>14</v>
      </c>
      <c r="U10" s="702">
        <f t="shared" si="1"/>
        <v>100</v>
      </c>
      <c r="V10" s="701" t="s">
        <v>14</v>
      </c>
      <c r="W10" s="702">
        <f t="shared" si="2"/>
        <v>100</v>
      </c>
      <c r="X10" s="703"/>
      <c r="Y10" s="370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98"/>
      <c r="Q11" s="1343">
        <f t="shared" si="6"/>
        <v>111</v>
      </c>
      <c r="R11" s="701" t="s">
        <v>14</v>
      </c>
      <c r="S11" s="702">
        <f t="shared" si="0"/>
        <v>100</v>
      </c>
      <c r="T11" s="701" t="s">
        <v>14</v>
      </c>
      <c r="U11" s="702">
        <f t="shared" si="1"/>
        <v>100</v>
      </c>
      <c r="V11" s="701" t="s">
        <v>14</v>
      </c>
      <c r="W11" s="702">
        <f t="shared" si="2"/>
        <v>100</v>
      </c>
      <c r="X11" s="703"/>
      <c r="Y11" s="370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98"/>
      <c r="Q12" s="1343">
        <f t="shared" si="6"/>
        <v>111</v>
      </c>
      <c r="R12" s="701" t="s">
        <v>14</v>
      </c>
      <c r="S12" s="702">
        <f t="shared" si="0"/>
        <v>100</v>
      </c>
      <c r="T12" s="701" t="s">
        <v>14</v>
      </c>
      <c r="U12" s="702">
        <f t="shared" si="1"/>
        <v>100</v>
      </c>
      <c r="V12" s="701" t="s">
        <v>14</v>
      </c>
      <c r="W12" s="702">
        <f t="shared" si="2"/>
        <v>100</v>
      </c>
      <c r="X12" s="703"/>
      <c r="Y12" s="370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98"/>
      <c r="Q13" s="1343">
        <f t="shared" si="6"/>
        <v>111</v>
      </c>
      <c r="R13" s="701" t="s">
        <v>14</v>
      </c>
      <c r="S13" s="702">
        <f t="shared" si="0"/>
        <v>100</v>
      </c>
      <c r="T13" s="701" t="s">
        <v>14</v>
      </c>
      <c r="U13" s="702">
        <f t="shared" si="1"/>
        <v>100</v>
      </c>
      <c r="V13" s="701" t="s">
        <v>14</v>
      </c>
      <c r="W13" s="702">
        <f t="shared" si="2"/>
        <v>100</v>
      </c>
      <c r="X13" s="703"/>
      <c r="Y13" s="3702"/>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805" t="s">
        <v>1691</v>
      </c>
      <c r="Q14" s="1352" t="str">
        <f t="shared" si="6"/>
        <v>交通便捷度</v>
      </c>
      <c r="R14" s="705" t="s">
        <v>14</v>
      </c>
      <c r="S14" s="706">
        <f t="shared" si="0"/>
        <v>100</v>
      </c>
      <c r="T14" s="705" t="s">
        <v>14</v>
      </c>
      <c r="U14" s="706">
        <f t="shared" si="1"/>
        <v>100</v>
      </c>
      <c r="V14" s="705" t="s">
        <v>14</v>
      </c>
      <c r="W14" s="706">
        <f t="shared" si="2"/>
        <v>100</v>
      </c>
      <c r="X14" s="1355"/>
      <c r="Y14" s="380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806"/>
      <c r="Q15" s="1352"/>
      <c r="R15" s="705"/>
      <c r="S15" s="706"/>
      <c r="T15" s="705"/>
      <c r="U15" s="706"/>
      <c r="V15" s="705"/>
      <c r="W15" s="706"/>
      <c r="X15" s="1355"/>
      <c r="Y15" s="3806"/>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806"/>
      <c r="Q16" s="1352" t="str">
        <f>B16</f>
        <v>公共配套设施</v>
      </c>
      <c r="R16" s="705" t="s">
        <v>14</v>
      </c>
      <c r="S16" s="706">
        <f>F16</f>
        <v>100</v>
      </c>
      <c r="T16" s="705" t="s">
        <v>14</v>
      </c>
      <c r="U16" s="706">
        <f>H16</f>
        <v>100</v>
      </c>
      <c r="V16" s="705" t="s">
        <v>14</v>
      </c>
      <c r="W16" s="706">
        <f>J16</f>
        <v>100</v>
      </c>
      <c r="X16" s="1355"/>
      <c r="Y16" s="380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806"/>
      <c r="Q17" s="1352"/>
      <c r="R17" s="705"/>
      <c r="S17" s="706"/>
      <c r="T17" s="705"/>
      <c r="U17" s="706"/>
      <c r="V17" s="705"/>
      <c r="W17" s="706"/>
      <c r="X17" s="1355"/>
      <c r="Y17" s="3806"/>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806"/>
      <c r="Q18" s="1352" t="str">
        <f>B18</f>
        <v>基础设施水平</v>
      </c>
      <c r="R18" s="705" t="s">
        <v>14</v>
      </c>
      <c r="S18" s="706">
        <f>F18</f>
        <v>100</v>
      </c>
      <c r="T18" s="705" t="s">
        <v>14</v>
      </c>
      <c r="U18" s="706">
        <f>H18</f>
        <v>100</v>
      </c>
      <c r="V18" s="705" t="s">
        <v>14</v>
      </c>
      <c r="W18" s="706">
        <f>J18</f>
        <v>100</v>
      </c>
      <c r="X18" s="1355"/>
      <c r="Y18" s="380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806"/>
      <c r="Q19" s="1352"/>
      <c r="R19" s="705"/>
      <c r="S19" s="706"/>
      <c r="T19" s="705"/>
      <c r="U19" s="706"/>
      <c r="V19" s="705"/>
      <c r="W19" s="706"/>
      <c r="X19" s="1355"/>
      <c r="Y19" s="3806"/>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806"/>
      <c r="Q20" s="1352" t="str">
        <f>B20</f>
        <v>自然及人文环境</v>
      </c>
      <c r="R20" s="705" t="s">
        <v>14</v>
      </c>
      <c r="S20" s="706">
        <f>F20</f>
        <v>100</v>
      </c>
      <c r="T20" s="705" t="s">
        <v>14</v>
      </c>
      <c r="U20" s="706">
        <f>H20</f>
        <v>100</v>
      </c>
      <c r="V20" s="705" t="s">
        <v>14</v>
      </c>
      <c r="W20" s="706">
        <f>J20</f>
        <v>100</v>
      </c>
      <c r="X20" s="1355"/>
      <c r="Y20" s="380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806"/>
      <c r="Q21" s="1352"/>
      <c r="R21" s="705"/>
      <c r="S21" s="706"/>
      <c r="T21" s="705"/>
      <c r="U21" s="706"/>
      <c r="V21" s="705"/>
      <c r="W21" s="706"/>
      <c r="X21" s="1355"/>
      <c r="Y21" s="380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806"/>
      <c r="Q22" s="1352" t="str">
        <f>B22</f>
        <v>楼层</v>
      </c>
      <c r="R22" s="705" t="s">
        <v>14</v>
      </c>
      <c r="S22" s="706">
        <f>F22</f>
        <v>100</v>
      </c>
      <c r="T22" s="705" t="s">
        <v>14</v>
      </c>
      <c r="U22" s="706">
        <f>H22</f>
        <v>100</v>
      </c>
      <c r="V22" s="705" t="s">
        <v>14</v>
      </c>
      <c r="W22" s="706">
        <f>J22</f>
        <v>100</v>
      </c>
      <c r="X22" s="1355"/>
      <c r="Y22" s="380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806"/>
      <c r="Q23" s="1352">
        <f>B23</f>
        <v>111</v>
      </c>
      <c r="R23" s="705" t="s">
        <v>14</v>
      </c>
      <c r="S23" s="706">
        <f>F23</f>
        <v>100</v>
      </c>
      <c r="T23" s="705" t="s">
        <v>14</v>
      </c>
      <c r="U23" s="706">
        <f>H23</f>
        <v>100</v>
      </c>
      <c r="V23" s="705" t="s">
        <v>14</v>
      </c>
      <c r="W23" s="706">
        <f>J23</f>
        <v>100</v>
      </c>
      <c r="X23" s="1355"/>
      <c r="Y23" s="380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806"/>
      <c r="Q24" s="1352">
        <f t="shared" ref="Q24:Q36" si="11">B24</f>
        <v>111</v>
      </c>
      <c r="R24" s="705" t="s">
        <v>14</v>
      </c>
      <c r="S24" s="706">
        <f>F24</f>
        <v>100</v>
      </c>
      <c r="T24" s="705" t="s">
        <v>14</v>
      </c>
      <c r="U24" s="706">
        <f>H24</f>
        <v>100</v>
      </c>
      <c r="V24" s="705" t="s">
        <v>14</v>
      </c>
      <c r="W24" s="706">
        <f>J24</f>
        <v>100</v>
      </c>
      <c r="X24" s="1355"/>
      <c r="Y24" s="380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806"/>
      <c r="Q25" s="1343">
        <f t="shared" si="11"/>
        <v>111</v>
      </c>
      <c r="R25" s="701" t="s">
        <v>14</v>
      </c>
      <c r="S25" s="702">
        <f>F25</f>
        <v>100</v>
      </c>
      <c r="T25" s="701" t="s">
        <v>14</v>
      </c>
      <c r="U25" s="702">
        <f>H25</f>
        <v>100</v>
      </c>
      <c r="V25" s="701" t="s">
        <v>14</v>
      </c>
      <c r="W25" s="702">
        <f>J25</f>
        <v>100</v>
      </c>
      <c r="X25" s="703"/>
      <c r="Y25" s="380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88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1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810"/>
      <c r="Q27" s="707" t="str">
        <f t="shared" si="11"/>
        <v>项目停车位配比</v>
      </c>
      <c r="R27" s="708" t="s">
        <v>14</v>
      </c>
      <c r="S27" s="709">
        <f t="shared" si="12"/>
        <v>100</v>
      </c>
      <c r="T27" s="708" t="s">
        <v>14</v>
      </c>
      <c r="U27" s="709">
        <f t="shared" si="13"/>
        <v>100</v>
      </c>
      <c r="V27" s="708" t="s">
        <v>14</v>
      </c>
      <c r="W27" s="709">
        <f t="shared" si="14"/>
        <v>100</v>
      </c>
      <c r="X27" s="710"/>
      <c r="Y27" s="381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810"/>
      <c r="Q28" s="1352" t="str">
        <f t="shared" si="11"/>
        <v>公共部分装修</v>
      </c>
      <c r="R28" s="705" t="s">
        <v>14</v>
      </c>
      <c r="S28" s="706">
        <f t="shared" si="12"/>
        <v>100</v>
      </c>
      <c r="T28" s="705" t="s">
        <v>14</v>
      </c>
      <c r="U28" s="706">
        <f t="shared" si="13"/>
        <v>100</v>
      </c>
      <c r="V28" s="705" t="s">
        <v>14</v>
      </c>
      <c r="W28" s="706">
        <f t="shared" si="14"/>
        <v>100</v>
      </c>
      <c r="X28" s="1355"/>
      <c r="Y28" s="381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810"/>
      <c r="Q29" s="1352" t="str">
        <f t="shared" si="11"/>
        <v>成新率</v>
      </c>
      <c r="R29" s="705" t="s">
        <v>14</v>
      </c>
      <c r="S29" s="706" t="e">
        <f t="shared" si="12"/>
        <v>#N/A</v>
      </c>
      <c r="T29" s="705" t="s">
        <v>14</v>
      </c>
      <c r="U29" s="706" t="e">
        <f t="shared" si="13"/>
        <v>#N/A</v>
      </c>
      <c r="V29" s="705" t="s">
        <v>14</v>
      </c>
      <c r="W29" s="706" t="e">
        <f t="shared" si="14"/>
        <v>#N/A</v>
      </c>
      <c r="X29" s="1355"/>
      <c r="Y29" s="381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810"/>
      <c r="Q30" s="1352" t="str">
        <f t="shared" si="11"/>
        <v>物业等级</v>
      </c>
      <c r="R30" s="705" t="s">
        <v>14</v>
      </c>
      <c r="S30" s="706">
        <f t="shared" si="12"/>
        <v>100</v>
      </c>
      <c r="T30" s="705" t="s">
        <v>14</v>
      </c>
      <c r="U30" s="706">
        <f t="shared" si="13"/>
        <v>100</v>
      </c>
      <c r="V30" s="705" t="s">
        <v>14</v>
      </c>
      <c r="W30" s="706">
        <f t="shared" si="14"/>
        <v>100</v>
      </c>
      <c r="X30" s="1355"/>
      <c r="Y30" s="381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810"/>
      <c r="Q31" s="1343" t="str">
        <f t="shared" si="11"/>
        <v>停车位面积</v>
      </c>
      <c r="R31" s="701" t="s">
        <v>14</v>
      </c>
      <c r="S31" s="702" t="e">
        <f t="shared" si="12"/>
        <v>#N/A</v>
      </c>
      <c r="T31" s="701" t="s">
        <v>14</v>
      </c>
      <c r="U31" s="702" t="e">
        <f t="shared" si="13"/>
        <v>#N/A</v>
      </c>
      <c r="V31" s="701" t="s">
        <v>14</v>
      </c>
      <c r="W31" s="702" t="e">
        <f t="shared" si="14"/>
        <v>#N/A</v>
      </c>
      <c r="X31" s="703"/>
      <c r="Y31" s="381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810" t="s">
        <v>1696</v>
      </c>
      <c r="Q32" s="1352" t="str">
        <f t="shared" si="11"/>
        <v>车位类型</v>
      </c>
      <c r="R32" s="705" t="s">
        <v>14</v>
      </c>
      <c r="S32" s="706">
        <f t="shared" si="12"/>
        <v>100</v>
      </c>
      <c r="T32" s="705" t="s">
        <v>14</v>
      </c>
      <c r="U32" s="706">
        <f t="shared" si="13"/>
        <v>100</v>
      </c>
      <c r="V32" s="705" t="s">
        <v>14</v>
      </c>
      <c r="W32" s="706">
        <f t="shared" si="14"/>
        <v>100</v>
      </c>
      <c r="X32" s="1355"/>
      <c r="Y32" s="381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810"/>
      <c r="Q33" s="1352" t="str">
        <f t="shared" si="11"/>
        <v>是否直接入户</v>
      </c>
      <c r="R33" s="705" t="s">
        <v>14</v>
      </c>
      <c r="S33" s="706">
        <f t="shared" si="12"/>
        <v>100</v>
      </c>
      <c r="T33" s="705" t="s">
        <v>14</v>
      </c>
      <c r="U33" s="706">
        <f t="shared" si="13"/>
        <v>100</v>
      </c>
      <c r="V33" s="705" t="s">
        <v>14</v>
      </c>
      <c r="W33" s="706">
        <f t="shared" si="14"/>
        <v>100</v>
      </c>
      <c r="X33" s="1355"/>
      <c r="Y33" s="381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810"/>
      <c r="Q34" s="1352">
        <f t="shared" si="11"/>
        <v>111</v>
      </c>
      <c r="R34" s="705" t="s">
        <v>14</v>
      </c>
      <c r="S34" s="706">
        <f t="shared" si="12"/>
        <v>100</v>
      </c>
      <c r="T34" s="705" t="s">
        <v>14</v>
      </c>
      <c r="U34" s="706">
        <f t="shared" si="13"/>
        <v>100</v>
      </c>
      <c r="V34" s="705" t="s">
        <v>14</v>
      </c>
      <c r="W34" s="706">
        <f t="shared" si="14"/>
        <v>100</v>
      </c>
      <c r="X34" s="1355"/>
      <c r="Y34" s="381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810"/>
      <c r="Q35" s="707">
        <f t="shared" si="11"/>
        <v>111</v>
      </c>
      <c r="R35" s="708" t="s">
        <v>14</v>
      </c>
      <c r="S35" s="709">
        <f t="shared" si="12"/>
        <v>100</v>
      </c>
      <c r="T35" s="708" t="s">
        <v>14</v>
      </c>
      <c r="U35" s="709">
        <f t="shared" si="13"/>
        <v>100</v>
      </c>
      <c r="V35" s="708" t="s">
        <v>14</v>
      </c>
      <c r="W35" s="709">
        <f t="shared" si="14"/>
        <v>100</v>
      </c>
      <c r="X35" s="710"/>
      <c r="Y35" s="381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810"/>
      <c r="Q36" s="1352">
        <f t="shared" si="11"/>
        <v>111</v>
      </c>
      <c r="R36" s="705" t="s">
        <v>14</v>
      </c>
      <c r="S36" s="706">
        <f t="shared" si="12"/>
        <v>100</v>
      </c>
      <c r="T36" s="705" t="s">
        <v>14</v>
      </c>
      <c r="U36" s="706">
        <f t="shared" si="13"/>
        <v>100</v>
      </c>
      <c r="V36" s="705" t="s">
        <v>14</v>
      </c>
      <c r="W36" s="706">
        <f t="shared" si="14"/>
        <v>100</v>
      </c>
      <c r="X36" s="1355"/>
      <c r="Y36" s="3810"/>
      <c r="Z36" s="1356">
        <f t="shared" si="15"/>
        <v>111</v>
      </c>
      <c r="AA36" s="1353">
        <f t="shared" si="3"/>
        <v>1</v>
      </c>
      <c r="AB36" s="1353">
        <f t="shared" si="4"/>
        <v>1</v>
      </c>
      <c r="AC36" s="1353">
        <f t="shared" si="5"/>
        <v>1</v>
      </c>
    </row>
    <row r="37" spans="1:29" ht="15">
      <c r="A37" s="430" t="s">
        <v>1844</v>
      </c>
      <c r="B37" s="1973" t="s">
        <v>3355</v>
      </c>
      <c r="C37" s="1154" t="s">
        <v>0</v>
      </c>
      <c r="D37" s="1155"/>
      <c r="E37" s="1156"/>
      <c r="F37" s="1157"/>
      <c r="G37" s="1158"/>
      <c r="H37" s="1159"/>
      <c r="I37" s="1156"/>
      <c r="J37" s="1159"/>
      <c r="K37" s="568"/>
      <c r="L37" s="2721"/>
      <c r="M37" s="2722"/>
      <c r="N37" s="2713"/>
      <c r="O37" s="2722"/>
      <c r="P37" s="3798" t="str">
        <f>A37</f>
        <v>成交单价</v>
      </c>
      <c r="Q37" s="3798"/>
      <c r="R37" s="3799">
        <f>E37</f>
        <v>0</v>
      </c>
      <c r="S37" s="3799"/>
      <c r="T37" s="3799">
        <f>G37</f>
        <v>0</v>
      </c>
      <c r="U37" s="3799"/>
      <c r="V37" s="3799">
        <f>I37</f>
        <v>0</v>
      </c>
      <c r="W37" s="379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1"/>
      <c r="M38" s="2722"/>
      <c r="N38" s="2722"/>
      <c r="O38" s="2722"/>
      <c r="P38" s="3798" t="str">
        <f>A38</f>
        <v>比较价值（元/平方米）</v>
      </c>
      <c r="Q38" s="3798"/>
      <c r="R38" s="3799" t="e">
        <f>IF(F1="售价",ROUND(PRODUCT(R37,AA7:AA36),0),ROUND(PRODUCT(R37,AA7:AA36),1))</f>
        <v>#DIV/0!</v>
      </c>
      <c r="S38" s="3799"/>
      <c r="T38" s="3799" t="e">
        <f>IF(F1="售价",ROUND(PRODUCT(T37,AB7:AB36),0),ROUND(PRODUCT(T37,AB7:AB36),1))</f>
        <v>#DIV/0!</v>
      </c>
      <c r="U38" s="3799"/>
      <c r="V38" s="3799" t="e">
        <f>IF(F1="售价",ROUND(PRODUCT(V37,AC7:AC36),0),ROUND(PRODUCT(V37,AC7:AC36),1))</f>
        <v>#DIV/0!</v>
      </c>
      <c r="W38" s="379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1"/>
      <c r="M39" s="2722"/>
      <c r="N39" s="2722"/>
      <c r="O39" s="2722"/>
      <c r="P39" s="3800" t="str">
        <f>A39</f>
        <v>估价对象XX用房的比较价值（楼面单价，元/平方米）</v>
      </c>
      <c r="Q39" s="3801"/>
      <c r="R39" s="3888" t="e">
        <f>IF(F1="售价",ROUND(IF(D38="简单平均",AVERAGE(R38:W38),R38*F38+T38*H38+V38*J38),0),ROUND(IF(D38="简单平均",AVERAGE(R38:V38),R38*F38+T38*H38+V38*J38),1))</f>
        <v>#DIV/0!</v>
      </c>
      <c r="S39" s="3888"/>
      <c r="T39" s="3888"/>
      <c r="U39" s="3888"/>
      <c r="V39" s="3888"/>
      <c r="W39" s="3888"/>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受贵公司委托，我公司对北京市石景山区玉泉西里一区2号楼1层107房地产市场价值进行了预评估。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估价对象为北京市石景山区玉泉西里一区2号楼1层107房地产，为北京海德置业集团有限公司所有。根据《国有土地使用证》[]，估价对象（分摊）出让国有建设用地使用权面积为0平方米，建筑面积为642平方米。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玉泉西里一区2号楼1层107房地产,属北京海德置业集团有限公司开发建设的居住项目，该项目尚在开发建设中。根据《国有土地使用证》[]，估价对象（分摊）出让国有建设用地使用权面积为0平方米，规划建筑面积为642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2024年5月14日（评估专业人员实地查勘之日）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817" t="s">
        <v>1770</v>
      </c>
      <c r="D4" s="3818"/>
      <c r="E4" s="3819" t="s">
        <v>1771</v>
      </c>
      <c r="F4" s="3820"/>
      <c r="G4" s="3817" t="s">
        <v>1772</v>
      </c>
      <c r="H4" s="3818"/>
      <c r="I4" s="3817" t="s">
        <v>1773</v>
      </c>
      <c r="J4" s="3818"/>
      <c r="K4" s="559" t="s">
        <v>1774</v>
      </c>
      <c r="L4" s="2712"/>
      <c r="M4" s="2713"/>
      <c r="N4" s="2713"/>
      <c r="O4" s="2713"/>
      <c r="P4" s="3821" t="s">
        <v>1775</v>
      </c>
      <c r="Q4" s="3822"/>
      <c r="R4" s="3827" t="s">
        <v>1771</v>
      </c>
      <c r="S4" s="3828"/>
      <c r="T4" s="3827" t="s">
        <v>1772</v>
      </c>
      <c r="U4" s="3828"/>
      <c r="V4" s="3812" t="s">
        <v>1773</v>
      </c>
      <c r="W4" s="3812"/>
      <c r="X4" s="1355"/>
      <c r="Y4" s="3827" t="s">
        <v>1775</v>
      </c>
      <c r="Z4" s="3828"/>
      <c r="AA4" s="3814" t="s">
        <v>1771</v>
      </c>
      <c r="AB4" s="3815" t="s">
        <v>1772</v>
      </c>
      <c r="AC4" s="3814" t="s">
        <v>1773</v>
      </c>
    </row>
    <row r="5" spans="1:29" ht="15">
      <c r="A5" s="358"/>
      <c r="B5" s="359"/>
      <c r="C5" s="3870" t="s">
        <v>1673</v>
      </c>
      <c r="D5" s="3841"/>
      <c r="E5" s="3871" t="s">
        <v>1674</v>
      </c>
      <c r="F5" s="3836"/>
      <c r="G5" s="3870" t="s">
        <v>1675</v>
      </c>
      <c r="H5" s="3841"/>
      <c r="I5" s="3870" t="s">
        <v>1676</v>
      </c>
      <c r="J5" s="3841"/>
      <c r="K5" s="559"/>
      <c r="L5" s="2712"/>
      <c r="M5" s="2713"/>
      <c r="N5" s="2713"/>
      <c r="O5" s="2713"/>
      <c r="P5" s="3823"/>
      <c r="Q5" s="3824"/>
      <c r="R5" s="3829"/>
      <c r="S5" s="3830"/>
      <c r="T5" s="3829"/>
      <c r="U5" s="3830"/>
      <c r="V5" s="3812"/>
      <c r="W5" s="3812"/>
      <c r="X5" s="1355"/>
      <c r="Y5" s="3829"/>
      <c r="Z5" s="3830"/>
      <c r="AA5" s="3815"/>
      <c r="AB5" s="3815"/>
      <c r="AC5" s="3815"/>
    </row>
    <row r="6" spans="1:29" ht="15.75" thickBot="1">
      <c r="A6" s="360"/>
      <c r="B6" s="361"/>
      <c r="C6" s="3833" t="s">
        <v>1677</v>
      </c>
      <c r="D6" s="3834"/>
      <c r="E6" s="3842" t="s">
        <v>1677</v>
      </c>
      <c r="F6" s="3843"/>
      <c r="G6" s="3833" t="s">
        <v>1677</v>
      </c>
      <c r="H6" s="3834"/>
      <c r="I6" s="3833" t="s">
        <v>1677</v>
      </c>
      <c r="J6" s="3834"/>
      <c r="K6" s="559" t="s">
        <v>1678</v>
      </c>
      <c r="L6" s="2712"/>
      <c r="M6" s="2713"/>
      <c r="N6" s="2713"/>
      <c r="O6" s="2713"/>
      <c r="P6" s="3825"/>
      <c r="Q6" s="3826"/>
      <c r="R6" s="3829"/>
      <c r="S6" s="3830"/>
      <c r="T6" s="3831"/>
      <c r="U6" s="3832"/>
      <c r="V6" s="3812"/>
      <c r="W6" s="3812"/>
      <c r="X6" s="1355"/>
      <c r="Y6" s="3831"/>
      <c r="Z6" s="3832"/>
      <c r="AA6" s="3816"/>
      <c r="AB6" s="3816"/>
      <c r="AC6" s="3816"/>
    </row>
    <row r="7" spans="1:29" s="108" customFormat="1" ht="15.75" thickBot="1">
      <c r="A7" s="362" t="s">
        <v>1679</v>
      </c>
      <c r="B7" s="363"/>
      <c r="C7" s="364">
        <f>'数据-取费表'!B2</f>
        <v>45426</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837" t="s">
        <v>1680</v>
      </c>
      <c r="Q7" s="3839"/>
      <c r="R7" s="701" t="s">
        <v>14</v>
      </c>
      <c r="S7" s="702">
        <f t="shared" ref="S7:S14" si="0">F7</f>
        <v>0</v>
      </c>
      <c r="T7" s="701" t="s">
        <v>14</v>
      </c>
      <c r="U7" s="702">
        <f t="shared" ref="U7:U14" si="1">H7</f>
        <v>0</v>
      </c>
      <c r="V7" s="701" t="s">
        <v>14</v>
      </c>
      <c r="W7" s="702">
        <f t="shared" ref="W7:W14" si="2">J7</f>
        <v>0</v>
      </c>
      <c r="X7" s="703"/>
      <c r="Y7" s="3837" t="s">
        <v>1680</v>
      </c>
      <c r="Z7" s="383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837" t="s">
        <v>1683</v>
      </c>
      <c r="Q8" s="3838"/>
      <c r="R8" s="701" t="s">
        <v>14</v>
      </c>
      <c r="S8" s="702">
        <f t="shared" si="0"/>
        <v>100</v>
      </c>
      <c r="T8" s="701" t="s">
        <v>14</v>
      </c>
      <c r="U8" s="702">
        <f t="shared" si="1"/>
        <v>100</v>
      </c>
      <c r="V8" s="701" t="s">
        <v>14</v>
      </c>
      <c r="W8" s="702">
        <f t="shared" si="2"/>
        <v>100</v>
      </c>
      <c r="X8" s="703"/>
      <c r="Y8" s="3837" t="s">
        <v>1683</v>
      </c>
      <c r="Z8" s="383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98" t="s">
        <v>1686</v>
      </c>
      <c r="Q9" s="1343" t="str">
        <f t="shared" ref="Q9:Q14" si="6">B9</f>
        <v>用途</v>
      </c>
      <c r="R9" s="701" t="s">
        <v>14</v>
      </c>
      <c r="S9" s="702">
        <f t="shared" si="0"/>
        <v>100</v>
      </c>
      <c r="T9" s="701" t="s">
        <v>14</v>
      </c>
      <c r="U9" s="702">
        <f t="shared" si="1"/>
        <v>100</v>
      </c>
      <c r="V9" s="701" t="s">
        <v>14</v>
      </c>
      <c r="W9" s="702">
        <f t="shared" si="2"/>
        <v>100</v>
      </c>
      <c r="X9" s="703"/>
      <c r="Y9" s="3702" t="s">
        <v>1687</v>
      </c>
      <c r="Z9" s="52" t="str">
        <f t="shared" ref="Z9:Z14" si="7">Q9</f>
        <v>用途</v>
      </c>
      <c r="AA9" s="704">
        <f t="shared" si="3"/>
        <v>1</v>
      </c>
      <c r="AB9" s="704">
        <f t="shared" si="4"/>
        <v>1</v>
      </c>
      <c r="AC9" s="704">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98"/>
      <c r="Q10" s="1343" t="str">
        <f t="shared" si="6"/>
        <v>土地使用年限（年）</v>
      </c>
      <c r="R10" s="701" t="s">
        <v>14</v>
      </c>
      <c r="S10" s="702">
        <f t="shared" si="0"/>
        <v>100</v>
      </c>
      <c r="T10" s="701" t="s">
        <v>14</v>
      </c>
      <c r="U10" s="702">
        <f t="shared" si="1"/>
        <v>100</v>
      </c>
      <c r="V10" s="701" t="s">
        <v>14</v>
      </c>
      <c r="W10" s="702">
        <f t="shared" si="2"/>
        <v>100</v>
      </c>
      <c r="X10" s="703"/>
      <c r="Y10" s="370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98"/>
      <c r="Q11" s="1343">
        <f t="shared" si="6"/>
        <v>111</v>
      </c>
      <c r="R11" s="701" t="s">
        <v>14</v>
      </c>
      <c r="S11" s="702">
        <f t="shared" si="0"/>
        <v>100</v>
      </c>
      <c r="T11" s="701" t="s">
        <v>14</v>
      </c>
      <c r="U11" s="702">
        <f t="shared" si="1"/>
        <v>100</v>
      </c>
      <c r="V11" s="701" t="s">
        <v>14</v>
      </c>
      <c r="W11" s="702">
        <f t="shared" si="2"/>
        <v>100</v>
      </c>
      <c r="X11" s="703"/>
      <c r="Y11" s="370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98"/>
      <c r="Q12" s="1343">
        <f t="shared" si="6"/>
        <v>111</v>
      </c>
      <c r="R12" s="701" t="s">
        <v>14</v>
      </c>
      <c r="S12" s="702">
        <f t="shared" si="0"/>
        <v>100</v>
      </c>
      <c r="T12" s="701" t="s">
        <v>14</v>
      </c>
      <c r="U12" s="702">
        <f t="shared" si="1"/>
        <v>100</v>
      </c>
      <c r="V12" s="701" t="s">
        <v>14</v>
      </c>
      <c r="W12" s="702">
        <f t="shared" si="2"/>
        <v>100</v>
      </c>
      <c r="X12" s="703"/>
      <c r="Y12" s="370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798"/>
      <c r="Q13" s="1343">
        <f t="shared" si="6"/>
        <v>111</v>
      </c>
      <c r="R13" s="701" t="s">
        <v>14</v>
      </c>
      <c r="S13" s="702">
        <f t="shared" si="0"/>
        <v>100</v>
      </c>
      <c r="T13" s="701" t="s">
        <v>14</v>
      </c>
      <c r="U13" s="702">
        <f t="shared" si="1"/>
        <v>100</v>
      </c>
      <c r="V13" s="701" t="s">
        <v>14</v>
      </c>
      <c r="W13" s="702">
        <f t="shared" si="2"/>
        <v>100</v>
      </c>
      <c r="X13" s="703"/>
      <c r="Y13" s="3702"/>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805" t="s">
        <v>1691</v>
      </c>
      <c r="Q14" s="1352" t="str">
        <f t="shared" si="6"/>
        <v>交通便捷度</v>
      </c>
      <c r="R14" s="705" t="s">
        <v>14</v>
      </c>
      <c r="S14" s="706">
        <f t="shared" si="0"/>
        <v>100</v>
      </c>
      <c r="T14" s="705" t="s">
        <v>14</v>
      </c>
      <c r="U14" s="706">
        <f t="shared" si="1"/>
        <v>100</v>
      </c>
      <c r="V14" s="705" t="s">
        <v>14</v>
      </c>
      <c r="W14" s="706">
        <f t="shared" si="2"/>
        <v>100</v>
      </c>
      <c r="X14" s="1355"/>
      <c r="Y14" s="380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806"/>
      <c r="Q15" s="1352"/>
      <c r="R15" s="705"/>
      <c r="S15" s="706"/>
      <c r="T15" s="705"/>
      <c r="U15" s="706"/>
      <c r="V15" s="705"/>
      <c r="W15" s="706"/>
      <c r="X15" s="1355"/>
      <c r="Y15" s="3806"/>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806"/>
      <c r="Q16" s="1352" t="str">
        <f>B16</f>
        <v>公共配套设施</v>
      </c>
      <c r="R16" s="705" t="s">
        <v>14</v>
      </c>
      <c r="S16" s="706">
        <f>F16</f>
        <v>100</v>
      </c>
      <c r="T16" s="705" t="s">
        <v>14</v>
      </c>
      <c r="U16" s="706">
        <f>H16</f>
        <v>100</v>
      </c>
      <c r="V16" s="705" t="s">
        <v>14</v>
      </c>
      <c r="W16" s="706">
        <f>J16</f>
        <v>100</v>
      </c>
      <c r="X16" s="1355"/>
      <c r="Y16" s="380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806"/>
      <c r="Q17" s="1352"/>
      <c r="R17" s="705"/>
      <c r="S17" s="706"/>
      <c r="T17" s="705"/>
      <c r="U17" s="706"/>
      <c r="V17" s="705"/>
      <c r="W17" s="706"/>
      <c r="X17" s="1355"/>
      <c r="Y17" s="3806"/>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806"/>
      <c r="Q18" s="1352" t="str">
        <f>B18</f>
        <v>基础设施水平</v>
      </c>
      <c r="R18" s="705" t="s">
        <v>14</v>
      </c>
      <c r="S18" s="706">
        <f>F18</f>
        <v>100</v>
      </c>
      <c r="T18" s="705" t="s">
        <v>14</v>
      </c>
      <c r="U18" s="706">
        <f>H18</f>
        <v>100</v>
      </c>
      <c r="V18" s="705" t="s">
        <v>14</v>
      </c>
      <c r="W18" s="706">
        <f>J18</f>
        <v>100</v>
      </c>
      <c r="X18" s="1355"/>
      <c r="Y18" s="380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806"/>
      <c r="Q19" s="1352"/>
      <c r="R19" s="705"/>
      <c r="S19" s="706"/>
      <c r="T19" s="705"/>
      <c r="U19" s="706"/>
      <c r="V19" s="705"/>
      <c r="W19" s="706"/>
      <c r="X19" s="1355"/>
      <c r="Y19" s="3806"/>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806"/>
      <c r="Q20" s="1352" t="str">
        <f>B20</f>
        <v>自然及人文环境</v>
      </c>
      <c r="R20" s="705" t="s">
        <v>14</v>
      </c>
      <c r="S20" s="706">
        <f>F20</f>
        <v>100</v>
      </c>
      <c r="T20" s="705" t="s">
        <v>14</v>
      </c>
      <c r="U20" s="706">
        <f>H20</f>
        <v>100</v>
      </c>
      <c r="V20" s="705" t="s">
        <v>14</v>
      </c>
      <c r="W20" s="706">
        <f>J20</f>
        <v>100</v>
      </c>
      <c r="X20" s="1355"/>
      <c r="Y20" s="380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806"/>
      <c r="Q21" s="1352"/>
      <c r="R21" s="705"/>
      <c r="S21" s="706"/>
      <c r="T21" s="705"/>
      <c r="U21" s="706"/>
      <c r="V21" s="705"/>
      <c r="W21" s="706"/>
      <c r="X21" s="1355"/>
      <c r="Y21" s="380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806"/>
      <c r="Q22" s="1352" t="str">
        <f>B22</f>
        <v>楼层</v>
      </c>
      <c r="R22" s="705" t="s">
        <v>14</v>
      </c>
      <c r="S22" s="706">
        <f>F22</f>
        <v>100</v>
      </c>
      <c r="T22" s="705" t="s">
        <v>14</v>
      </c>
      <c r="U22" s="706">
        <f>H22</f>
        <v>100</v>
      </c>
      <c r="V22" s="705" t="s">
        <v>14</v>
      </c>
      <c r="W22" s="706">
        <f>J22</f>
        <v>100</v>
      </c>
      <c r="X22" s="1355"/>
      <c r="Y22" s="380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806"/>
      <c r="Q23" s="1352">
        <f>B23</f>
        <v>111</v>
      </c>
      <c r="R23" s="705" t="s">
        <v>14</v>
      </c>
      <c r="S23" s="706">
        <f>F23</f>
        <v>100</v>
      </c>
      <c r="T23" s="705" t="s">
        <v>14</v>
      </c>
      <c r="U23" s="706">
        <f>H23</f>
        <v>100</v>
      </c>
      <c r="V23" s="705" t="s">
        <v>14</v>
      </c>
      <c r="W23" s="706">
        <f>J23</f>
        <v>100</v>
      </c>
      <c r="X23" s="1355"/>
      <c r="Y23" s="380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806"/>
      <c r="Q24" s="1352">
        <f t="shared" ref="Q24:Q34" si="11">B24</f>
        <v>111</v>
      </c>
      <c r="R24" s="705" t="s">
        <v>14</v>
      </c>
      <c r="S24" s="706">
        <f>F24</f>
        <v>100</v>
      </c>
      <c r="T24" s="705" t="s">
        <v>14</v>
      </c>
      <c r="U24" s="706">
        <f>H24</f>
        <v>100</v>
      </c>
      <c r="V24" s="705" t="s">
        <v>14</v>
      </c>
      <c r="W24" s="706">
        <f>J24</f>
        <v>100</v>
      </c>
      <c r="X24" s="1355"/>
      <c r="Y24" s="380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806"/>
      <c r="Q25" s="1343">
        <f t="shared" si="11"/>
        <v>111</v>
      </c>
      <c r="R25" s="701" t="s">
        <v>14</v>
      </c>
      <c r="S25" s="702">
        <f>F25</f>
        <v>100</v>
      </c>
      <c r="T25" s="701" t="s">
        <v>14</v>
      </c>
      <c r="U25" s="702">
        <f>H25</f>
        <v>100</v>
      </c>
      <c r="V25" s="701" t="s">
        <v>14</v>
      </c>
      <c r="W25" s="702">
        <f>J25</f>
        <v>100</v>
      </c>
      <c r="X25" s="703"/>
      <c r="Y25" s="380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88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1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810"/>
      <c r="Q27" s="707" t="str">
        <f t="shared" si="11"/>
        <v>成新率</v>
      </c>
      <c r="R27" s="708" t="s">
        <v>14</v>
      </c>
      <c r="S27" s="709" t="e">
        <f t="shared" si="12"/>
        <v>#N/A</v>
      </c>
      <c r="T27" s="708" t="s">
        <v>14</v>
      </c>
      <c r="U27" s="709" t="e">
        <f t="shared" si="13"/>
        <v>#N/A</v>
      </c>
      <c r="V27" s="708" t="s">
        <v>14</v>
      </c>
      <c r="W27" s="709" t="e">
        <f t="shared" si="14"/>
        <v>#N/A</v>
      </c>
      <c r="X27" s="710"/>
      <c r="Y27" s="381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810"/>
      <c r="Q28" s="1352" t="str">
        <f t="shared" si="11"/>
        <v>物业等级</v>
      </c>
      <c r="R28" s="705" t="s">
        <v>14</v>
      </c>
      <c r="S28" s="706">
        <f t="shared" si="12"/>
        <v>100</v>
      </c>
      <c r="T28" s="705" t="s">
        <v>14</v>
      </c>
      <c r="U28" s="706">
        <f t="shared" si="13"/>
        <v>100</v>
      </c>
      <c r="V28" s="705" t="s">
        <v>14</v>
      </c>
      <c r="W28" s="706">
        <f t="shared" si="14"/>
        <v>100</v>
      </c>
      <c r="X28" s="1355"/>
      <c r="Y28" s="381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810"/>
      <c r="Q29" s="1352" t="str">
        <f t="shared" si="11"/>
        <v>有无电梯</v>
      </c>
      <c r="R29" s="705" t="s">
        <v>14</v>
      </c>
      <c r="S29" s="706">
        <f t="shared" si="12"/>
        <v>100</v>
      </c>
      <c r="T29" s="705" t="s">
        <v>14</v>
      </c>
      <c r="U29" s="706">
        <f t="shared" si="13"/>
        <v>100</v>
      </c>
      <c r="V29" s="705" t="s">
        <v>14</v>
      </c>
      <c r="W29" s="706">
        <f t="shared" si="14"/>
        <v>100</v>
      </c>
      <c r="X29" s="1355"/>
      <c r="Y29" s="381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810"/>
      <c r="Q30" s="1352" t="str">
        <f t="shared" si="11"/>
        <v>建筑面积</v>
      </c>
      <c r="R30" s="705" t="s">
        <v>14</v>
      </c>
      <c r="S30" s="706" t="e">
        <f t="shared" si="12"/>
        <v>#N/A</v>
      </c>
      <c r="T30" s="705" t="s">
        <v>14</v>
      </c>
      <c r="U30" s="706" t="e">
        <f t="shared" si="13"/>
        <v>#N/A</v>
      </c>
      <c r="V30" s="705" t="s">
        <v>14</v>
      </c>
      <c r="W30" s="706" t="e">
        <f t="shared" si="14"/>
        <v>#N/A</v>
      </c>
      <c r="X30" s="1355"/>
      <c r="Y30" s="381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810"/>
      <c r="Q31" s="1343" t="str">
        <f t="shared" si="11"/>
        <v>是否封闭</v>
      </c>
      <c r="R31" s="701" t="s">
        <v>14</v>
      </c>
      <c r="S31" s="702">
        <f t="shared" si="12"/>
        <v>100</v>
      </c>
      <c r="T31" s="701" t="s">
        <v>14</v>
      </c>
      <c r="U31" s="702">
        <f t="shared" si="13"/>
        <v>100</v>
      </c>
      <c r="V31" s="701" t="s">
        <v>14</v>
      </c>
      <c r="W31" s="702">
        <f t="shared" si="14"/>
        <v>100</v>
      </c>
      <c r="X31" s="703"/>
      <c r="Y31" s="381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810" t="s">
        <v>1696</v>
      </c>
      <c r="Q32" s="1352">
        <f t="shared" si="11"/>
        <v>111</v>
      </c>
      <c r="R32" s="705" t="s">
        <v>14</v>
      </c>
      <c r="S32" s="706">
        <f t="shared" si="12"/>
        <v>100</v>
      </c>
      <c r="T32" s="705" t="s">
        <v>14</v>
      </c>
      <c r="U32" s="706">
        <f t="shared" si="13"/>
        <v>100</v>
      </c>
      <c r="V32" s="705" t="s">
        <v>14</v>
      </c>
      <c r="W32" s="706">
        <f t="shared" si="14"/>
        <v>100</v>
      </c>
      <c r="X32" s="1355"/>
      <c r="Y32" s="381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810"/>
      <c r="Q33" s="1352">
        <f t="shared" si="11"/>
        <v>111</v>
      </c>
      <c r="R33" s="705" t="s">
        <v>14</v>
      </c>
      <c r="S33" s="706">
        <f t="shared" si="12"/>
        <v>100</v>
      </c>
      <c r="T33" s="705" t="s">
        <v>14</v>
      </c>
      <c r="U33" s="706">
        <f t="shared" si="13"/>
        <v>100</v>
      </c>
      <c r="V33" s="705" t="s">
        <v>14</v>
      </c>
      <c r="W33" s="706">
        <f t="shared" si="14"/>
        <v>100</v>
      </c>
      <c r="X33" s="1355"/>
      <c r="Y33" s="381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810"/>
      <c r="Q34" s="1352">
        <f t="shared" si="11"/>
        <v>111</v>
      </c>
      <c r="R34" s="705" t="s">
        <v>14</v>
      </c>
      <c r="S34" s="706">
        <f t="shared" si="12"/>
        <v>100</v>
      </c>
      <c r="T34" s="705" t="s">
        <v>14</v>
      </c>
      <c r="U34" s="706">
        <f t="shared" si="13"/>
        <v>100</v>
      </c>
      <c r="V34" s="705" t="s">
        <v>14</v>
      </c>
      <c r="W34" s="706">
        <f t="shared" si="14"/>
        <v>100</v>
      </c>
      <c r="X34" s="1355"/>
      <c r="Y34" s="381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1"/>
      <c r="M35" s="2722"/>
      <c r="N35" s="2713"/>
      <c r="O35" s="2722"/>
      <c r="P35" s="3798" t="str">
        <f>A35</f>
        <v>成交单价（元/平方米）</v>
      </c>
      <c r="Q35" s="3798"/>
      <c r="R35" s="3799">
        <f>E35</f>
        <v>0</v>
      </c>
      <c r="S35" s="3799"/>
      <c r="T35" s="3799">
        <f>G35</f>
        <v>0</v>
      </c>
      <c r="U35" s="3799"/>
      <c r="V35" s="3799">
        <f>I35</f>
        <v>0</v>
      </c>
      <c r="W35" s="379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1"/>
      <c r="M36" s="2722"/>
      <c r="N36" s="2713"/>
      <c r="O36" s="2722"/>
      <c r="P36" s="3798" t="str">
        <f>A36</f>
        <v>比较价值（元/平方米）</v>
      </c>
      <c r="Q36" s="3798"/>
      <c r="R36" s="3799" t="e">
        <f>IF(F1="售价",ROUND(PRODUCT(R35,AA7:AA34),0),ROUND(PRODUCT(R35,AA7:AA34),1))</f>
        <v>#DIV/0!</v>
      </c>
      <c r="S36" s="3799"/>
      <c r="T36" s="3799" t="e">
        <f>IF(F1="售价",ROUND(PRODUCT(T35,AB7:AB34),0),ROUND(PRODUCT(T35,AB7:AB34),1))</f>
        <v>#DIV/0!</v>
      </c>
      <c r="U36" s="3799"/>
      <c r="V36" s="3799" t="e">
        <f>IF(F1="售价",ROUND(PRODUCT(V35,AC7:AC34),0),ROUND(PRODUCT(V35,AC7:AC34),1))</f>
        <v>#DIV/0!</v>
      </c>
      <c r="W36" s="379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1"/>
      <c r="M37" s="2722"/>
      <c r="N37" s="2722"/>
      <c r="O37" s="2722"/>
      <c r="P37" s="3800" t="str">
        <f>A37</f>
        <v>估价对象XX用房的比较价值（楼面单价，元/平方米）</v>
      </c>
      <c r="Q37" s="3801"/>
      <c r="R37" s="3888" t="e">
        <f>IF(F1="售价",ROUND(IF(D36="简单平均",AVERAGE(R36:W36),R36*F36+T36*H36+V36*J36),0),ROUND(IF(D36="简单平均",AVERAGE(R36:V36),R36*F36+T36*H36+V36*J36),1))</f>
        <v>#DIV/0!</v>
      </c>
      <c r="S37" s="3888"/>
      <c r="T37" s="3888"/>
      <c r="U37" s="3888"/>
      <c r="V37" s="3888"/>
      <c r="W37" s="3888"/>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1769</v>
      </c>
      <c r="B4" s="356"/>
      <c r="C4" s="3817" t="s">
        <v>1770</v>
      </c>
      <c r="D4" s="3818"/>
      <c r="E4" s="3819" t="s">
        <v>1771</v>
      </c>
      <c r="F4" s="3820"/>
      <c r="G4" s="3817" t="s">
        <v>1772</v>
      </c>
      <c r="H4" s="3818"/>
      <c r="I4" s="3817" t="s">
        <v>1773</v>
      </c>
      <c r="J4" s="3818"/>
      <c r="K4" s="559" t="s">
        <v>1774</v>
      </c>
      <c r="L4" s="2712"/>
      <c r="M4" s="2713"/>
      <c r="N4" s="2713"/>
      <c r="O4" s="2713"/>
      <c r="P4" s="3821" t="s">
        <v>1775</v>
      </c>
      <c r="Q4" s="3822"/>
      <c r="R4" s="3827" t="s">
        <v>1771</v>
      </c>
      <c r="S4" s="3828"/>
      <c r="T4" s="3827" t="s">
        <v>1772</v>
      </c>
      <c r="U4" s="3828"/>
      <c r="V4" s="3812" t="s">
        <v>1773</v>
      </c>
      <c r="W4" s="3812"/>
      <c r="X4" s="1355"/>
      <c r="Y4" s="3827" t="s">
        <v>1775</v>
      </c>
      <c r="Z4" s="3828"/>
      <c r="AA4" s="3814" t="s">
        <v>1771</v>
      </c>
      <c r="AB4" s="3815" t="s">
        <v>1772</v>
      </c>
      <c r="AC4" s="3814" t="s">
        <v>1773</v>
      </c>
    </row>
    <row r="5" spans="1:30" ht="15">
      <c r="A5" s="358"/>
      <c r="B5" s="359"/>
      <c r="C5" s="3870" t="s">
        <v>1673</v>
      </c>
      <c r="D5" s="3841"/>
      <c r="E5" s="3871" t="s">
        <v>1674</v>
      </c>
      <c r="F5" s="3836"/>
      <c r="G5" s="3870" t="s">
        <v>1675</v>
      </c>
      <c r="H5" s="3841"/>
      <c r="I5" s="3870" t="s">
        <v>1676</v>
      </c>
      <c r="J5" s="3841"/>
      <c r="K5" s="559"/>
      <c r="L5" s="2712"/>
      <c r="M5" s="2713"/>
      <c r="N5" s="2713"/>
      <c r="O5" s="2713"/>
      <c r="P5" s="3823"/>
      <c r="Q5" s="3824"/>
      <c r="R5" s="3829"/>
      <c r="S5" s="3830"/>
      <c r="T5" s="3829"/>
      <c r="U5" s="3830"/>
      <c r="V5" s="3812"/>
      <c r="W5" s="3812"/>
      <c r="X5" s="1355"/>
      <c r="Y5" s="3829"/>
      <c r="Z5" s="3830"/>
      <c r="AA5" s="3815"/>
      <c r="AB5" s="3815"/>
      <c r="AC5" s="3815"/>
    </row>
    <row r="6" spans="1:30" ht="15.75" thickBot="1">
      <c r="A6" s="360"/>
      <c r="B6" s="361"/>
      <c r="C6" s="3833" t="s">
        <v>1677</v>
      </c>
      <c r="D6" s="3834"/>
      <c r="E6" s="3842" t="s">
        <v>1677</v>
      </c>
      <c r="F6" s="3843"/>
      <c r="G6" s="3833" t="s">
        <v>1677</v>
      </c>
      <c r="H6" s="3834"/>
      <c r="I6" s="3833" t="s">
        <v>1677</v>
      </c>
      <c r="J6" s="3834"/>
      <c r="K6" s="559" t="s">
        <v>1678</v>
      </c>
      <c r="L6" s="2712"/>
      <c r="M6" s="2713"/>
      <c r="N6" s="2713"/>
      <c r="O6" s="2713"/>
      <c r="P6" s="3825"/>
      <c r="Q6" s="3826"/>
      <c r="R6" s="3829"/>
      <c r="S6" s="3830"/>
      <c r="T6" s="3831"/>
      <c r="U6" s="3832"/>
      <c r="V6" s="3812"/>
      <c r="W6" s="3812"/>
      <c r="X6" s="1355"/>
      <c r="Y6" s="3831"/>
      <c r="Z6" s="3832"/>
      <c r="AA6" s="3816"/>
      <c r="AB6" s="3816"/>
      <c r="AC6" s="3816"/>
    </row>
    <row r="7" spans="1:30" s="108" customFormat="1" ht="15.75" thickBot="1">
      <c r="A7" s="362" t="s">
        <v>1679</v>
      </c>
      <c r="B7" s="363"/>
      <c r="C7" s="364">
        <f>'数据-取费表'!B2</f>
        <v>45426</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837" t="s">
        <v>1680</v>
      </c>
      <c r="Q7" s="3839"/>
      <c r="R7" s="701" t="s">
        <v>14</v>
      </c>
      <c r="S7" s="702">
        <f t="shared" ref="S7:S15" si="0">F7</f>
        <v>0</v>
      </c>
      <c r="T7" s="701" t="s">
        <v>14</v>
      </c>
      <c r="U7" s="702">
        <f t="shared" ref="U7:U15" si="1">H7</f>
        <v>0</v>
      </c>
      <c r="V7" s="701" t="s">
        <v>14</v>
      </c>
      <c r="W7" s="702">
        <f t="shared" ref="W7:W15" si="2">J7</f>
        <v>0</v>
      </c>
      <c r="X7" s="703"/>
      <c r="Y7" s="3837" t="s">
        <v>1680</v>
      </c>
      <c r="Z7" s="383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837" t="s">
        <v>1683</v>
      </c>
      <c r="Q8" s="3838"/>
      <c r="R8" s="701" t="s">
        <v>14</v>
      </c>
      <c r="S8" s="702">
        <f t="shared" si="0"/>
        <v>0</v>
      </c>
      <c r="T8" s="701" t="s">
        <v>14</v>
      </c>
      <c r="U8" s="702">
        <f t="shared" si="1"/>
        <v>0</v>
      </c>
      <c r="V8" s="701" t="s">
        <v>14</v>
      </c>
      <c r="W8" s="702">
        <f t="shared" si="2"/>
        <v>0</v>
      </c>
      <c r="X8" s="703"/>
      <c r="Y8" s="3837" t="s">
        <v>1683</v>
      </c>
      <c r="Z8" s="383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798" t="s">
        <v>1686</v>
      </c>
      <c r="Q9" s="1343" t="str">
        <f t="shared" ref="Q9:Q15" si="6">B9</f>
        <v>用途</v>
      </c>
      <c r="R9" s="701" t="s">
        <v>14</v>
      </c>
      <c r="S9" s="702">
        <f t="shared" si="0"/>
        <v>100</v>
      </c>
      <c r="T9" s="701" t="s">
        <v>14</v>
      </c>
      <c r="U9" s="702">
        <f t="shared" si="1"/>
        <v>100</v>
      </c>
      <c r="V9" s="701" t="s">
        <v>14</v>
      </c>
      <c r="W9" s="702">
        <f t="shared" si="2"/>
        <v>100</v>
      </c>
      <c r="X9" s="703"/>
      <c r="Y9" s="370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6"/>
      <c r="M10" s="2717"/>
      <c r="N10" s="2717"/>
      <c r="O10" s="2770"/>
      <c r="P10" s="3798"/>
      <c r="Q10" s="1343" t="str">
        <f t="shared" si="6"/>
        <v>土地使用年限（年）</v>
      </c>
      <c r="R10" s="701" t="s">
        <v>14</v>
      </c>
      <c r="S10" s="702" t="e">
        <f t="shared" si="0"/>
        <v>#DIV/0!</v>
      </c>
      <c r="T10" s="701" t="s">
        <v>14</v>
      </c>
      <c r="U10" s="702" t="e">
        <f t="shared" si="1"/>
        <v>#DIV/0!</v>
      </c>
      <c r="V10" s="701" t="s">
        <v>14</v>
      </c>
      <c r="W10" s="702" t="e">
        <f t="shared" si="2"/>
        <v>#DIV/0!</v>
      </c>
      <c r="X10" s="703"/>
      <c r="Y10" s="3702"/>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98"/>
      <c r="Q11" s="1343" t="str">
        <f t="shared" si="6"/>
        <v>容积率</v>
      </c>
      <c r="R11" s="701" t="s">
        <v>14</v>
      </c>
      <c r="S11" s="702" t="e">
        <f t="shared" si="0"/>
        <v>#N/A</v>
      </c>
      <c r="T11" s="701" t="s">
        <v>14</v>
      </c>
      <c r="U11" s="702" t="e">
        <f t="shared" si="1"/>
        <v>#N/A</v>
      </c>
      <c r="V11" s="701" t="s">
        <v>14</v>
      </c>
      <c r="W11" s="702" t="e">
        <f t="shared" si="2"/>
        <v>#N/A</v>
      </c>
      <c r="X11" s="703"/>
      <c r="Y11" s="370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98"/>
      <c r="Q12" s="1343" t="str">
        <f t="shared" si="6"/>
        <v>配建</v>
      </c>
      <c r="R12" s="701" t="s">
        <v>14</v>
      </c>
      <c r="S12" s="702">
        <f t="shared" si="0"/>
        <v>100</v>
      </c>
      <c r="T12" s="701" t="s">
        <v>14</v>
      </c>
      <c r="U12" s="702">
        <f t="shared" si="1"/>
        <v>100</v>
      </c>
      <c r="V12" s="701" t="s">
        <v>14</v>
      </c>
      <c r="W12" s="702">
        <f t="shared" si="2"/>
        <v>100</v>
      </c>
      <c r="X12" s="703"/>
      <c r="Y12" s="370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98"/>
      <c r="Q13" s="1343">
        <f t="shared" si="6"/>
        <v>111</v>
      </c>
      <c r="R13" s="701" t="s">
        <v>14</v>
      </c>
      <c r="S13" s="702">
        <f t="shared" si="0"/>
        <v>100</v>
      </c>
      <c r="T13" s="701" t="s">
        <v>14</v>
      </c>
      <c r="U13" s="702">
        <f t="shared" si="1"/>
        <v>100</v>
      </c>
      <c r="V13" s="701" t="s">
        <v>14</v>
      </c>
      <c r="W13" s="702">
        <f t="shared" si="2"/>
        <v>100</v>
      </c>
      <c r="X13" s="703"/>
      <c r="Y13" s="370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98"/>
      <c r="Q14" s="1343">
        <f t="shared" si="6"/>
        <v>111</v>
      </c>
      <c r="R14" s="701" t="s">
        <v>14</v>
      </c>
      <c r="S14" s="702">
        <f t="shared" si="0"/>
        <v>100</v>
      </c>
      <c r="T14" s="701" t="s">
        <v>14</v>
      </c>
      <c r="U14" s="702">
        <f t="shared" si="1"/>
        <v>100</v>
      </c>
      <c r="V14" s="701" t="s">
        <v>14</v>
      </c>
      <c r="W14" s="702">
        <f t="shared" si="2"/>
        <v>100</v>
      </c>
      <c r="X14" s="703"/>
      <c r="Y14" s="3702"/>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805" t="s">
        <v>1691</v>
      </c>
      <c r="Q15" s="1352" t="str">
        <f t="shared" si="6"/>
        <v>居住社区成熟度</v>
      </c>
      <c r="R15" s="705" t="s">
        <v>14</v>
      </c>
      <c r="S15" s="706">
        <f t="shared" si="0"/>
        <v>100</v>
      </c>
      <c r="T15" s="705" t="s">
        <v>14</v>
      </c>
      <c r="U15" s="706">
        <f t="shared" si="1"/>
        <v>100</v>
      </c>
      <c r="V15" s="705" t="s">
        <v>14</v>
      </c>
      <c r="W15" s="706">
        <f t="shared" si="2"/>
        <v>100</v>
      </c>
      <c r="X15" s="1355"/>
      <c r="Y15" s="380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806"/>
      <c r="Q16" s="1352"/>
      <c r="R16" s="705"/>
      <c r="S16" s="706"/>
      <c r="T16" s="705"/>
      <c r="U16" s="706"/>
      <c r="V16" s="705"/>
      <c r="W16" s="706"/>
      <c r="X16" s="1355"/>
      <c r="Y16" s="3806"/>
      <c r="Z16" s="1356"/>
      <c r="AA16" s="1353">
        <v>1</v>
      </c>
      <c r="AB16" s="1353">
        <v>1</v>
      </c>
      <c r="AC16" s="1353">
        <v>1</v>
      </c>
    </row>
    <row r="17" spans="1:29" ht="15">
      <c r="A17" s="379"/>
      <c r="B17" s="402" t="s">
        <v>1777</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806"/>
      <c r="Q17" s="1352" t="str">
        <f>B17</f>
        <v>商业繁华度</v>
      </c>
      <c r="R17" s="705" t="s">
        <v>14</v>
      </c>
      <c r="S17" s="706">
        <f>F17</f>
        <v>100</v>
      </c>
      <c r="T17" s="705" t="s">
        <v>14</v>
      </c>
      <c r="U17" s="706">
        <f>H17</f>
        <v>100</v>
      </c>
      <c r="V17" s="705" t="s">
        <v>14</v>
      </c>
      <c r="W17" s="706">
        <f>J17</f>
        <v>100</v>
      </c>
      <c r="X17" s="1355"/>
      <c r="Y17" s="380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806"/>
      <c r="Q18" s="1352"/>
      <c r="R18" s="705"/>
      <c r="S18" s="706"/>
      <c r="T18" s="705"/>
      <c r="U18" s="706"/>
      <c r="V18" s="705"/>
      <c r="W18" s="706"/>
      <c r="X18" s="1355"/>
      <c r="Y18" s="3806"/>
      <c r="Z18" s="1356"/>
      <c r="AA18" s="1353">
        <v>1</v>
      </c>
      <c r="AB18" s="1353">
        <v>1</v>
      </c>
      <c r="AC18" s="1353">
        <v>1</v>
      </c>
    </row>
    <row r="19" spans="1:29" ht="15">
      <c r="A19" s="379"/>
      <c r="B19" s="402" t="s">
        <v>1811</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806"/>
      <c r="Q19" s="1352" t="str">
        <f>B19</f>
        <v>办公集聚程度</v>
      </c>
      <c r="R19" s="705" t="s">
        <v>14</v>
      </c>
      <c r="S19" s="706">
        <f>F19</f>
        <v>100</v>
      </c>
      <c r="T19" s="705" t="s">
        <v>14</v>
      </c>
      <c r="U19" s="706">
        <f>H19</f>
        <v>100</v>
      </c>
      <c r="V19" s="705" t="s">
        <v>14</v>
      </c>
      <c r="W19" s="706">
        <f>J19</f>
        <v>100</v>
      </c>
      <c r="X19" s="1355"/>
      <c r="Y19" s="380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806"/>
      <c r="Q20" s="1352"/>
      <c r="R20" s="705"/>
      <c r="S20" s="706"/>
      <c r="T20" s="705"/>
      <c r="U20" s="706"/>
      <c r="V20" s="705"/>
      <c r="W20" s="706"/>
      <c r="X20" s="1355"/>
      <c r="Y20" s="3806"/>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806"/>
      <c r="Q21" s="1352" t="str">
        <f>B21</f>
        <v>交通便捷度</v>
      </c>
      <c r="R21" s="705" t="s">
        <v>14</v>
      </c>
      <c r="S21" s="706">
        <f>F21</f>
        <v>100</v>
      </c>
      <c r="T21" s="705" t="s">
        <v>14</v>
      </c>
      <c r="U21" s="706">
        <f>H21</f>
        <v>100</v>
      </c>
      <c r="V21" s="705" t="s">
        <v>14</v>
      </c>
      <c r="W21" s="706">
        <f>J21</f>
        <v>100</v>
      </c>
      <c r="X21" s="1355"/>
      <c r="Y21" s="380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806"/>
      <c r="Q22" s="1352"/>
      <c r="R22" s="705"/>
      <c r="S22" s="706"/>
      <c r="T22" s="705"/>
      <c r="U22" s="706"/>
      <c r="V22" s="705"/>
      <c r="W22" s="706"/>
      <c r="X22" s="1355"/>
      <c r="Y22" s="380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806"/>
      <c r="Q23" s="1352" t="str">
        <f t="shared" ref="Q23:Q37" si="8">B23</f>
        <v>区域土地利用方向</v>
      </c>
      <c r="R23" s="705" t="s">
        <v>14</v>
      </c>
      <c r="S23" s="706">
        <f>F23</f>
        <v>100</v>
      </c>
      <c r="T23" s="705" t="s">
        <v>14</v>
      </c>
      <c r="U23" s="706">
        <f>H23</f>
        <v>100</v>
      </c>
      <c r="V23" s="705" t="s">
        <v>14</v>
      </c>
      <c r="W23" s="706">
        <f>J23</f>
        <v>100</v>
      </c>
      <c r="X23" s="1355"/>
      <c r="Y23" s="380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806"/>
      <c r="Q24" s="1352"/>
      <c r="R24" s="705"/>
      <c r="S24" s="706"/>
      <c r="T24" s="705"/>
      <c r="U24" s="706"/>
      <c r="V24" s="705"/>
      <c r="W24" s="706"/>
      <c r="X24" s="1355"/>
      <c r="Y24" s="3806"/>
      <c r="Z24" s="1356"/>
      <c r="AA24" s="1353"/>
      <c r="AB24" s="1353"/>
      <c r="AC24" s="1353"/>
    </row>
    <row r="25" spans="1:29" ht="2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806"/>
      <c r="Q25" s="1352" t="str">
        <f t="shared" si="8"/>
        <v>自然及人文环境状况</v>
      </c>
      <c r="R25" s="705" t="s">
        <v>14</v>
      </c>
      <c r="S25" s="706">
        <f>F25</f>
        <v>100</v>
      </c>
      <c r="T25" s="705" t="s">
        <v>14</v>
      </c>
      <c r="U25" s="706">
        <f>H25</f>
        <v>100</v>
      </c>
      <c r="V25" s="705" t="s">
        <v>14</v>
      </c>
      <c r="W25" s="706">
        <f>J25</f>
        <v>100</v>
      </c>
      <c r="X25" s="1355"/>
      <c r="Y25" s="380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806"/>
      <c r="Q26" s="1352"/>
      <c r="R26" s="705"/>
      <c r="S26" s="706"/>
      <c r="T26" s="705"/>
      <c r="U26" s="706"/>
      <c r="V26" s="705"/>
      <c r="W26" s="706"/>
      <c r="X26" s="1355"/>
      <c r="Y26" s="3806"/>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806"/>
      <c r="Q27" s="1343" t="str">
        <f t="shared" si="8"/>
        <v>公共配套设施</v>
      </c>
      <c r="R27" s="701" t="s">
        <v>14</v>
      </c>
      <c r="S27" s="702">
        <f>F27</f>
        <v>100</v>
      </c>
      <c r="T27" s="701" t="s">
        <v>14</v>
      </c>
      <c r="U27" s="702">
        <f>H27</f>
        <v>100</v>
      </c>
      <c r="V27" s="701" t="s">
        <v>14</v>
      </c>
      <c r="W27" s="702">
        <f>J27</f>
        <v>100</v>
      </c>
      <c r="X27" s="703"/>
      <c r="Y27" s="380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806"/>
      <c r="Q28" s="1343"/>
      <c r="R28" s="701"/>
      <c r="S28" s="702"/>
      <c r="T28" s="701"/>
      <c r="U28" s="702"/>
      <c r="V28" s="701"/>
      <c r="W28" s="702"/>
      <c r="X28" s="703"/>
      <c r="Y28" s="3806"/>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806"/>
      <c r="Q29" s="1343" t="str">
        <f t="shared" ref="Q29" si="9">B29</f>
        <v>基础设施水平</v>
      </c>
      <c r="R29" s="701" t="s">
        <v>14</v>
      </c>
      <c r="S29" s="702">
        <f>F29</f>
        <v>100</v>
      </c>
      <c r="T29" s="701" t="s">
        <v>14</v>
      </c>
      <c r="U29" s="702">
        <f>H29</f>
        <v>100</v>
      </c>
      <c r="V29" s="701" t="s">
        <v>14</v>
      </c>
      <c r="W29" s="702">
        <f>J29</f>
        <v>100</v>
      </c>
      <c r="X29" s="703"/>
      <c r="Y29" s="380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806"/>
      <c r="Q30" s="1343"/>
      <c r="R30" s="701"/>
      <c r="S30" s="702"/>
      <c r="T30" s="701"/>
      <c r="U30" s="702"/>
      <c r="V30" s="701"/>
      <c r="W30" s="702"/>
      <c r="X30" s="703"/>
      <c r="Y30" s="380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80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0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806"/>
      <c r="Q32" s="1352" t="str">
        <f t="shared" si="8"/>
        <v>毗邻道路的类型与等级</v>
      </c>
      <c r="R32" s="705" t="s">
        <v>14</v>
      </c>
      <c r="S32" s="706">
        <f t="shared" si="10"/>
        <v>100</v>
      </c>
      <c r="T32" s="705" t="s">
        <v>14</v>
      </c>
      <c r="U32" s="706">
        <f t="shared" si="11"/>
        <v>100</v>
      </c>
      <c r="V32" s="705" t="s">
        <v>14</v>
      </c>
      <c r="W32" s="706">
        <f t="shared" si="12"/>
        <v>100</v>
      </c>
      <c r="X32" s="1355"/>
      <c r="Y32" s="380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806"/>
      <c r="Q33" s="1352"/>
      <c r="R33" s="705"/>
      <c r="S33" s="706"/>
      <c r="T33" s="705"/>
      <c r="U33" s="706"/>
      <c r="V33" s="705"/>
      <c r="W33" s="706"/>
      <c r="X33" s="1355"/>
      <c r="Y33" s="380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806"/>
      <c r="Q34" s="1352" t="str">
        <f t="shared" si="8"/>
        <v>土地级别</v>
      </c>
      <c r="R34" s="705" t="s">
        <v>14</v>
      </c>
      <c r="S34" s="706">
        <f t="shared" si="10"/>
        <v>100</v>
      </c>
      <c r="T34" s="705" t="s">
        <v>14</v>
      </c>
      <c r="U34" s="706">
        <f t="shared" si="11"/>
        <v>100</v>
      </c>
      <c r="V34" s="705" t="s">
        <v>14</v>
      </c>
      <c r="W34" s="706">
        <f t="shared" si="12"/>
        <v>100</v>
      </c>
      <c r="X34" s="1355"/>
      <c r="Y34" s="380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806"/>
      <c r="Q35" s="1352">
        <f t="shared" si="8"/>
        <v>111</v>
      </c>
      <c r="R35" s="705" t="s">
        <v>14</v>
      </c>
      <c r="S35" s="706">
        <f t="shared" si="10"/>
        <v>100</v>
      </c>
      <c r="T35" s="705" t="s">
        <v>14</v>
      </c>
      <c r="U35" s="706">
        <f t="shared" si="11"/>
        <v>100</v>
      </c>
      <c r="V35" s="705" t="s">
        <v>14</v>
      </c>
      <c r="W35" s="706">
        <f t="shared" si="12"/>
        <v>100</v>
      </c>
      <c r="X35" s="1355"/>
      <c r="Y35" s="380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887" t="s">
        <v>1696</v>
      </c>
      <c r="Q36" s="1352">
        <f t="shared" si="8"/>
        <v>111</v>
      </c>
      <c r="R36" s="705" t="s">
        <v>14</v>
      </c>
      <c r="S36" s="706">
        <f t="shared" si="10"/>
        <v>100</v>
      </c>
      <c r="T36" s="705" t="s">
        <v>14</v>
      </c>
      <c r="U36" s="706">
        <f t="shared" si="11"/>
        <v>100</v>
      </c>
      <c r="V36" s="705" t="s">
        <v>14</v>
      </c>
      <c r="W36" s="706">
        <f t="shared" si="12"/>
        <v>100</v>
      </c>
      <c r="X36" s="1355"/>
      <c r="Y36" s="381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810"/>
      <c r="Q37" s="1352">
        <f t="shared" si="8"/>
        <v>111</v>
      </c>
      <c r="R37" s="708" t="s">
        <v>14</v>
      </c>
      <c r="S37" s="709">
        <f t="shared" si="10"/>
        <v>100</v>
      </c>
      <c r="T37" s="708" t="s">
        <v>14</v>
      </c>
      <c r="U37" s="709">
        <f t="shared" si="11"/>
        <v>100</v>
      </c>
      <c r="V37" s="708" t="s">
        <v>14</v>
      </c>
      <c r="W37" s="709">
        <f t="shared" si="12"/>
        <v>100</v>
      </c>
      <c r="X37" s="710"/>
      <c r="Y37" s="381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810"/>
      <c r="Q38" s="1352" t="str">
        <f>B38</f>
        <v>宗地面积</v>
      </c>
      <c r="R38" s="705" t="s">
        <v>14</v>
      </c>
      <c r="S38" s="706" t="e">
        <f t="shared" si="10"/>
        <v>#N/A</v>
      </c>
      <c r="T38" s="705" t="s">
        <v>14</v>
      </c>
      <c r="U38" s="706" t="e">
        <f t="shared" si="11"/>
        <v>#N/A</v>
      </c>
      <c r="V38" s="705" t="s">
        <v>14</v>
      </c>
      <c r="W38" s="706" t="e">
        <f t="shared" si="12"/>
        <v>#N/A</v>
      </c>
      <c r="X38" s="1355"/>
      <c r="Y38" s="381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810"/>
      <c r="Q39" s="1352" t="str">
        <f t="shared" ref="Q39:Q45" si="14">B39</f>
        <v>宗地形状</v>
      </c>
      <c r="R39" s="705" t="s">
        <v>14</v>
      </c>
      <c r="S39" s="706">
        <f t="shared" si="10"/>
        <v>100</v>
      </c>
      <c r="T39" s="705" t="s">
        <v>14</v>
      </c>
      <c r="U39" s="706">
        <f t="shared" si="11"/>
        <v>100</v>
      </c>
      <c r="V39" s="705" t="s">
        <v>14</v>
      </c>
      <c r="W39" s="706">
        <f t="shared" si="12"/>
        <v>100</v>
      </c>
      <c r="X39" s="1355"/>
      <c r="Y39" s="381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810"/>
      <c r="Q40" s="1352" t="str">
        <f t="shared" si="14"/>
        <v>临街宽度及深度</v>
      </c>
      <c r="R40" s="705" t="s">
        <v>14</v>
      </c>
      <c r="S40" s="706">
        <f t="shared" si="10"/>
        <v>100</v>
      </c>
      <c r="T40" s="705" t="s">
        <v>14</v>
      </c>
      <c r="U40" s="706">
        <f t="shared" si="11"/>
        <v>100</v>
      </c>
      <c r="V40" s="705" t="s">
        <v>14</v>
      </c>
      <c r="W40" s="706">
        <f t="shared" si="12"/>
        <v>100</v>
      </c>
      <c r="X40" s="1355"/>
      <c r="Y40" s="381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810"/>
      <c r="Q41" s="1352" t="str">
        <f t="shared" si="14"/>
        <v>宗地开发程度</v>
      </c>
      <c r="R41" s="701" t="s">
        <v>14</v>
      </c>
      <c r="S41" s="702">
        <f t="shared" si="10"/>
        <v>100</v>
      </c>
      <c r="T41" s="701" t="s">
        <v>14</v>
      </c>
      <c r="U41" s="702">
        <f t="shared" si="11"/>
        <v>100</v>
      </c>
      <c r="V41" s="701" t="s">
        <v>14</v>
      </c>
      <c r="W41" s="702">
        <f t="shared" si="12"/>
        <v>100</v>
      </c>
      <c r="X41" s="703"/>
      <c r="Y41" s="381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810" t="s">
        <v>1696</v>
      </c>
      <c r="Q42" s="1352" t="str">
        <f t="shared" si="14"/>
        <v>工程地质条件</v>
      </c>
      <c r="R42" s="705" t="s">
        <v>14</v>
      </c>
      <c r="S42" s="706">
        <f t="shared" si="10"/>
        <v>100</v>
      </c>
      <c r="T42" s="705" t="s">
        <v>14</v>
      </c>
      <c r="U42" s="706">
        <f t="shared" si="11"/>
        <v>100</v>
      </c>
      <c r="V42" s="705" t="s">
        <v>14</v>
      </c>
      <c r="W42" s="706">
        <f t="shared" si="12"/>
        <v>100</v>
      </c>
      <c r="X42" s="1355"/>
      <c r="Y42" s="381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810"/>
      <c r="Q43" s="1352">
        <f t="shared" si="14"/>
        <v>111</v>
      </c>
      <c r="R43" s="705" t="s">
        <v>14</v>
      </c>
      <c r="S43" s="706">
        <f t="shared" si="10"/>
        <v>100</v>
      </c>
      <c r="T43" s="705" t="s">
        <v>14</v>
      </c>
      <c r="U43" s="706">
        <f t="shared" si="11"/>
        <v>100</v>
      </c>
      <c r="V43" s="705" t="s">
        <v>14</v>
      </c>
      <c r="W43" s="706">
        <f t="shared" si="12"/>
        <v>100</v>
      </c>
      <c r="X43" s="1355"/>
      <c r="Y43" s="381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810"/>
      <c r="Q44" s="1352">
        <f t="shared" si="14"/>
        <v>111</v>
      </c>
      <c r="R44" s="705" t="s">
        <v>14</v>
      </c>
      <c r="S44" s="706">
        <f t="shared" si="10"/>
        <v>100</v>
      </c>
      <c r="T44" s="705" t="s">
        <v>14</v>
      </c>
      <c r="U44" s="706">
        <f t="shared" si="11"/>
        <v>100</v>
      </c>
      <c r="V44" s="705" t="s">
        <v>14</v>
      </c>
      <c r="W44" s="706">
        <f t="shared" si="12"/>
        <v>100</v>
      </c>
      <c r="X44" s="1355"/>
      <c r="Y44" s="381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810"/>
      <c r="Q45" s="1352">
        <f t="shared" si="14"/>
        <v>111</v>
      </c>
      <c r="R45" s="708" t="s">
        <v>14</v>
      </c>
      <c r="S45" s="709">
        <f t="shared" si="10"/>
        <v>100</v>
      </c>
      <c r="T45" s="708" t="s">
        <v>14</v>
      </c>
      <c r="U45" s="709">
        <f t="shared" si="11"/>
        <v>100</v>
      </c>
      <c r="V45" s="708" t="s">
        <v>14</v>
      </c>
      <c r="W45" s="709">
        <f t="shared" si="12"/>
        <v>100</v>
      </c>
      <c r="X45" s="710"/>
      <c r="Y45" s="381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1"/>
      <c r="M46" s="2722"/>
      <c r="N46" s="2713"/>
      <c r="O46" s="2722"/>
      <c r="P46" s="3798" t="str">
        <f>A46</f>
        <v>成交单价</v>
      </c>
      <c r="Q46" s="3798"/>
      <c r="R46" s="3812">
        <f>E46</f>
        <v>0</v>
      </c>
      <c r="S46" s="3812"/>
      <c r="T46" s="3812">
        <f>G46</f>
        <v>0</v>
      </c>
      <c r="U46" s="3812"/>
      <c r="V46" s="3812">
        <f>I46</f>
        <v>0</v>
      </c>
      <c r="W46" s="381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1"/>
      <c r="M47" s="2722"/>
      <c r="N47" s="2722"/>
      <c r="O47" s="2722"/>
      <c r="P47" s="3798" t="str">
        <f>A47</f>
        <v>比较价值（元/平方米）</v>
      </c>
      <c r="Q47" s="3798"/>
      <c r="R47" s="3889" t="e">
        <f>ROUND(PRODUCT(R46,AA7:AA45),0)</f>
        <v>#DIV/0!</v>
      </c>
      <c r="S47" s="3889"/>
      <c r="T47" s="3889" t="e">
        <f>ROUND(PRODUCT(T46,AB7:AB45),0)</f>
        <v>#DIV/0!</v>
      </c>
      <c r="U47" s="3889"/>
      <c r="V47" s="3889" t="e">
        <f>ROUND(PRODUCT(V46,AC7:AC45),0)</f>
        <v>#DIV/0!</v>
      </c>
      <c r="W47" s="388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1"/>
      <c r="M48" s="2722"/>
      <c r="N48" s="2722"/>
      <c r="O48" s="2722"/>
      <c r="P48" s="3800" t="str">
        <f>A48</f>
        <v>估价对象XX用房的比较价值（楼面单价，元/平方米）</v>
      </c>
      <c r="Q48" s="3801"/>
      <c r="R48" s="3890" t="e">
        <f>ROUND(IF(D47="简单平均",AVERAGE(R47:W47),R47*F47+T47*H47+V47*J47),0)</f>
        <v>#DIV/0!</v>
      </c>
      <c r="S48" s="3890"/>
      <c r="T48" s="3890"/>
      <c r="U48" s="3890"/>
      <c r="V48" s="3890"/>
      <c r="W48" s="3890"/>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3" t="s">
        <v>1883</v>
      </c>
      <c r="D55" s="1984" t="s">
        <v>1884</v>
      </c>
      <c r="E55" s="634" t="s">
        <v>1885</v>
      </c>
      <c r="F55" s="890" t="s">
        <v>1886</v>
      </c>
      <c r="G55" s="3817" t="s">
        <v>1887</v>
      </c>
      <c r="H55" s="3891"/>
      <c r="I55" s="135" t="s">
        <v>1888</v>
      </c>
      <c r="J55" s="1985">
        <f>项目基本情况!F35</f>
        <v>0</v>
      </c>
      <c r="K55" s="1986"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642</v>
      </c>
      <c r="F56" s="886" t="e">
        <f t="shared" ref="F56:F64" si="15">ROUND(B56*E56/10000,0)</f>
        <v>#DIV/0!</v>
      </c>
      <c r="G56" s="3813"/>
      <c r="H56" s="3798"/>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5">
        <v>0.25</v>
      </c>
      <c r="E57" s="642"/>
      <c r="F57" s="886" t="e">
        <f t="shared" si="15"/>
        <v>#DIV/0!</v>
      </c>
      <c r="G57" s="3003" t="s">
        <v>1892</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642</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2"/>
      <c r="Q67" s="2722"/>
      <c r="R67" s="2722"/>
      <c r="S67" s="2722"/>
      <c r="T67" s="2722"/>
      <c r="U67" s="2722"/>
      <c r="V67" s="2722"/>
      <c r="W67" s="2722"/>
      <c r="X67" s="2722"/>
      <c r="Y67" s="2722"/>
      <c r="Z67" s="2722"/>
      <c r="AA67" s="2722"/>
      <c r="AB67" s="2722"/>
      <c r="AC67" s="2722"/>
    </row>
    <row r="68" spans="1:29" ht="21.75"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3"/>
      <c r="Q69" s="2738"/>
      <c r="R69" s="2738"/>
      <c r="S69" s="2738"/>
      <c r="T69" s="2738"/>
      <c r="U69" s="2738"/>
      <c r="V69" s="2738"/>
      <c r="W69" s="2738"/>
      <c r="X69" s="2738"/>
      <c r="Y69" s="2738"/>
      <c r="Z69" s="2738"/>
      <c r="AA69" s="2738"/>
      <c r="AB69" s="2738"/>
      <c r="AC69" s="2738"/>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817" t="s">
        <v>1770</v>
      </c>
      <c r="D4" s="3818"/>
      <c r="E4" s="3819" t="s">
        <v>1771</v>
      </c>
      <c r="F4" s="3820"/>
      <c r="G4" s="3817" t="s">
        <v>1772</v>
      </c>
      <c r="H4" s="3818"/>
      <c r="I4" s="3817" t="s">
        <v>1773</v>
      </c>
      <c r="J4" s="3818"/>
      <c r="K4" s="559" t="s">
        <v>1774</v>
      </c>
      <c r="L4" s="2712"/>
      <c r="M4" s="2713"/>
      <c r="N4" s="2713"/>
      <c r="O4" s="2713"/>
      <c r="P4" s="3821" t="s">
        <v>1775</v>
      </c>
      <c r="Q4" s="3822"/>
      <c r="R4" s="3827" t="s">
        <v>1771</v>
      </c>
      <c r="S4" s="3828"/>
      <c r="T4" s="3827" t="s">
        <v>1772</v>
      </c>
      <c r="U4" s="3828"/>
      <c r="V4" s="3812" t="s">
        <v>1773</v>
      </c>
      <c r="W4" s="3812"/>
      <c r="X4" s="1355"/>
      <c r="Y4" s="3827" t="s">
        <v>1775</v>
      </c>
      <c r="Z4" s="3828"/>
      <c r="AA4" s="3814" t="s">
        <v>1771</v>
      </c>
      <c r="AB4" s="3815" t="s">
        <v>1772</v>
      </c>
      <c r="AC4" s="3814" t="s">
        <v>1773</v>
      </c>
    </row>
    <row r="5" spans="1:29" ht="15">
      <c r="A5" s="358"/>
      <c r="B5" s="359"/>
      <c r="C5" s="3870" t="s">
        <v>1673</v>
      </c>
      <c r="D5" s="3841"/>
      <c r="E5" s="3871" t="s">
        <v>1674</v>
      </c>
      <c r="F5" s="3836"/>
      <c r="G5" s="3870" t="s">
        <v>1675</v>
      </c>
      <c r="H5" s="3841"/>
      <c r="I5" s="3870" t="s">
        <v>1676</v>
      </c>
      <c r="J5" s="3841"/>
      <c r="K5" s="559"/>
      <c r="L5" s="2712"/>
      <c r="M5" s="2713"/>
      <c r="N5" s="2713"/>
      <c r="O5" s="2713"/>
      <c r="P5" s="3823"/>
      <c r="Q5" s="3824"/>
      <c r="R5" s="3829"/>
      <c r="S5" s="3830"/>
      <c r="T5" s="3829"/>
      <c r="U5" s="3830"/>
      <c r="V5" s="3812"/>
      <c r="W5" s="3812"/>
      <c r="X5" s="1355"/>
      <c r="Y5" s="3829"/>
      <c r="Z5" s="3830"/>
      <c r="AA5" s="3815"/>
      <c r="AB5" s="3815"/>
      <c r="AC5" s="3815"/>
    </row>
    <row r="6" spans="1:29" ht="15.75" thickBot="1">
      <c r="A6" s="360"/>
      <c r="B6" s="361"/>
      <c r="C6" s="3892" t="s">
        <v>1919</v>
      </c>
      <c r="D6" s="3893"/>
      <c r="E6" s="3894" t="s">
        <v>1919</v>
      </c>
      <c r="F6" s="3895"/>
      <c r="G6" s="3892" t="s">
        <v>1919</v>
      </c>
      <c r="H6" s="3893"/>
      <c r="I6" s="3892" t="s">
        <v>1919</v>
      </c>
      <c r="J6" s="3893"/>
      <c r="K6" s="559" t="s">
        <v>1678</v>
      </c>
      <c r="L6" s="2712"/>
      <c r="M6" s="2713"/>
      <c r="N6" s="2713"/>
      <c r="O6" s="2713"/>
      <c r="P6" s="3825"/>
      <c r="Q6" s="3826"/>
      <c r="R6" s="3829"/>
      <c r="S6" s="3830"/>
      <c r="T6" s="3831"/>
      <c r="U6" s="3832"/>
      <c r="V6" s="3812"/>
      <c r="W6" s="3812"/>
      <c r="X6" s="1355"/>
      <c r="Y6" s="3831"/>
      <c r="Z6" s="3832"/>
      <c r="AA6" s="3816"/>
      <c r="AB6" s="3816"/>
      <c r="AC6" s="3816"/>
    </row>
    <row r="7" spans="1:29" s="108" customFormat="1" ht="15.75" thickBot="1">
      <c r="A7" s="362" t="s">
        <v>1679</v>
      </c>
      <c r="B7" s="363"/>
      <c r="C7" s="364">
        <f>'数据-取费表'!B2</f>
        <v>45426</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837" t="s">
        <v>1680</v>
      </c>
      <c r="Q7" s="3839"/>
      <c r="R7" s="701" t="s">
        <v>14</v>
      </c>
      <c r="S7" s="702">
        <f t="shared" ref="S7:S15" si="0">F7</f>
        <v>0</v>
      </c>
      <c r="T7" s="701" t="s">
        <v>14</v>
      </c>
      <c r="U7" s="702">
        <f t="shared" ref="U7:U15" si="1">H7</f>
        <v>0</v>
      </c>
      <c r="V7" s="701" t="s">
        <v>14</v>
      </c>
      <c r="W7" s="702">
        <f t="shared" ref="W7:W15" si="2">J7</f>
        <v>0</v>
      </c>
      <c r="X7" s="703"/>
      <c r="Y7" s="3837" t="s">
        <v>1680</v>
      </c>
      <c r="Z7" s="383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837" t="s">
        <v>1683</v>
      </c>
      <c r="Q8" s="3838"/>
      <c r="R8" s="701" t="s">
        <v>14</v>
      </c>
      <c r="S8" s="702">
        <f t="shared" si="0"/>
        <v>0</v>
      </c>
      <c r="T8" s="701" t="s">
        <v>14</v>
      </c>
      <c r="U8" s="702">
        <f t="shared" si="1"/>
        <v>0</v>
      </c>
      <c r="V8" s="701" t="s">
        <v>14</v>
      </c>
      <c r="W8" s="702">
        <f t="shared" si="2"/>
        <v>0</v>
      </c>
      <c r="X8" s="703"/>
      <c r="Y8" s="3837" t="s">
        <v>1683</v>
      </c>
      <c r="Z8" s="383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798" t="s">
        <v>1686</v>
      </c>
      <c r="Q9" s="1343" t="str">
        <f t="shared" ref="Q9:Q15" si="6">B9</f>
        <v>用途</v>
      </c>
      <c r="R9" s="701" t="s">
        <v>14</v>
      </c>
      <c r="S9" s="702">
        <f t="shared" si="0"/>
        <v>100</v>
      </c>
      <c r="T9" s="701" t="s">
        <v>14</v>
      </c>
      <c r="U9" s="702">
        <f t="shared" si="1"/>
        <v>100</v>
      </c>
      <c r="V9" s="701" t="s">
        <v>14</v>
      </c>
      <c r="W9" s="702">
        <f t="shared" si="2"/>
        <v>100</v>
      </c>
      <c r="X9" s="703"/>
      <c r="Y9" s="370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6"/>
      <c r="M10" s="2717"/>
      <c r="N10" s="2717"/>
      <c r="O10" s="2770"/>
      <c r="P10" s="3798"/>
      <c r="Q10" s="1343" t="str">
        <f t="shared" si="6"/>
        <v>土地使用年限（年）</v>
      </c>
      <c r="R10" s="701" t="s">
        <v>14</v>
      </c>
      <c r="S10" s="702" t="e">
        <f t="shared" si="0"/>
        <v>#DIV/0!</v>
      </c>
      <c r="T10" s="701" t="s">
        <v>14</v>
      </c>
      <c r="U10" s="702" t="e">
        <f t="shared" si="1"/>
        <v>#DIV/0!</v>
      </c>
      <c r="V10" s="701" t="s">
        <v>14</v>
      </c>
      <c r="W10" s="702" t="e">
        <f t="shared" si="2"/>
        <v>#DIV/0!</v>
      </c>
      <c r="X10" s="703"/>
      <c r="Y10" s="3702"/>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98"/>
      <c r="Q11" s="1343" t="str">
        <f t="shared" si="6"/>
        <v>容积率</v>
      </c>
      <c r="R11" s="701" t="s">
        <v>14</v>
      </c>
      <c r="S11" s="702" t="e">
        <f t="shared" si="0"/>
        <v>#N/A</v>
      </c>
      <c r="T11" s="701" t="s">
        <v>14</v>
      </c>
      <c r="U11" s="702" t="e">
        <f t="shared" si="1"/>
        <v>#N/A</v>
      </c>
      <c r="V11" s="701" t="s">
        <v>14</v>
      </c>
      <c r="W11" s="702" t="e">
        <f t="shared" si="2"/>
        <v>#N/A</v>
      </c>
      <c r="X11" s="703"/>
      <c r="Y11" s="370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98"/>
      <c r="Q12" s="1343">
        <f t="shared" si="6"/>
        <v>111</v>
      </c>
      <c r="R12" s="701" t="s">
        <v>14</v>
      </c>
      <c r="S12" s="702">
        <f t="shared" si="0"/>
        <v>100</v>
      </c>
      <c r="T12" s="701" t="s">
        <v>14</v>
      </c>
      <c r="U12" s="702">
        <f t="shared" si="1"/>
        <v>100</v>
      </c>
      <c r="V12" s="701" t="s">
        <v>14</v>
      </c>
      <c r="W12" s="702">
        <f t="shared" si="2"/>
        <v>100</v>
      </c>
      <c r="X12" s="703"/>
      <c r="Y12" s="370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98"/>
      <c r="Q13" s="1343">
        <f t="shared" si="6"/>
        <v>111</v>
      </c>
      <c r="R13" s="701" t="s">
        <v>14</v>
      </c>
      <c r="S13" s="702">
        <f t="shared" si="0"/>
        <v>100</v>
      </c>
      <c r="T13" s="701" t="s">
        <v>14</v>
      </c>
      <c r="U13" s="702">
        <f t="shared" si="1"/>
        <v>100</v>
      </c>
      <c r="V13" s="701" t="s">
        <v>14</v>
      </c>
      <c r="W13" s="702">
        <f t="shared" si="2"/>
        <v>100</v>
      </c>
      <c r="X13" s="703"/>
      <c r="Y13" s="370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98"/>
      <c r="Q14" s="1343">
        <f t="shared" si="6"/>
        <v>111</v>
      </c>
      <c r="R14" s="701" t="s">
        <v>14</v>
      </c>
      <c r="S14" s="702">
        <f t="shared" si="0"/>
        <v>100</v>
      </c>
      <c r="T14" s="701" t="s">
        <v>14</v>
      </c>
      <c r="U14" s="702">
        <f t="shared" si="1"/>
        <v>100</v>
      </c>
      <c r="V14" s="701" t="s">
        <v>14</v>
      </c>
      <c r="W14" s="702">
        <f t="shared" si="2"/>
        <v>100</v>
      </c>
      <c r="X14" s="703"/>
      <c r="Y14" s="370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805" t="s">
        <v>1691</v>
      </c>
      <c r="Q15" s="1352" t="str">
        <f t="shared" si="6"/>
        <v>产业集聚程度</v>
      </c>
      <c r="R15" s="705" t="s">
        <v>14</v>
      </c>
      <c r="S15" s="706">
        <f t="shared" si="0"/>
        <v>100</v>
      </c>
      <c r="T15" s="705" t="s">
        <v>14</v>
      </c>
      <c r="U15" s="706">
        <f t="shared" si="1"/>
        <v>100</v>
      </c>
      <c r="V15" s="705" t="s">
        <v>14</v>
      </c>
      <c r="W15" s="706">
        <f t="shared" si="2"/>
        <v>100</v>
      </c>
      <c r="X15" s="1355"/>
      <c r="Y15" s="380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806"/>
      <c r="Q16" s="1352"/>
      <c r="R16" s="705"/>
      <c r="S16" s="706"/>
      <c r="T16" s="705"/>
      <c r="U16" s="706"/>
      <c r="V16" s="705"/>
      <c r="W16" s="706"/>
      <c r="X16" s="1355"/>
      <c r="Y16" s="380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806"/>
      <c r="Q17" s="1352" t="str">
        <f>B17</f>
        <v>交通便捷度</v>
      </c>
      <c r="R17" s="705" t="s">
        <v>14</v>
      </c>
      <c r="S17" s="706">
        <f>F17</f>
        <v>100</v>
      </c>
      <c r="T17" s="705" t="s">
        <v>14</v>
      </c>
      <c r="U17" s="706">
        <f>H17</f>
        <v>100</v>
      </c>
      <c r="V17" s="705" t="s">
        <v>14</v>
      </c>
      <c r="W17" s="706">
        <f>J17</f>
        <v>100</v>
      </c>
      <c r="X17" s="1355"/>
      <c r="Y17" s="380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806"/>
      <c r="Q18" s="1352"/>
      <c r="R18" s="705"/>
      <c r="S18" s="706"/>
      <c r="T18" s="705"/>
      <c r="U18" s="706"/>
      <c r="V18" s="705"/>
      <c r="W18" s="706"/>
      <c r="X18" s="1355"/>
      <c r="Y18" s="380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806"/>
      <c r="Q19" s="1352" t="str">
        <f t="shared" ref="Q19:Q33" si="8">B19</f>
        <v>区域土地利用方向</v>
      </c>
      <c r="R19" s="705" t="s">
        <v>14</v>
      </c>
      <c r="S19" s="706">
        <f>F19</f>
        <v>100</v>
      </c>
      <c r="T19" s="705" t="s">
        <v>14</v>
      </c>
      <c r="U19" s="706">
        <f>H19</f>
        <v>100</v>
      </c>
      <c r="V19" s="705" t="s">
        <v>14</v>
      </c>
      <c r="W19" s="706">
        <f>J19</f>
        <v>100</v>
      </c>
      <c r="X19" s="1355"/>
      <c r="Y19" s="380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806"/>
      <c r="Q20" s="1352"/>
      <c r="R20" s="705"/>
      <c r="S20" s="706"/>
      <c r="T20" s="705"/>
      <c r="U20" s="706"/>
      <c r="V20" s="705"/>
      <c r="W20" s="706"/>
      <c r="X20" s="1355"/>
      <c r="Y20" s="380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806"/>
      <c r="Q21" s="1352" t="str">
        <f t="shared" si="8"/>
        <v>环境状况</v>
      </c>
      <c r="R21" s="705" t="s">
        <v>14</v>
      </c>
      <c r="S21" s="706">
        <f>F21</f>
        <v>100</v>
      </c>
      <c r="T21" s="705" t="s">
        <v>14</v>
      </c>
      <c r="U21" s="706">
        <f>H21</f>
        <v>100</v>
      </c>
      <c r="V21" s="705" t="s">
        <v>14</v>
      </c>
      <c r="W21" s="706">
        <f>J21</f>
        <v>100</v>
      </c>
      <c r="X21" s="1355"/>
      <c r="Y21" s="380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806"/>
      <c r="Q22" s="1352"/>
      <c r="R22" s="705"/>
      <c r="S22" s="706"/>
      <c r="T22" s="705"/>
      <c r="U22" s="706"/>
      <c r="V22" s="705"/>
      <c r="W22" s="706"/>
      <c r="X22" s="1355"/>
      <c r="Y22" s="380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806"/>
      <c r="Q23" s="1343" t="str">
        <f t="shared" si="8"/>
        <v>公共配套设施</v>
      </c>
      <c r="R23" s="701" t="s">
        <v>14</v>
      </c>
      <c r="S23" s="702">
        <f>F23</f>
        <v>100</v>
      </c>
      <c r="T23" s="701" t="s">
        <v>14</v>
      </c>
      <c r="U23" s="702">
        <f>H23</f>
        <v>100</v>
      </c>
      <c r="V23" s="701" t="s">
        <v>14</v>
      </c>
      <c r="W23" s="702">
        <f>J23</f>
        <v>100</v>
      </c>
      <c r="X23" s="703"/>
      <c r="Y23" s="380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806"/>
      <c r="Q24" s="1343"/>
      <c r="R24" s="701"/>
      <c r="S24" s="702"/>
      <c r="T24" s="701"/>
      <c r="U24" s="702"/>
      <c r="V24" s="701"/>
      <c r="W24" s="702"/>
      <c r="X24" s="703"/>
      <c r="Y24" s="380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806"/>
      <c r="Q25" s="1343" t="str">
        <f t="shared" ref="Q25" si="9">B25</f>
        <v>基础设施水平</v>
      </c>
      <c r="R25" s="701" t="s">
        <v>14</v>
      </c>
      <c r="S25" s="702">
        <f>F25</f>
        <v>100</v>
      </c>
      <c r="T25" s="701" t="s">
        <v>14</v>
      </c>
      <c r="U25" s="702">
        <f>H25</f>
        <v>100</v>
      </c>
      <c r="V25" s="701" t="s">
        <v>14</v>
      </c>
      <c r="W25" s="702">
        <f>J25</f>
        <v>100</v>
      </c>
      <c r="X25" s="703"/>
      <c r="Y25" s="380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806"/>
      <c r="Q26" s="1343"/>
      <c r="R26" s="701"/>
      <c r="S26" s="702"/>
      <c r="T26" s="701"/>
      <c r="U26" s="702"/>
      <c r="V26" s="701"/>
      <c r="W26" s="702"/>
      <c r="X26" s="703"/>
      <c r="Y26" s="380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80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0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806"/>
      <c r="Q28" s="1352" t="str">
        <f t="shared" si="8"/>
        <v>毗邻道路的类型与等级</v>
      </c>
      <c r="R28" s="705" t="s">
        <v>14</v>
      </c>
      <c r="S28" s="706">
        <f t="shared" si="10"/>
        <v>100</v>
      </c>
      <c r="T28" s="705" t="s">
        <v>14</v>
      </c>
      <c r="U28" s="706">
        <f t="shared" si="11"/>
        <v>100</v>
      </c>
      <c r="V28" s="705" t="s">
        <v>14</v>
      </c>
      <c r="W28" s="706">
        <f t="shared" si="12"/>
        <v>100</v>
      </c>
      <c r="X28" s="1355"/>
      <c r="Y28" s="380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806"/>
      <c r="Q29" s="1352"/>
      <c r="R29" s="705"/>
      <c r="S29" s="706"/>
      <c r="T29" s="705"/>
      <c r="U29" s="706"/>
      <c r="V29" s="705"/>
      <c r="W29" s="706"/>
      <c r="X29" s="1355"/>
      <c r="Y29" s="380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806"/>
      <c r="Q30" s="1352" t="str">
        <f t="shared" si="8"/>
        <v>土地级别</v>
      </c>
      <c r="R30" s="705" t="s">
        <v>14</v>
      </c>
      <c r="S30" s="706">
        <f t="shared" si="10"/>
        <v>100</v>
      </c>
      <c r="T30" s="705" t="s">
        <v>14</v>
      </c>
      <c r="U30" s="706">
        <f t="shared" si="11"/>
        <v>100</v>
      </c>
      <c r="V30" s="705" t="s">
        <v>14</v>
      </c>
      <c r="W30" s="706">
        <f t="shared" si="12"/>
        <v>100</v>
      </c>
      <c r="X30" s="1355"/>
      <c r="Y30" s="380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806"/>
      <c r="Q31" s="1352">
        <f t="shared" si="8"/>
        <v>111</v>
      </c>
      <c r="R31" s="705" t="s">
        <v>14</v>
      </c>
      <c r="S31" s="706">
        <f t="shared" si="10"/>
        <v>100</v>
      </c>
      <c r="T31" s="705" t="s">
        <v>14</v>
      </c>
      <c r="U31" s="706">
        <f t="shared" si="11"/>
        <v>100</v>
      </c>
      <c r="V31" s="705" t="s">
        <v>14</v>
      </c>
      <c r="W31" s="706">
        <f t="shared" si="12"/>
        <v>100</v>
      </c>
      <c r="X31" s="1355"/>
      <c r="Y31" s="380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887" t="s">
        <v>1696</v>
      </c>
      <c r="Q32" s="1352">
        <f t="shared" si="8"/>
        <v>111</v>
      </c>
      <c r="R32" s="705" t="s">
        <v>14</v>
      </c>
      <c r="S32" s="706">
        <f t="shared" si="10"/>
        <v>100</v>
      </c>
      <c r="T32" s="705" t="s">
        <v>14</v>
      </c>
      <c r="U32" s="706">
        <f t="shared" si="11"/>
        <v>100</v>
      </c>
      <c r="V32" s="705" t="s">
        <v>14</v>
      </c>
      <c r="W32" s="706">
        <f t="shared" si="12"/>
        <v>100</v>
      </c>
      <c r="X32" s="1355"/>
      <c r="Y32" s="381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810"/>
      <c r="Q33" s="1352">
        <f t="shared" si="8"/>
        <v>111</v>
      </c>
      <c r="R33" s="708" t="s">
        <v>14</v>
      </c>
      <c r="S33" s="709">
        <f t="shared" si="10"/>
        <v>100</v>
      </c>
      <c r="T33" s="708" t="s">
        <v>14</v>
      </c>
      <c r="U33" s="709">
        <f t="shared" si="11"/>
        <v>100</v>
      </c>
      <c r="V33" s="708" t="s">
        <v>14</v>
      </c>
      <c r="W33" s="709">
        <f t="shared" si="12"/>
        <v>100</v>
      </c>
      <c r="X33" s="710"/>
      <c r="Y33" s="381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810"/>
      <c r="Q34" s="1352" t="str">
        <f>B34</f>
        <v>宗地面积</v>
      </c>
      <c r="R34" s="705" t="s">
        <v>14</v>
      </c>
      <c r="S34" s="706" t="e">
        <f t="shared" si="10"/>
        <v>#N/A</v>
      </c>
      <c r="T34" s="705" t="s">
        <v>14</v>
      </c>
      <c r="U34" s="706" t="e">
        <f t="shared" si="11"/>
        <v>#N/A</v>
      </c>
      <c r="V34" s="705" t="s">
        <v>14</v>
      </c>
      <c r="W34" s="706" t="e">
        <f t="shared" si="12"/>
        <v>#N/A</v>
      </c>
      <c r="X34" s="1355"/>
      <c r="Y34" s="381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810"/>
      <c r="Q35" s="1352" t="str">
        <f t="shared" ref="Q35:Q40" si="14">B35</f>
        <v>宗地形状</v>
      </c>
      <c r="R35" s="705" t="s">
        <v>14</v>
      </c>
      <c r="S35" s="706">
        <f t="shared" si="10"/>
        <v>100</v>
      </c>
      <c r="T35" s="705" t="s">
        <v>14</v>
      </c>
      <c r="U35" s="706">
        <f t="shared" si="11"/>
        <v>100</v>
      </c>
      <c r="V35" s="705" t="s">
        <v>14</v>
      </c>
      <c r="W35" s="706">
        <f t="shared" si="12"/>
        <v>100</v>
      </c>
      <c r="X35" s="1355"/>
      <c r="Y35" s="381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810"/>
      <c r="Q36" s="1352" t="str">
        <f t="shared" si="14"/>
        <v>宗地开发程度</v>
      </c>
      <c r="R36" s="701" t="s">
        <v>14</v>
      </c>
      <c r="S36" s="702">
        <f t="shared" si="10"/>
        <v>100</v>
      </c>
      <c r="T36" s="701" t="s">
        <v>14</v>
      </c>
      <c r="U36" s="702">
        <f t="shared" si="11"/>
        <v>100</v>
      </c>
      <c r="V36" s="701" t="s">
        <v>14</v>
      </c>
      <c r="W36" s="702">
        <f t="shared" si="12"/>
        <v>100</v>
      </c>
      <c r="X36" s="703"/>
      <c r="Y36" s="381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810" t="s">
        <v>1696</v>
      </c>
      <c r="Q37" s="1352" t="str">
        <f t="shared" si="14"/>
        <v>工程地质条件</v>
      </c>
      <c r="R37" s="705" t="s">
        <v>14</v>
      </c>
      <c r="S37" s="706">
        <f t="shared" si="10"/>
        <v>100</v>
      </c>
      <c r="T37" s="705" t="s">
        <v>14</v>
      </c>
      <c r="U37" s="706">
        <f t="shared" si="11"/>
        <v>100</v>
      </c>
      <c r="V37" s="705" t="s">
        <v>14</v>
      </c>
      <c r="W37" s="706">
        <f t="shared" si="12"/>
        <v>100</v>
      </c>
      <c r="X37" s="1355"/>
      <c r="Y37" s="381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810"/>
      <c r="Q38" s="1352">
        <f t="shared" si="14"/>
        <v>111</v>
      </c>
      <c r="R38" s="705" t="s">
        <v>14</v>
      </c>
      <c r="S38" s="706">
        <f t="shared" si="10"/>
        <v>100</v>
      </c>
      <c r="T38" s="705" t="s">
        <v>14</v>
      </c>
      <c r="U38" s="706">
        <f t="shared" si="11"/>
        <v>100</v>
      </c>
      <c r="V38" s="705" t="s">
        <v>14</v>
      </c>
      <c r="W38" s="706">
        <f t="shared" si="12"/>
        <v>100</v>
      </c>
      <c r="X38" s="1355"/>
      <c r="Y38" s="381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810"/>
      <c r="Q39" s="1352">
        <f t="shared" si="14"/>
        <v>111</v>
      </c>
      <c r="R39" s="705" t="s">
        <v>14</v>
      </c>
      <c r="S39" s="706">
        <f t="shared" si="10"/>
        <v>100</v>
      </c>
      <c r="T39" s="705" t="s">
        <v>14</v>
      </c>
      <c r="U39" s="706">
        <f t="shared" si="11"/>
        <v>100</v>
      </c>
      <c r="V39" s="705" t="s">
        <v>14</v>
      </c>
      <c r="W39" s="706">
        <f t="shared" si="12"/>
        <v>100</v>
      </c>
      <c r="X39" s="1355"/>
      <c r="Y39" s="381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810"/>
      <c r="Q40" s="1352">
        <f t="shared" si="14"/>
        <v>111</v>
      </c>
      <c r="R40" s="708" t="s">
        <v>14</v>
      </c>
      <c r="S40" s="709">
        <f t="shared" si="10"/>
        <v>100</v>
      </c>
      <c r="T40" s="708" t="s">
        <v>14</v>
      </c>
      <c r="U40" s="709">
        <f t="shared" si="11"/>
        <v>100</v>
      </c>
      <c r="V40" s="708" t="s">
        <v>14</v>
      </c>
      <c r="W40" s="709">
        <f t="shared" si="12"/>
        <v>100</v>
      </c>
      <c r="X40" s="710"/>
      <c r="Y40" s="381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1"/>
      <c r="M41" s="2713"/>
      <c r="N41" s="2713"/>
      <c r="O41" s="2722"/>
      <c r="P41" s="3798" t="str">
        <f>A41</f>
        <v>成交单价</v>
      </c>
      <c r="Q41" s="3798"/>
      <c r="R41" s="3812">
        <f>E41</f>
        <v>0</v>
      </c>
      <c r="S41" s="3812"/>
      <c r="T41" s="3812">
        <f>G41</f>
        <v>0</v>
      </c>
      <c r="U41" s="3812"/>
      <c r="V41" s="3812">
        <f>I41</f>
        <v>0</v>
      </c>
      <c r="W41" s="381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1"/>
      <c r="M42" s="2713"/>
      <c r="N42" s="2713"/>
      <c r="O42" s="2722"/>
      <c r="P42" s="3798" t="str">
        <f>A42</f>
        <v>比较价值（元/平方米）</v>
      </c>
      <c r="Q42" s="3798"/>
      <c r="R42" s="3889" t="e">
        <f>ROUND(PRODUCT(R41,AA7:AA40),0)</f>
        <v>#DIV/0!</v>
      </c>
      <c r="S42" s="3889"/>
      <c r="T42" s="3889" t="e">
        <f>ROUND(PRODUCT(T41,AB7:AB40),0)</f>
        <v>#DIV/0!</v>
      </c>
      <c r="U42" s="3889"/>
      <c r="V42" s="3889" t="e">
        <f>ROUND(PRODUCT(V41,AC7:AC40),0)</f>
        <v>#DIV/0!</v>
      </c>
      <c r="W42" s="388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1"/>
      <c r="M43" s="2713"/>
      <c r="N43" s="2713"/>
      <c r="O43" s="2722"/>
      <c r="P43" s="3800" t="str">
        <f>A43</f>
        <v>估价对象XX用房的比较价值（楼面单价，元/平方米）</v>
      </c>
      <c r="Q43" s="3801"/>
      <c r="R43" s="3890" t="e">
        <f>ROUND(IF(D42="简单平均",AVERAGE(R42:W42),R42*F42+T42*H42+V42*J42),0)</f>
        <v>#DIV/0!</v>
      </c>
      <c r="S43" s="3890"/>
      <c r="T43" s="3890"/>
      <c r="U43" s="3890"/>
      <c r="V43" s="3890"/>
      <c r="W43" s="3890"/>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3" t="s">
        <v>1883</v>
      </c>
      <c r="D50" s="1984" t="s">
        <v>1884</v>
      </c>
      <c r="E50" s="634" t="s">
        <v>1885</v>
      </c>
      <c r="F50" s="635" t="s">
        <v>1886</v>
      </c>
      <c r="G50" s="3817" t="s">
        <v>1887</v>
      </c>
      <c r="H50" s="3891"/>
      <c r="I50" s="1356" t="s">
        <v>1923</v>
      </c>
      <c r="J50" s="1356">
        <f>项目基本情况!F35</f>
        <v>0</v>
      </c>
      <c r="K50" s="1986"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642</v>
      </c>
      <c r="F51" s="639" t="e">
        <f t="shared" ref="F51:F60" si="15">ROUND(B51*E51/10000,0)</f>
        <v>#DIV/0!</v>
      </c>
      <c r="G51" s="3813"/>
      <c r="H51" s="3798"/>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5">
        <v>0.25</v>
      </c>
      <c r="E52" s="642"/>
      <c r="F52" s="639" t="e">
        <f t="shared" si="15"/>
        <v>#DIV/0!</v>
      </c>
      <c r="G52" s="3003" t="s">
        <v>1892</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2"/>
      <c r="Q63" s="2722"/>
      <c r="R63" s="2722"/>
      <c r="S63" s="2722"/>
      <c r="T63" s="2722"/>
      <c r="U63" s="2722"/>
      <c r="V63" s="2722"/>
      <c r="W63" s="2722"/>
      <c r="X63" s="2722"/>
      <c r="Y63" s="2722"/>
      <c r="Z63" s="2722"/>
      <c r="AA63" s="2722"/>
      <c r="AB63" s="2722"/>
      <c r="AC63" s="2722"/>
      <c r="AD63" s="2722"/>
      <c r="AE63" s="2722"/>
    </row>
    <row r="64" spans="1:31" ht="21.75"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99" t="s">
        <v>2084</v>
      </c>
      <c r="D1" s="3900"/>
      <c r="E1" s="3900"/>
      <c r="F1" s="3900"/>
      <c r="G1" s="3900"/>
      <c r="H1" s="3900"/>
      <c r="I1" s="3900"/>
      <c r="J1" s="3900"/>
      <c r="K1" s="3900"/>
      <c r="L1" s="3900"/>
      <c r="M1" s="3900"/>
      <c r="N1" s="3900"/>
      <c r="O1" s="3900"/>
      <c r="P1" s="3900"/>
      <c r="Q1" s="3900"/>
      <c r="R1" s="3900"/>
      <c r="S1" s="390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96" t="s">
        <v>27</v>
      </c>
      <c r="D22" s="3897"/>
      <c r="E22" s="3897"/>
      <c r="F22" s="3897"/>
      <c r="G22" s="3897"/>
      <c r="H22" s="3897"/>
      <c r="I22" s="3897"/>
      <c r="J22" s="3897"/>
      <c r="K22" s="3897"/>
      <c r="L22" s="3897"/>
      <c r="M22" s="3897"/>
      <c r="N22" s="3897"/>
      <c r="O22" s="3897"/>
      <c r="P22" s="3897"/>
      <c r="Q22" s="389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0"/>
      <c r="G1" s="2790"/>
      <c r="H1" s="2790"/>
      <c r="I1" s="2790"/>
      <c r="J1" s="2790"/>
      <c r="K1" s="2790"/>
      <c r="L1" s="2790"/>
      <c r="M1" s="2790"/>
      <c r="N1" s="2790"/>
      <c r="O1" s="2790"/>
      <c r="P1" s="2790"/>
    </row>
    <row r="2" spans="1:16" ht="15.75">
      <c r="A2" s="2145" t="s">
        <v>2073</v>
      </c>
      <c r="B2" s="2599" t="e">
        <f ca="1">SUMIF(B6:B13,"&lt;&gt;#ref!",B6:B13)</f>
        <v>#DIV/0!</v>
      </c>
      <c r="C2" s="2145" t="s">
        <v>2074</v>
      </c>
      <c r="D2" s="2145" t="s">
        <v>2075</v>
      </c>
      <c r="E2" s="2609">
        <f ca="1">SUMIF(E6:E13,"&lt;&gt;#ref!",E6:E13)</f>
        <v>642</v>
      </c>
      <c r="F2" s="2790"/>
      <c r="G2" s="2790"/>
      <c r="H2" s="2790"/>
      <c r="I2" s="2790"/>
      <c r="J2" s="2790"/>
      <c r="K2" s="2790"/>
      <c r="L2" s="2790"/>
      <c r="M2" s="2790"/>
      <c r="N2" s="2790"/>
      <c r="O2" s="2790"/>
      <c r="P2" s="2790"/>
    </row>
    <row r="3" spans="1:16" ht="15.75">
      <c r="A3" s="2145" t="s">
        <v>2076</v>
      </c>
      <c r="B3" s="2599" t="e">
        <f ca="1">ROUND(B2*10000/E2,0)</f>
        <v>#DIV/0!</v>
      </c>
      <c r="C3" s="2145"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6"/>
      <c r="D5" s="2790"/>
      <c r="E5" s="2608" t="s">
        <v>2079</v>
      </c>
      <c r="F5" s="2790"/>
      <c r="G5" s="2790"/>
      <c r="H5" s="2790"/>
      <c r="I5" s="2790"/>
      <c r="J5" s="2790"/>
      <c r="K5" s="2790"/>
      <c r="L5" s="2790"/>
      <c r="M5" s="2790"/>
      <c r="N5" s="2790"/>
      <c r="O5" s="2790"/>
      <c r="P5" s="2790"/>
    </row>
    <row r="6" spans="1:16" ht="15.75">
      <c r="A6" s="2606" t="s">
        <v>2080</v>
      </c>
      <c r="B6" s="2599" t="e">
        <f ca="1">SUMIF(INDIRECT("'"&amp;A6&amp;"'"&amp;"!A:A"),"总价",INDIRECT("'"&amp;A6&amp;"'"&amp;"!B:B"))</f>
        <v>#DIV/0!</v>
      </c>
      <c r="C6" s="2145" t="s">
        <v>2074</v>
      </c>
      <c r="D6" s="2790"/>
      <c r="E6" s="2609">
        <f ca="1">SUMIF(INDIRECT("'"&amp;A6&amp;"'"&amp;"!C:C"),"建筑面积",INDIRECT("'"&amp;A6&amp;"'"&amp;"!D:D"))</f>
        <v>642</v>
      </c>
      <c r="F6" s="2790"/>
      <c r="G6" s="2790"/>
      <c r="H6" s="2790"/>
      <c r="I6" s="2790"/>
      <c r="J6" s="2790"/>
      <c r="K6" s="2790"/>
      <c r="L6" s="2790"/>
      <c r="M6" s="2790"/>
      <c r="N6" s="2790"/>
      <c r="O6" s="2790"/>
      <c r="P6" s="2790"/>
    </row>
    <row r="7" spans="1:16" ht="15.75">
      <c r="A7" s="2606"/>
      <c r="B7" s="2599" t="e">
        <f ca="1">SUMIF(INDIRECT("'"&amp;A7&amp;"'"&amp;"!A:A"),"总价",INDIRECT("'"&amp;A7&amp;"'"&amp;"!B:B"))</f>
        <v>#REF!</v>
      </c>
      <c r="C7" s="2145"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5"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5"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5"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5"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5"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5"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1"/>
  <sheetViews>
    <sheetView zoomScaleNormal="100" zoomScaleSheetLayoutView="100" workbookViewId="0">
      <selection activeCell="L16" sqref="L16"/>
    </sheetView>
  </sheetViews>
  <sheetFormatPr defaultRowHeight="12"/>
  <cols>
    <col min="1" max="1" width="5.5" style="3546" customWidth="1"/>
    <col min="2" max="2" width="11.25" style="3546" customWidth="1"/>
    <col min="3" max="3" width="24.75" style="3546" customWidth="1"/>
    <col min="4" max="4" width="6.625" style="3546" customWidth="1"/>
    <col min="5" max="5" width="6.5" style="3546" customWidth="1"/>
    <col min="6" max="6" width="9.25" style="3546" customWidth="1"/>
    <col min="7" max="7" width="19.625" style="3546" customWidth="1"/>
    <col min="8" max="9" width="11.25" style="3546" customWidth="1"/>
    <col min="10" max="10" width="14.25" style="3546" customWidth="1"/>
    <col min="11" max="11" width="11.25" style="3546" customWidth="1"/>
    <col min="12" max="12" width="16.125" style="3546" bestFit="1" customWidth="1"/>
    <col min="13" max="14" width="11.25" style="3546" customWidth="1"/>
    <col min="15" max="15" width="60.875" style="3546" bestFit="1" customWidth="1"/>
    <col min="16" max="256" width="9" style="3546"/>
    <col min="257" max="257" width="5.5" style="3546" customWidth="1"/>
    <col min="258" max="258" width="11.25" style="3546" customWidth="1"/>
    <col min="259" max="259" width="32.125" style="3546" bestFit="1" customWidth="1"/>
    <col min="260" max="260" width="13" style="3546" bestFit="1" customWidth="1"/>
    <col min="261" max="261" width="11.25" style="3546" customWidth="1"/>
    <col min="262" max="262" width="12.75" style="3546" bestFit="1" customWidth="1"/>
    <col min="263" max="265" width="11.25" style="3546" customWidth="1"/>
    <col min="266" max="266" width="14.25" style="3546" customWidth="1"/>
    <col min="267" max="267" width="11.25" style="3546" customWidth="1"/>
    <col min="268" max="268" width="16.125" style="3546" bestFit="1" customWidth="1"/>
    <col min="269" max="270" width="11.25" style="3546" customWidth="1"/>
    <col min="271" max="271" width="60.875" style="3546" bestFit="1" customWidth="1"/>
    <col min="272" max="512" width="9" style="3546"/>
    <col min="513" max="513" width="5.5" style="3546" customWidth="1"/>
    <col min="514" max="514" width="11.25" style="3546" customWidth="1"/>
    <col min="515" max="515" width="32.125" style="3546" bestFit="1" customWidth="1"/>
    <col min="516" max="516" width="13" style="3546" bestFit="1" customWidth="1"/>
    <col min="517" max="517" width="11.25" style="3546" customWidth="1"/>
    <col min="518" max="518" width="12.75" style="3546" bestFit="1" customWidth="1"/>
    <col min="519" max="521" width="11.25" style="3546" customWidth="1"/>
    <col min="522" max="522" width="14.25" style="3546" customWidth="1"/>
    <col min="523" max="523" width="11.25" style="3546" customWidth="1"/>
    <col min="524" max="524" width="16.125" style="3546" bestFit="1" customWidth="1"/>
    <col min="525" max="526" width="11.25" style="3546" customWidth="1"/>
    <col min="527" max="527" width="60.875" style="3546" bestFit="1" customWidth="1"/>
    <col min="528" max="768" width="9" style="3546"/>
    <col min="769" max="769" width="5.5" style="3546" customWidth="1"/>
    <col min="770" max="770" width="11.25" style="3546" customWidth="1"/>
    <col min="771" max="771" width="32.125" style="3546" bestFit="1" customWidth="1"/>
    <col min="772" max="772" width="13" style="3546" bestFit="1" customWidth="1"/>
    <col min="773" max="773" width="11.25" style="3546" customWidth="1"/>
    <col min="774" max="774" width="12.75" style="3546" bestFit="1" customWidth="1"/>
    <col min="775" max="777" width="11.25" style="3546" customWidth="1"/>
    <col min="778" max="778" width="14.25" style="3546" customWidth="1"/>
    <col min="779" max="779" width="11.25" style="3546" customWidth="1"/>
    <col min="780" max="780" width="16.125" style="3546" bestFit="1" customWidth="1"/>
    <col min="781" max="782" width="11.25" style="3546" customWidth="1"/>
    <col min="783" max="783" width="60.875" style="3546" bestFit="1" customWidth="1"/>
    <col min="784" max="1024" width="9" style="3546"/>
    <col min="1025" max="1025" width="5.5" style="3546" customWidth="1"/>
    <col min="1026" max="1026" width="11.25" style="3546" customWidth="1"/>
    <col min="1027" max="1027" width="32.125" style="3546" bestFit="1" customWidth="1"/>
    <col min="1028" max="1028" width="13" style="3546" bestFit="1" customWidth="1"/>
    <col min="1029" max="1029" width="11.25" style="3546" customWidth="1"/>
    <col min="1030" max="1030" width="12.75" style="3546" bestFit="1" customWidth="1"/>
    <col min="1031" max="1033" width="11.25" style="3546" customWidth="1"/>
    <col min="1034" max="1034" width="14.25" style="3546" customWidth="1"/>
    <col min="1035" max="1035" width="11.25" style="3546" customWidth="1"/>
    <col min="1036" max="1036" width="16.125" style="3546" bestFit="1" customWidth="1"/>
    <col min="1037" max="1038" width="11.25" style="3546" customWidth="1"/>
    <col min="1039" max="1039" width="60.875" style="3546" bestFit="1" customWidth="1"/>
    <col min="1040" max="1280" width="9" style="3546"/>
    <col min="1281" max="1281" width="5.5" style="3546" customWidth="1"/>
    <col min="1282" max="1282" width="11.25" style="3546" customWidth="1"/>
    <col min="1283" max="1283" width="32.125" style="3546" bestFit="1" customWidth="1"/>
    <col min="1284" max="1284" width="13" style="3546" bestFit="1" customWidth="1"/>
    <col min="1285" max="1285" width="11.25" style="3546" customWidth="1"/>
    <col min="1286" max="1286" width="12.75" style="3546" bestFit="1" customWidth="1"/>
    <col min="1287" max="1289" width="11.25" style="3546" customWidth="1"/>
    <col min="1290" max="1290" width="14.25" style="3546" customWidth="1"/>
    <col min="1291" max="1291" width="11.25" style="3546" customWidth="1"/>
    <col min="1292" max="1292" width="16.125" style="3546" bestFit="1" customWidth="1"/>
    <col min="1293" max="1294" width="11.25" style="3546" customWidth="1"/>
    <col min="1295" max="1295" width="60.875" style="3546" bestFit="1" customWidth="1"/>
    <col min="1296" max="1536" width="9" style="3546"/>
    <col min="1537" max="1537" width="5.5" style="3546" customWidth="1"/>
    <col min="1538" max="1538" width="11.25" style="3546" customWidth="1"/>
    <col min="1539" max="1539" width="32.125" style="3546" bestFit="1" customWidth="1"/>
    <col min="1540" max="1540" width="13" style="3546" bestFit="1" customWidth="1"/>
    <col min="1541" max="1541" width="11.25" style="3546" customWidth="1"/>
    <col min="1542" max="1542" width="12.75" style="3546" bestFit="1" customWidth="1"/>
    <col min="1543" max="1545" width="11.25" style="3546" customWidth="1"/>
    <col min="1546" max="1546" width="14.25" style="3546" customWidth="1"/>
    <col min="1547" max="1547" width="11.25" style="3546" customWidth="1"/>
    <col min="1548" max="1548" width="16.125" style="3546" bestFit="1" customWidth="1"/>
    <col min="1549" max="1550" width="11.25" style="3546" customWidth="1"/>
    <col min="1551" max="1551" width="60.875" style="3546" bestFit="1" customWidth="1"/>
    <col min="1552" max="1792" width="9" style="3546"/>
    <col min="1793" max="1793" width="5.5" style="3546" customWidth="1"/>
    <col min="1794" max="1794" width="11.25" style="3546" customWidth="1"/>
    <col min="1795" max="1795" width="32.125" style="3546" bestFit="1" customWidth="1"/>
    <col min="1796" max="1796" width="13" style="3546" bestFit="1" customWidth="1"/>
    <col min="1797" max="1797" width="11.25" style="3546" customWidth="1"/>
    <col min="1798" max="1798" width="12.75" style="3546" bestFit="1" customWidth="1"/>
    <col min="1799" max="1801" width="11.25" style="3546" customWidth="1"/>
    <col min="1802" max="1802" width="14.25" style="3546" customWidth="1"/>
    <col min="1803" max="1803" width="11.25" style="3546" customWidth="1"/>
    <col min="1804" max="1804" width="16.125" style="3546" bestFit="1" customWidth="1"/>
    <col min="1805" max="1806" width="11.25" style="3546" customWidth="1"/>
    <col min="1807" max="1807" width="60.875" style="3546" bestFit="1" customWidth="1"/>
    <col min="1808" max="2048" width="9" style="3546"/>
    <col min="2049" max="2049" width="5.5" style="3546" customWidth="1"/>
    <col min="2050" max="2050" width="11.25" style="3546" customWidth="1"/>
    <col min="2051" max="2051" width="32.125" style="3546" bestFit="1" customWidth="1"/>
    <col min="2052" max="2052" width="13" style="3546" bestFit="1" customWidth="1"/>
    <col min="2053" max="2053" width="11.25" style="3546" customWidth="1"/>
    <col min="2054" max="2054" width="12.75" style="3546" bestFit="1" customWidth="1"/>
    <col min="2055" max="2057" width="11.25" style="3546" customWidth="1"/>
    <col min="2058" max="2058" width="14.25" style="3546" customWidth="1"/>
    <col min="2059" max="2059" width="11.25" style="3546" customWidth="1"/>
    <col min="2060" max="2060" width="16.125" style="3546" bestFit="1" customWidth="1"/>
    <col min="2061" max="2062" width="11.25" style="3546" customWidth="1"/>
    <col min="2063" max="2063" width="60.875" style="3546" bestFit="1" customWidth="1"/>
    <col min="2064" max="2304" width="9" style="3546"/>
    <col min="2305" max="2305" width="5.5" style="3546" customWidth="1"/>
    <col min="2306" max="2306" width="11.25" style="3546" customWidth="1"/>
    <col min="2307" max="2307" width="32.125" style="3546" bestFit="1" customWidth="1"/>
    <col min="2308" max="2308" width="13" style="3546" bestFit="1" customWidth="1"/>
    <col min="2309" max="2309" width="11.25" style="3546" customWidth="1"/>
    <col min="2310" max="2310" width="12.75" style="3546" bestFit="1" customWidth="1"/>
    <col min="2311" max="2313" width="11.25" style="3546" customWidth="1"/>
    <col min="2314" max="2314" width="14.25" style="3546" customWidth="1"/>
    <col min="2315" max="2315" width="11.25" style="3546" customWidth="1"/>
    <col min="2316" max="2316" width="16.125" style="3546" bestFit="1" customWidth="1"/>
    <col min="2317" max="2318" width="11.25" style="3546" customWidth="1"/>
    <col min="2319" max="2319" width="60.875" style="3546" bestFit="1" customWidth="1"/>
    <col min="2320" max="2560" width="9" style="3546"/>
    <col min="2561" max="2561" width="5.5" style="3546" customWidth="1"/>
    <col min="2562" max="2562" width="11.25" style="3546" customWidth="1"/>
    <col min="2563" max="2563" width="32.125" style="3546" bestFit="1" customWidth="1"/>
    <col min="2564" max="2564" width="13" style="3546" bestFit="1" customWidth="1"/>
    <col min="2565" max="2565" width="11.25" style="3546" customWidth="1"/>
    <col min="2566" max="2566" width="12.75" style="3546" bestFit="1" customWidth="1"/>
    <col min="2567" max="2569" width="11.25" style="3546" customWidth="1"/>
    <col min="2570" max="2570" width="14.25" style="3546" customWidth="1"/>
    <col min="2571" max="2571" width="11.25" style="3546" customWidth="1"/>
    <col min="2572" max="2572" width="16.125" style="3546" bestFit="1" customWidth="1"/>
    <col min="2573" max="2574" width="11.25" style="3546" customWidth="1"/>
    <col min="2575" max="2575" width="60.875" style="3546" bestFit="1" customWidth="1"/>
    <col min="2576" max="2816" width="9" style="3546"/>
    <col min="2817" max="2817" width="5.5" style="3546" customWidth="1"/>
    <col min="2818" max="2818" width="11.25" style="3546" customWidth="1"/>
    <col min="2819" max="2819" width="32.125" style="3546" bestFit="1" customWidth="1"/>
    <col min="2820" max="2820" width="13" style="3546" bestFit="1" customWidth="1"/>
    <col min="2821" max="2821" width="11.25" style="3546" customWidth="1"/>
    <col min="2822" max="2822" width="12.75" style="3546" bestFit="1" customWidth="1"/>
    <col min="2823" max="2825" width="11.25" style="3546" customWidth="1"/>
    <col min="2826" max="2826" width="14.25" style="3546" customWidth="1"/>
    <col min="2827" max="2827" width="11.25" style="3546" customWidth="1"/>
    <col min="2828" max="2828" width="16.125" style="3546" bestFit="1" customWidth="1"/>
    <col min="2829" max="2830" width="11.25" style="3546" customWidth="1"/>
    <col min="2831" max="2831" width="60.875" style="3546" bestFit="1" customWidth="1"/>
    <col min="2832" max="3072" width="9" style="3546"/>
    <col min="3073" max="3073" width="5.5" style="3546" customWidth="1"/>
    <col min="3074" max="3074" width="11.25" style="3546" customWidth="1"/>
    <col min="3075" max="3075" width="32.125" style="3546" bestFit="1" customWidth="1"/>
    <col min="3076" max="3076" width="13" style="3546" bestFit="1" customWidth="1"/>
    <col min="3077" max="3077" width="11.25" style="3546" customWidth="1"/>
    <col min="3078" max="3078" width="12.75" style="3546" bestFit="1" customWidth="1"/>
    <col min="3079" max="3081" width="11.25" style="3546" customWidth="1"/>
    <col min="3082" max="3082" width="14.25" style="3546" customWidth="1"/>
    <col min="3083" max="3083" width="11.25" style="3546" customWidth="1"/>
    <col min="3084" max="3084" width="16.125" style="3546" bestFit="1" customWidth="1"/>
    <col min="3085" max="3086" width="11.25" style="3546" customWidth="1"/>
    <col min="3087" max="3087" width="60.875" style="3546" bestFit="1" customWidth="1"/>
    <col min="3088" max="3328" width="9" style="3546"/>
    <col min="3329" max="3329" width="5.5" style="3546" customWidth="1"/>
    <col min="3330" max="3330" width="11.25" style="3546" customWidth="1"/>
    <col min="3331" max="3331" width="32.125" style="3546" bestFit="1" customWidth="1"/>
    <col min="3332" max="3332" width="13" style="3546" bestFit="1" customWidth="1"/>
    <col min="3333" max="3333" width="11.25" style="3546" customWidth="1"/>
    <col min="3334" max="3334" width="12.75" style="3546" bestFit="1" customWidth="1"/>
    <col min="3335" max="3337" width="11.25" style="3546" customWidth="1"/>
    <col min="3338" max="3338" width="14.25" style="3546" customWidth="1"/>
    <col min="3339" max="3339" width="11.25" style="3546" customWidth="1"/>
    <col min="3340" max="3340" width="16.125" style="3546" bestFit="1" customWidth="1"/>
    <col min="3341" max="3342" width="11.25" style="3546" customWidth="1"/>
    <col min="3343" max="3343" width="60.875" style="3546" bestFit="1" customWidth="1"/>
    <col min="3344" max="3584" width="9" style="3546"/>
    <col min="3585" max="3585" width="5.5" style="3546" customWidth="1"/>
    <col min="3586" max="3586" width="11.25" style="3546" customWidth="1"/>
    <col min="3587" max="3587" width="32.125" style="3546" bestFit="1" customWidth="1"/>
    <col min="3588" max="3588" width="13" style="3546" bestFit="1" customWidth="1"/>
    <col min="3589" max="3589" width="11.25" style="3546" customWidth="1"/>
    <col min="3590" max="3590" width="12.75" style="3546" bestFit="1" customWidth="1"/>
    <col min="3591" max="3593" width="11.25" style="3546" customWidth="1"/>
    <col min="3594" max="3594" width="14.25" style="3546" customWidth="1"/>
    <col min="3595" max="3595" width="11.25" style="3546" customWidth="1"/>
    <col min="3596" max="3596" width="16.125" style="3546" bestFit="1" customWidth="1"/>
    <col min="3597" max="3598" width="11.25" style="3546" customWidth="1"/>
    <col min="3599" max="3599" width="60.875" style="3546" bestFit="1" customWidth="1"/>
    <col min="3600" max="3840" width="9" style="3546"/>
    <col min="3841" max="3841" width="5.5" style="3546" customWidth="1"/>
    <col min="3842" max="3842" width="11.25" style="3546" customWidth="1"/>
    <col min="3843" max="3843" width="32.125" style="3546" bestFit="1" customWidth="1"/>
    <col min="3844" max="3844" width="13" style="3546" bestFit="1" customWidth="1"/>
    <col min="3845" max="3845" width="11.25" style="3546" customWidth="1"/>
    <col min="3846" max="3846" width="12.75" style="3546" bestFit="1" customWidth="1"/>
    <col min="3847" max="3849" width="11.25" style="3546" customWidth="1"/>
    <col min="3850" max="3850" width="14.25" style="3546" customWidth="1"/>
    <col min="3851" max="3851" width="11.25" style="3546" customWidth="1"/>
    <col min="3852" max="3852" width="16.125" style="3546" bestFit="1" customWidth="1"/>
    <col min="3853" max="3854" width="11.25" style="3546" customWidth="1"/>
    <col min="3855" max="3855" width="60.875" style="3546" bestFit="1" customWidth="1"/>
    <col min="3856" max="4096" width="9" style="3546"/>
    <col min="4097" max="4097" width="5.5" style="3546" customWidth="1"/>
    <col min="4098" max="4098" width="11.25" style="3546" customWidth="1"/>
    <col min="4099" max="4099" width="32.125" style="3546" bestFit="1" customWidth="1"/>
    <col min="4100" max="4100" width="13" style="3546" bestFit="1" customWidth="1"/>
    <col min="4101" max="4101" width="11.25" style="3546" customWidth="1"/>
    <col min="4102" max="4102" width="12.75" style="3546" bestFit="1" customWidth="1"/>
    <col min="4103" max="4105" width="11.25" style="3546" customWidth="1"/>
    <col min="4106" max="4106" width="14.25" style="3546" customWidth="1"/>
    <col min="4107" max="4107" width="11.25" style="3546" customWidth="1"/>
    <col min="4108" max="4108" width="16.125" style="3546" bestFit="1" customWidth="1"/>
    <col min="4109" max="4110" width="11.25" style="3546" customWidth="1"/>
    <col min="4111" max="4111" width="60.875" style="3546" bestFit="1" customWidth="1"/>
    <col min="4112" max="4352" width="9" style="3546"/>
    <col min="4353" max="4353" width="5.5" style="3546" customWidth="1"/>
    <col min="4354" max="4354" width="11.25" style="3546" customWidth="1"/>
    <col min="4355" max="4355" width="32.125" style="3546" bestFit="1" customWidth="1"/>
    <col min="4356" max="4356" width="13" style="3546" bestFit="1" customWidth="1"/>
    <col min="4357" max="4357" width="11.25" style="3546" customWidth="1"/>
    <col min="4358" max="4358" width="12.75" style="3546" bestFit="1" customWidth="1"/>
    <col min="4359" max="4361" width="11.25" style="3546" customWidth="1"/>
    <col min="4362" max="4362" width="14.25" style="3546" customWidth="1"/>
    <col min="4363" max="4363" width="11.25" style="3546" customWidth="1"/>
    <col min="4364" max="4364" width="16.125" style="3546" bestFit="1" customWidth="1"/>
    <col min="4365" max="4366" width="11.25" style="3546" customWidth="1"/>
    <col min="4367" max="4367" width="60.875" style="3546" bestFit="1" customWidth="1"/>
    <col min="4368" max="4608" width="9" style="3546"/>
    <col min="4609" max="4609" width="5.5" style="3546" customWidth="1"/>
    <col min="4610" max="4610" width="11.25" style="3546" customWidth="1"/>
    <col min="4611" max="4611" width="32.125" style="3546" bestFit="1" customWidth="1"/>
    <col min="4612" max="4612" width="13" style="3546" bestFit="1" customWidth="1"/>
    <col min="4613" max="4613" width="11.25" style="3546" customWidth="1"/>
    <col min="4614" max="4614" width="12.75" style="3546" bestFit="1" customWidth="1"/>
    <col min="4615" max="4617" width="11.25" style="3546" customWidth="1"/>
    <col min="4618" max="4618" width="14.25" style="3546" customWidth="1"/>
    <col min="4619" max="4619" width="11.25" style="3546" customWidth="1"/>
    <col min="4620" max="4620" width="16.125" style="3546" bestFit="1" customWidth="1"/>
    <col min="4621" max="4622" width="11.25" style="3546" customWidth="1"/>
    <col min="4623" max="4623" width="60.875" style="3546" bestFit="1" customWidth="1"/>
    <col min="4624" max="4864" width="9" style="3546"/>
    <col min="4865" max="4865" width="5.5" style="3546" customWidth="1"/>
    <col min="4866" max="4866" width="11.25" style="3546" customWidth="1"/>
    <col min="4867" max="4867" width="32.125" style="3546" bestFit="1" customWidth="1"/>
    <col min="4868" max="4868" width="13" style="3546" bestFit="1" customWidth="1"/>
    <col min="4869" max="4869" width="11.25" style="3546" customWidth="1"/>
    <col min="4870" max="4870" width="12.75" style="3546" bestFit="1" customWidth="1"/>
    <col min="4871" max="4873" width="11.25" style="3546" customWidth="1"/>
    <col min="4874" max="4874" width="14.25" style="3546" customWidth="1"/>
    <col min="4875" max="4875" width="11.25" style="3546" customWidth="1"/>
    <col min="4876" max="4876" width="16.125" style="3546" bestFit="1" customWidth="1"/>
    <col min="4877" max="4878" width="11.25" style="3546" customWidth="1"/>
    <col min="4879" max="4879" width="60.875" style="3546" bestFit="1" customWidth="1"/>
    <col min="4880" max="5120" width="9" style="3546"/>
    <col min="5121" max="5121" width="5.5" style="3546" customWidth="1"/>
    <col min="5122" max="5122" width="11.25" style="3546" customWidth="1"/>
    <col min="5123" max="5123" width="32.125" style="3546" bestFit="1" customWidth="1"/>
    <col min="5124" max="5124" width="13" style="3546" bestFit="1" customWidth="1"/>
    <col min="5125" max="5125" width="11.25" style="3546" customWidth="1"/>
    <col min="5126" max="5126" width="12.75" style="3546" bestFit="1" customWidth="1"/>
    <col min="5127" max="5129" width="11.25" style="3546" customWidth="1"/>
    <col min="5130" max="5130" width="14.25" style="3546" customWidth="1"/>
    <col min="5131" max="5131" width="11.25" style="3546" customWidth="1"/>
    <col min="5132" max="5132" width="16.125" style="3546" bestFit="1" customWidth="1"/>
    <col min="5133" max="5134" width="11.25" style="3546" customWidth="1"/>
    <col min="5135" max="5135" width="60.875" style="3546" bestFit="1" customWidth="1"/>
    <col min="5136" max="5376" width="9" style="3546"/>
    <col min="5377" max="5377" width="5.5" style="3546" customWidth="1"/>
    <col min="5378" max="5378" width="11.25" style="3546" customWidth="1"/>
    <col min="5379" max="5379" width="32.125" style="3546" bestFit="1" customWidth="1"/>
    <col min="5380" max="5380" width="13" style="3546" bestFit="1" customWidth="1"/>
    <col min="5381" max="5381" width="11.25" style="3546" customWidth="1"/>
    <col min="5382" max="5382" width="12.75" style="3546" bestFit="1" customWidth="1"/>
    <col min="5383" max="5385" width="11.25" style="3546" customWidth="1"/>
    <col min="5386" max="5386" width="14.25" style="3546" customWidth="1"/>
    <col min="5387" max="5387" width="11.25" style="3546" customWidth="1"/>
    <col min="5388" max="5388" width="16.125" style="3546" bestFit="1" customWidth="1"/>
    <col min="5389" max="5390" width="11.25" style="3546" customWidth="1"/>
    <col min="5391" max="5391" width="60.875" style="3546" bestFit="1" customWidth="1"/>
    <col min="5392" max="5632" width="9" style="3546"/>
    <col min="5633" max="5633" width="5.5" style="3546" customWidth="1"/>
    <col min="5634" max="5634" width="11.25" style="3546" customWidth="1"/>
    <col min="5635" max="5635" width="32.125" style="3546" bestFit="1" customWidth="1"/>
    <col min="5636" max="5636" width="13" style="3546" bestFit="1" customWidth="1"/>
    <col min="5637" max="5637" width="11.25" style="3546" customWidth="1"/>
    <col min="5638" max="5638" width="12.75" style="3546" bestFit="1" customWidth="1"/>
    <col min="5639" max="5641" width="11.25" style="3546" customWidth="1"/>
    <col min="5642" max="5642" width="14.25" style="3546" customWidth="1"/>
    <col min="5643" max="5643" width="11.25" style="3546" customWidth="1"/>
    <col min="5644" max="5644" width="16.125" style="3546" bestFit="1" customWidth="1"/>
    <col min="5645" max="5646" width="11.25" style="3546" customWidth="1"/>
    <col min="5647" max="5647" width="60.875" style="3546" bestFit="1" customWidth="1"/>
    <col min="5648" max="5888" width="9" style="3546"/>
    <col min="5889" max="5889" width="5.5" style="3546" customWidth="1"/>
    <col min="5890" max="5890" width="11.25" style="3546" customWidth="1"/>
    <col min="5891" max="5891" width="32.125" style="3546" bestFit="1" customWidth="1"/>
    <col min="5892" max="5892" width="13" style="3546" bestFit="1" customWidth="1"/>
    <col min="5893" max="5893" width="11.25" style="3546" customWidth="1"/>
    <col min="5894" max="5894" width="12.75" style="3546" bestFit="1" customWidth="1"/>
    <col min="5895" max="5897" width="11.25" style="3546" customWidth="1"/>
    <col min="5898" max="5898" width="14.25" style="3546" customWidth="1"/>
    <col min="5899" max="5899" width="11.25" style="3546" customWidth="1"/>
    <col min="5900" max="5900" width="16.125" style="3546" bestFit="1" customWidth="1"/>
    <col min="5901" max="5902" width="11.25" style="3546" customWidth="1"/>
    <col min="5903" max="5903" width="60.875" style="3546" bestFit="1" customWidth="1"/>
    <col min="5904" max="6144" width="9" style="3546"/>
    <col min="6145" max="6145" width="5.5" style="3546" customWidth="1"/>
    <col min="6146" max="6146" width="11.25" style="3546" customWidth="1"/>
    <col min="6147" max="6147" width="32.125" style="3546" bestFit="1" customWidth="1"/>
    <col min="6148" max="6148" width="13" style="3546" bestFit="1" customWidth="1"/>
    <col min="6149" max="6149" width="11.25" style="3546" customWidth="1"/>
    <col min="6150" max="6150" width="12.75" style="3546" bestFit="1" customWidth="1"/>
    <col min="6151" max="6153" width="11.25" style="3546" customWidth="1"/>
    <col min="6154" max="6154" width="14.25" style="3546" customWidth="1"/>
    <col min="6155" max="6155" width="11.25" style="3546" customWidth="1"/>
    <col min="6156" max="6156" width="16.125" style="3546" bestFit="1" customWidth="1"/>
    <col min="6157" max="6158" width="11.25" style="3546" customWidth="1"/>
    <col min="6159" max="6159" width="60.875" style="3546" bestFit="1" customWidth="1"/>
    <col min="6160" max="6400" width="9" style="3546"/>
    <col min="6401" max="6401" width="5.5" style="3546" customWidth="1"/>
    <col min="6402" max="6402" width="11.25" style="3546" customWidth="1"/>
    <col min="6403" max="6403" width="32.125" style="3546" bestFit="1" customWidth="1"/>
    <col min="6404" max="6404" width="13" style="3546" bestFit="1" customWidth="1"/>
    <col min="6405" max="6405" width="11.25" style="3546" customWidth="1"/>
    <col min="6406" max="6406" width="12.75" style="3546" bestFit="1" customWidth="1"/>
    <col min="6407" max="6409" width="11.25" style="3546" customWidth="1"/>
    <col min="6410" max="6410" width="14.25" style="3546" customWidth="1"/>
    <col min="6411" max="6411" width="11.25" style="3546" customWidth="1"/>
    <col min="6412" max="6412" width="16.125" style="3546" bestFit="1" customWidth="1"/>
    <col min="6413" max="6414" width="11.25" style="3546" customWidth="1"/>
    <col min="6415" max="6415" width="60.875" style="3546" bestFit="1" customWidth="1"/>
    <col min="6416" max="6656" width="9" style="3546"/>
    <col min="6657" max="6657" width="5.5" style="3546" customWidth="1"/>
    <col min="6658" max="6658" width="11.25" style="3546" customWidth="1"/>
    <col min="6659" max="6659" width="32.125" style="3546" bestFit="1" customWidth="1"/>
    <col min="6660" max="6660" width="13" style="3546" bestFit="1" customWidth="1"/>
    <col min="6661" max="6661" width="11.25" style="3546" customWidth="1"/>
    <col min="6662" max="6662" width="12.75" style="3546" bestFit="1" customWidth="1"/>
    <col min="6663" max="6665" width="11.25" style="3546" customWidth="1"/>
    <col min="6666" max="6666" width="14.25" style="3546" customWidth="1"/>
    <col min="6667" max="6667" width="11.25" style="3546" customWidth="1"/>
    <col min="6668" max="6668" width="16.125" style="3546" bestFit="1" customWidth="1"/>
    <col min="6669" max="6670" width="11.25" style="3546" customWidth="1"/>
    <col min="6671" max="6671" width="60.875" style="3546" bestFit="1" customWidth="1"/>
    <col min="6672" max="6912" width="9" style="3546"/>
    <col min="6913" max="6913" width="5.5" style="3546" customWidth="1"/>
    <col min="6914" max="6914" width="11.25" style="3546" customWidth="1"/>
    <col min="6915" max="6915" width="32.125" style="3546" bestFit="1" customWidth="1"/>
    <col min="6916" max="6916" width="13" style="3546" bestFit="1" customWidth="1"/>
    <col min="6917" max="6917" width="11.25" style="3546" customWidth="1"/>
    <col min="6918" max="6918" width="12.75" style="3546" bestFit="1" customWidth="1"/>
    <col min="6919" max="6921" width="11.25" style="3546" customWidth="1"/>
    <col min="6922" max="6922" width="14.25" style="3546" customWidth="1"/>
    <col min="6923" max="6923" width="11.25" style="3546" customWidth="1"/>
    <col min="6924" max="6924" width="16.125" style="3546" bestFit="1" customWidth="1"/>
    <col min="6925" max="6926" width="11.25" style="3546" customWidth="1"/>
    <col min="6927" max="6927" width="60.875" style="3546" bestFit="1" customWidth="1"/>
    <col min="6928" max="7168" width="9" style="3546"/>
    <col min="7169" max="7169" width="5.5" style="3546" customWidth="1"/>
    <col min="7170" max="7170" width="11.25" style="3546" customWidth="1"/>
    <col min="7171" max="7171" width="32.125" style="3546" bestFit="1" customWidth="1"/>
    <col min="7172" max="7172" width="13" style="3546" bestFit="1" customWidth="1"/>
    <col min="7173" max="7173" width="11.25" style="3546" customWidth="1"/>
    <col min="7174" max="7174" width="12.75" style="3546" bestFit="1" customWidth="1"/>
    <col min="7175" max="7177" width="11.25" style="3546" customWidth="1"/>
    <col min="7178" max="7178" width="14.25" style="3546" customWidth="1"/>
    <col min="7179" max="7179" width="11.25" style="3546" customWidth="1"/>
    <col min="7180" max="7180" width="16.125" style="3546" bestFit="1" customWidth="1"/>
    <col min="7181" max="7182" width="11.25" style="3546" customWidth="1"/>
    <col min="7183" max="7183" width="60.875" style="3546" bestFit="1" customWidth="1"/>
    <col min="7184" max="7424" width="9" style="3546"/>
    <col min="7425" max="7425" width="5.5" style="3546" customWidth="1"/>
    <col min="7426" max="7426" width="11.25" style="3546" customWidth="1"/>
    <col min="7427" max="7427" width="32.125" style="3546" bestFit="1" customWidth="1"/>
    <col min="7428" max="7428" width="13" style="3546" bestFit="1" customWidth="1"/>
    <col min="7429" max="7429" width="11.25" style="3546" customWidth="1"/>
    <col min="7430" max="7430" width="12.75" style="3546" bestFit="1" customWidth="1"/>
    <col min="7431" max="7433" width="11.25" style="3546" customWidth="1"/>
    <col min="7434" max="7434" width="14.25" style="3546" customWidth="1"/>
    <col min="7435" max="7435" width="11.25" style="3546" customWidth="1"/>
    <col min="7436" max="7436" width="16.125" style="3546" bestFit="1" customWidth="1"/>
    <col min="7437" max="7438" width="11.25" style="3546" customWidth="1"/>
    <col min="7439" max="7439" width="60.875" style="3546" bestFit="1" customWidth="1"/>
    <col min="7440" max="7680" width="9" style="3546"/>
    <col min="7681" max="7681" width="5.5" style="3546" customWidth="1"/>
    <col min="7682" max="7682" width="11.25" style="3546" customWidth="1"/>
    <col min="7683" max="7683" width="32.125" style="3546" bestFit="1" customWidth="1"/>
    <col min="7684" max="7684" width="13" style="3546" bestFit="1" customWidth="1"/>
    <col min="7685" max="7685" width="11.25" style="3546" customWidth="1"/>
    <col min="7686" max="7686" width="12.75" style="3546" bestFit="1" customWidth="1"/>
    <col min="7687" max="7689" width="11.25" style="3546" customWidth="1"/>
    <col min="7690" max="7690" width="14.25" style="3546" customWidth="1"/>
    <col min="7691" max="7691" width="11.25" style="3546" customWidth="1"/>
    <col min="7692" max="7692" width="16.125" style="3546" bestFit="1" customWidth="1"/>
    <col min="7693" max="7694" width="11.25" style="3546" customWidth="1"/>
    <col min="7695" max="7695" width="60.875" style="3546" bestFit="1" customWidth="1"/>
    <col min="7696" max="7936" width="9" style="3546"/>
    <col min="7937" max="7937" width="5.5" style="3546" customWidth="1"/>
    <col min="7938" max="7938" width="11.25" style="3546" customWidth="1"/>
    <col min="7939" max="7939" width="32.125" style="3546" bestFit="1" customWidth="1"/>
    <col min="7940" max="7940" width="13" style="3546" bestFit="1" customWidth="1"/>
    <col min="7941" max="7941" width="11.25" style="3546" customWidth="1"/>
    <col min="7942" max="7942" width="12.75" style="3546" bestFit="1" customWidth="1"/>
    <col min="7943" max="7945" width="11.25" style="3546" customWidth="1"/>
    <col min="7946" max="7946" width="14.25" style="3546" customWidth="1"/>
    <col min="7947" max="7947" width="11.25" style="3546" customWidth="1"/>
    <col min="7948" max="7948" width="16.125" style="3546" bestFit="1" customWidth="1"/>
    <col min="7949" max="7950" width="11.25" style="3546" customWidth="1"/>
    <col min="7951" max="7951" width="60.875" style="3546" bestFit="1" customWidth="1"/>
    <col min="7952" max="8192" width="9" style="3546"/>
    <col min="8193" max="8193" width="5.5" style="3546" customWidth="1"/>
    <col min="8194" max="8194" width="11.25" style="3546" customWidth="1"/>
    <col min="8195" max="8195" width="32.125" style="3546" bestFit="1" customWidth="1"/>
    <col min="8196" max="8196" width="13" style="3546" bestFit="1" customWidth="1"/>
    <col min="8197" max="8197" width="11.25" style="3546" customWidth="1"/>
    <col min="8198" max="8198" width="12.75" style="3546" bestFit="1" customWidth="1"/>
    <col min="8199" max="8201" width="11.25" style="3546" customWidth="1"/>
    <col min="8202" max="8202" width="14.25" style="3546" customWidth="1"/>
    <col min="8203" max="8203" width="11.25" style="3546" customWidth="1"/>
    <col min="8204" max="8204" width="16.125" style="3546" bestFit="1" customWidth="1"/>
    <col min="8205" max="8206" width="11.25" style="3546" customWidth="1"/>
    <col min="8207" max="8207" width="60.875" style="3546" bestFit="1" customWidth="1"/>
    <col min="8208" max="8448" width="9" style="3546"/>
    <col min="8449" max="8449" width="5.5" style="3546" customWidth="1"/>
    <col min="8450" max="8450" width="11.25" style="3546" customWidth="1"/>
    <col min="8451" max="8451" width="32.125" style="3546" bestFit="1" customWidth="1"/>
    <col min="8452" max="8452" width="13" style="3546" bestFit="1" customWidth="1"/>
    <col min="8453" max="8453" width="11.25" style="3546" customWidth="1"/>
    <col min="8454" max="8454" width="12.75" style="3546" bestFit="1" customWidth="1"/>
    <col min="8455" max="8457" width="11.25" style="3546" customWidth="1"/>
    <col min="8458" max="8458" width="14.25" style="3546" customWidth="1"/>
    <col min="8459" max="8459" width="11.25" style="3546" customWidth="1"/>
    <col min="8460" max="8460" width="16.125" style="3546" bestFit="1" customWidth="1"/>
    <col min="8461" max="8462" width="11.25" style="3546" customWidth="1"/>
    <col min="8463" max="8463" width="60.875" style="3546" bestFit="1" customWidth="1"/>
    <col min="8464" max="8704" width="9" style="3546"/>
    <col min="8705" max="8705" width="5.5" style="3546" customWidth="1"/>
    <col min="8706" max="8706" width="11.25" style="3546" customWidth="1"/>
    <col min="8707" max="8707" width="32.125" style="3546" bestFit="1" customWidth="1"/>
    <col min="8708" max="8708" width="13" style="3546" bestFit="1" customWidth="1"/>
    <col min="8709" max="8709" width="11.25" style="3546" customWidth="1"/>
    <col min="8710" max="8710" width="12.75" style="3546" bestFit="1" customWidth="1"/>
    <col min="8711" max="8713" width="11.25" style="3546" customWidth="1"/>
    <col min="8714" max="8714" width="14.25" style="3546" customWidth="1"/>
    <col min="8715" max="8715" width="11.25" style="3546" customWidth="1"/>
    <col min="8716" max="8716" width="16.125" style="3546" bestFit="1" customWidth="1"/>
    <col min="8717" max="8718" width="11.25" style="3546" customWidth="1"/>
    <col min="8719" max="8719" width="60.875" style="3546" bestFit="1" customWidth="1"/>
    <col min="8720" max="8960" width="9" style="3546"/>
    <col min="8961" max="8961" width="5.5" style="3546" customWidth="1"/>
    <col min="8962" max="8962" width="11.25" style="3546" customWidth="1"/>
    <col min="8963" max="8963" width="32.125" style="3546" bestFit="1" customWidth="1"/>
    <col min="8964" max="8964" width="13" style="3546" bestFit="1" customWidth="1"/>
    <col min="8965" max="8965" width="11.25" style="3546" customWidth="1"/>
    <col min="8966" max="8966" width="12.75" style="3546" bestFit="1" customWidth="1"/>
    <col min="8967" max="8969" width="11.25" style="3546" customWidth="1"/>
    <col min="8970" max="8970" width="14.25" style="3546" customWidth="1"/>
    <col min="8971" max="8971" width="11.25" style="3546" customWidth="1"/>
    <col min="8972" max="8972" width="16.125" style="3546" bestFit="1" customWidth="1"/>
    <col min="8973" max="8974" width="11.25" style="3546" customWidth="1"/>
    <col min="8975" max="8975" width="60.875" style="3546" bestFit="1" customWidth="1"/>
    <col min="8976" max="9216" width="9" style="3546"/>
    <col min="9217" max="9217" width="5.5" style="3546" customWidth="1"/>
    <col min="9218" max="9218" width="11.25" style="3546" customWidth="1"/>
    <col min="9219" max="9219" width="32.125" style="3546" bestFit="1" customWidth="1"/>
    <col min="9220" max="9220" width="13" style="3546" bestFit="1" customWidth="1"/>
    <col min="9221" max="9221" width="11.25" style="3546" customWidth="1"/>
    <col min="9222" max="9222" width="12.75" style="3546" bestFit="1" customWidth="1"/>
    <col min="9223" max="9225" width="11.25" style="3546" customWidth="1"/>
    <col min="9226" max="9226" width="14.25" style="3546" customWidth="1"/>
    <col min="9227" max="9227" width="11.25" style="3546" customWidth="1"/>
    <col min="9228" max="9228" width="16.125" style="3546" bestFit="1" customWidth="1"/>
    <col min="9229" max="9230" width="11.25" style="3546" customWidth="1"/>
    <col min="9231" max="9231" width="60.875" style="3546" bestFit="1" customWidth="1"/>
    <col min="9232" max="9472" width="9" style="3546"/>
    <col min="9473" max="9473" width="5.5" style="3546" customWidth="1"/>
    <col min="9474" max="9474" width="11.25" style="3546" customWidth="1"/>
    <col min="9475" max="9475" width="32.125" style="3546" bestFit="1" customWidth="1"/>
    <col min="9476" max="9476" width="13" style="3546" bestFit="1" customWidth="1"/>
    <col min="9477" max="9477" width="11.25" style="3546" customWidth="1"/>
    <col min="9478" max="9478" width="12.75" style="3546" bestFit="1" customWidth="1"/>
    <col min="9479" max="9481" width="11.25" style="3546" customWidth="1"/>
    <col min="9482" max="9482" width="14.25" style="3546" customWidth="1"/>
    <col min="9483" max="9483" width="11.25" style="3546" customWidth="1"/>
    <col min="9484" max="9484" width="16.125" style="3546" bestFit="1" customWidth="1"/>
    <col min="9485" max="9486" width="11.25" style="3546" customWidth="1"/>
    <col min="9487" max="9487" width="60.875" style="3546" bestFit="1" customWidth="1"/>
    <col min="9488" max="9728" width="9" style="3546"/>
    <col min="9729" max="9729" width="5.5" style="3546" customWidth="1"/>
    <col min="9730" max="9730" width="11.25" style="3546" customWidth="1"/>
    <col min="9731" max="9731" width="32.125" style="3546" bestFit="1" customWidth="1"/>
    <col min="9732" max="9732" width="13" style="3546" bestFit="1" customWidth="1"/>
    <col min="9733" max="9733" width="11.25" style="3546" customWidth="1"/>
    <col min="9734" max="9734" width="12.75" style="3546" bestFit="1" customWidth="1"/>
    <col min="9735" max="9737" width="11.25" style="3546" customWidth="1"/>
    <col min="9738" max="9738" width="14.25" style="3546" customWidth="1"/>
    <col min="9739" max="9739" width="11.25" style="3546" customWidth="1"/>
    <col min="9740" max="9740" width="16.125" style="3546" bestFit="1" customWidth="1"/>
    <col min="9741" max="9742" width="11.25" style="3546" customWidth="1"/>
    <col min="9743" max="9743" width="60.875" style="3546" bestFit="1" customWidth="1"/>
    <col min="9744" max="9984" width="9" style="3546"/>
    <col min="9985" max="9985" width="5.5" style="3546" customWidth="1"/>
    <col min="9986" max="9986" width="11.25" style="3546" customWidth="1"/>
    <col min="9987" max="9987" width="32.125" style="3546" bestFit="1" customWidth="1"/>
    <col min="9988" max="9988" width="13" style="3546" bestFit="1" customWidth="1"/>
    <col min="9989" max="9989" width="11.25" style="3546" customWidth="1"/>
    <col min="9990" max="9990" width="12.75" style="3546" bestFit="1" customWidth="1"/>
    <col min="9991" max="9993" width="11.25" style="3546" customWidth="1"/>
    <col min="9994" max="9994" width="14.25" style="3546" customWidth="1"/>
    <col min="9995" max="9995" width="11.25" style="3546" customWidth="1"/>
    <col min="9996" max="9996" width="16.125" style="3546" bestFit="1" customWidth="1"/>
    <col min="9997" max="9998" width="11.25" style="3546" customWidth="1"/>
    <col min="9999" max="9999" width="60.875" style="3546" bestFit="1" customWidth="1"/>
    <col min="10000" max="10240" width="9" style="3546"/>
    <col min="10241" max="10241" width="5.5" style="3546" customWidth="1"/>
    <col min="10242" max="10242" width="11.25" style="3546" customWidth="1"/>
    <col min="10243" max="10243" width="32.125" style="3546" bestFit="1" customWidth="1"/>
    <col min="10244" max="10244" width="13" style="3546" bestFit="1" customWidth="1"/>
    <col min="10245" max="10245" width="11.25" style="3546" customWidth="1"/>
    <col min="10246" max="10246" width="12.75" style="3546" bestFit="1" customWidth="1"/>
    <col min="10247" max="10249" width="11.25" style="3546" customWidth="1"/>
    <col min="10250" max="10250" width="14.25" style="3546" customWidth="1"/>
    <col min="10251" max="10251" width="11.25" style="3546" customWidth="1"/>
    <col min="10252" max="10252" width="16.125" style="3546" bestFit="1" customWidth="1"/>
    <col min="10253" max="10254" width="11.25" style="3546" customWidth="1"/>
    <col min="10255" max="10255" width="60.875" style="3546" bestFit="1" customWidth="1"/>
    <col min="10256" max="10496" width="9" style="3546"/>
    <col min="10497" max="10497" width="5.5" style="3546" customWidth="1"/>
    <col min="10498" max="10498" width="11.25" style="3546" customWidth="1"/>
    <col min="10499" max="10499" width="32.125" style="3546" bestFit="1" customWidth="1"/>
    <col min="10500" max="10500" width="13" style="3546" bestFit="1" customWidth="1"/>
    <col min="10501" max="10501" width="11.25" style="3546" customWidth="1"/>
    <col min="10502" max="10502" width="12.75" style="3546" bestFit="1" customWidth="1"/>
    <col min="10503" max="10505" width="11.25" style="3546" customWidth="1"/>
    <col min="10506" max="10506" width="14.25" style="3546" customWidth="1"/>
    <col min="10507" max="10507" width="11.25" style="3546" customWidth="1"/>
    <col min="10508" max="10508" width="16.125" style="3546" bestFit="1" customWidth="1"/>
    <col min="10509" max="10510" width="11.25" style="3546" customWidth="1"/>
    <col min="10511" max="10511" width="60.875" style="3546" bestFit="1" customWidth="1"/>
    <col min="10512" max="10752" width="9" style="3546"/>
    <col min="10753" max="10753" width="5.5" style="3546" customWidth="1"/>
    <col min="10754" max="10754" width="11.25" style="3546" customWidth="1"/>
    <col min="10755" max="10755" width="32.125" style="3546" bestFit="1" customWidth="1"/>
    <col min="10756" max="10756" width="13" style="3546" bestFit="1" customWidth="1"/>
    <col min="10757" max="10757" width="11.25" style="3546" customWidth="1"/>
    <col min="10758" max="10758" width="12.75" style="3546" bestFit="1" customWidth="1"/>
    <col min="10759" max="10761" width="11.25" style="3546" customWidth="1"/>
    <col min="10762" max="10762" width="14.25" style="3546" customWidth="1"/>
    <col min="10763" max="10763" width="11.25" style="3546" customWidth="1"/>
    <col min="10764" max="10764" width="16.125" style="3546" bestFit="1" customWidth="1"/>
    <col min="10765" max="10766" width="11.25" style="3546" customWidth="1"/>
    <col min="10767" max="10767" width="60.875" style="3546" bestFit="1" customWidth="1"/>
    <col min="10768" max="11008" width="9" style="3546"/>
    <col min="11009" max="11009" width="5.5" style="3546" customWidth="1"/>
    <col min="11010" max="11010" width="11.25" style="3546" customWidth="1"/>
    <col min="11011" max="11011" width="32.125" style="3546" bestFit="1" customWidth="1"/>
    <col min="11012" max="11012" width="13" style="3546" bestFit="1" customWidth="1"/>
    <col min="11013" max="11013" width="11.25" style="3546" customWidth="1"/>
    <col min="11014" max="11014" width="12.75" style="3546" bestFit="1" customWidth="1"/>
    <col min="11015" max="11017" width="11.25" style="3546" customWidth="1"/>
    <col min="11018" max="11018" width="14.25" style="3546" customWidth="1"/>
    <col min="11019" max="11019" width="11.25" style="3546" customWidth="1"/>
    <col min="11020" max="11020" width="16.125" style="3546" bestFit="1" customWidth="1"/>
    <col min="11021" max="11022" width="11.25" style="3546" customWidth="1"/>
    <col min="11023" max="11023" width="60.875" style="3546" bestFit="1" customWidth="1"/>
    <col min="11024" max="11264" width="9" style="3546"/>
    <col min="11265" max="11265" width="5.5" style="3546" customWidth="1"/>
    <col min="11266" max="11266" width="11.25" style="3546" customWidth="1"/>
    <col min="11267" max="11267" width="32.125" style="3546" bestFit="1" customWidth="1"/>
    <col min="11268" max="11268" width="13" style="3546" bestFit="1" customWidth="1"/>
    <col min="11269" max="11269" width="11.25" style="3546" customWidth="1"/>
    <col min="11270" max="11270" width="12.75" style="3546" bestFit="1" customWidth="1"/>
    <col min="11271" max="11273" width="11.25" style="3546" customWidth="1"/>
    <col min="11274" max="11274" width="14.25" style="3546" customWidth="1"/>
    <col min="11275" max="11275" width="11.25" style="3546" customWidth="1"/>
    <col min="11276" max="11276" width="16.125" style="3546" bestFit="1" customWidth="1"/>
    <col min="11277" max="11278" width="11.25" style="3546" customWidth="1"/>
    <col min="11279" max="11279" width="60.875" style="3546" bestFit="1" customWidth="1"/>
    <col min="11280" max="11520" width="9" style="3546"/>
    <col min="11521" max="11521" width="5.5" style="3546" customWidth="1"/>
    <col min="11522" max="11522" width="11.25" style="3546" customWidth="1"/>
    <col min="11523" max="11523" width="32.125" style="3546" bestFit="1" customWidth="1"/>
    <col min="11524" max="11524" width="13" style="3546" bestFit="1" customWidth="1"/>
    <col min="11525" max="11525" width="11.25" style="3546" customWidth="1"/>
    <col min="11526" max="11526" width="12.75" style="3546" bestFit="1" customWidth="1"/>
    <col min="11527" max="11529" width="11.25" style="3546" customWidth="1"/>
    <col min="11530" max="11530" width="14.25" style="3546" customWidth="1"/>
    <col min="11531" max="11531" width="11.25" style="3546" customWidth="1"/>
    <col min="11532" max="11532" width="16.125" style="3546" bestFit="1" customWidth="1"/>
    <col min="11533" max="11534" width="11.25" style="3546" customWidth="1"/>
    <col min="11535" max="11535" width="60.875" style="3546" bestFit="1" customWidth="1"/>
    <col min="11536" max="11776" width="9" style="3546"/>
    <col min="11777" max="11777" width="5.5" style="3546" customWidth="1"/>
    <col min="11778" max="11778" width="11.25" style="3546" customWidth="1"/>
    <col min="11779" max="11779" width="32.125" style="3546" bestFit="1" customWidth="1"/>
    <col min="11780" max="11780" width="13" style="3546" bestFit="1" customWidth="1"/>
    <col min="11781" max="11781" width="11.25" style="3546" customWidth="1"/>
    <col min="11782" max="11782" width="12.75" style="3546" bestFit="1" customWidth="1"/>
    <col min="11783" max="11785" width="11.25" style="3546" customWidth="1"/>
    <col min="11786" max="11786" width="14.25" style="3546" customWidth="1"/>
    <col min="11787" max="11787" width="11.25" style="3546" customWidth="1"/>
    <col min="11788" max="11788" width="16.125" style="3546" bestFit="1" customWidth="1"/>
    <col min="11789" max="11790" width="11.25" style="3546" customWidth="1"/>
    <col min="11791" max="11791" width="60.875" style="3546" bestFit="1" customWidth="1"/>
    <col min="11792" max="12032" width="9" style="3546"/>
    <col min="12033" max="12033" width="5.5" style="3546" customWidth="1"/>
    <col min="12034" max="12034" width="11.25" style="3546" customWidth="1"/>
    <col min="12035" max="12035" width="32.125" style="3546" bestFit="1" customWidth="1"/>
    <col min="12036" max="12036" width="13" style="3546" bestFit="1" customWidth="1"/>
    <col min="12037" max="12037" width="11.25" style="3546" customWidth="1"/>
    <col min="12038" max="12038" width="12.75" style="3546" bestFit="1" customWidth="1"/>
    <col min="12039" max="12041" width="11.25" style="3546" customWidth="1"/>
    <col min="12042" max="12042" width="14.25" style="3546" customWidth="1"/>
    <col min="12043" max="12043" width="11.25" style="3546" customWidth="1"/>
    <col min="12044" max="12044" width="16.125" style="3546" bestFit="1" customWidth="1"/>
    <col min="12045" max="12046" width="11.25" style="3546" customWidth="1"/>
    <col min="12047" max="12047" width="60.875" style="3546" bestFit="1" customWidth="1"/>
    <col min="12048" max="12288" width="9" style="3546"/>
    <col min="12289" max="12289" width="5.5" style="3546" customWidth="1"/>
    <col min="12290" max="12290" width="11.25" style="3546" customWidth="1"/>
    <col min="12291" max="12291" width="32.125" style="3546" bestFit="1" customWidth="1"/>
    <col min="12292" max="12292" width="13" style="3546" bestFit="1" customWidth="1"/>
    <col min="12293" max="12293" width="11.25" style="3546" customWidth="1"/>
    <col min="12294" max="12294" width="12.75" style="3546" bestFit="1" customWidth="1"/>
    <col min="12295" max="12297" width="11.25" style="3546" customWidth="1"/>
    <col min="12298" max="12298" width="14.25" style="3546" customWidth="1"/>
    <col min="12299" max="12299" width="11.25" style="3546" customWidth="1"/>
    <col min="12300" max="12300" width="16.125" style="3546" bestFit="1" customWidth="1"/>
    <col min="12301" max="12302" width="11.25" style="3546" customWidth="1"/>
    <col min="12303" max="12303" width="60.875" style="3546" bestFit="1" customWidth="1"/>
    <col min="12304" max="12544" width="9" style="3546"/>
    <col min="12545" max="12545" width="5.5" style="3546" customWidth="1"/>
    <col min="12546" max="12546" width="11.25" style="3546" customWidth="1"/>
    <col min="12547" max="12547" width="32.125" style="3546" bestFit="1" customWidth="1"/>
    <col min="12548" max="12548" width="13" style="3546" bestFit="1" customWidth="1"/>
    <col min="12549" max="12549" width="11.25" style="3546" customWidth="1"/>
    <col min="12550" max="12550" width="12.75" style="3546" bestFit="1" customWidth="1"/>
    <col min="12551" max="12553" width="11.25" style="3546" customWidth="1"/>
    <col min="12554" max="12554" width="14.25" style="3546" customWidth="1"/>
    <col min="12555" max="12555" width="11.25" style="3546" customWidth="1"/>
    <col min="12556" max="12556" width="16.125" style="3546" bestFit="1" customWidth="1"/>
    <col min="12557" max="12558" width="11.25" style="3546" customWidth="1"/>
    <col min="12559" max="12559" width="60.875" style="3546" bestFit="1" customWidth="1"/>
    <col min="12560" max="12800" width="9" style="3546"/>
    <col min="12801" max="12801" width="5.5" style="3546" customWidth="1"/>
    <col min="12802" max="12802" width="11.25" style="3546" customWidth="1"/>
    <col min="12803" max="12803" width="32.125" style="3546" bestFit="1" customWidth="1"/>
    <col min="12804" max="12804" width="13" style="3546" bestFit="1" customWidth="1"/>
    <col min="12805" max="12805" width="11.25" style="3546" customWidth="1"/>
    <col min="12806" max="12806" width="12.75" style="3546" bestFit="1" customWidth="1"/>
    <col min="12807" max="12809" width="11.25" style="3546" customWidth="1"/>
    <col min="12810" max="12810" width="14.25" style="3546" customWidth="1"/>
    <col min="12811" max="12811" width="11.25" style="3546" customWidth="1"/>
    <col min="12812" max="12812" width="16.125" style="3546" bestFit="1" customWidth="1"/>
    <col min="12813" max="12814" width="11.25" style="3546" customWidth="1"/>
    <col min="12815" max="12815" width="60.875" style="3546" bestFit="1" customWidth="1"/>
    <col min="12816" max="13056" width="9" style="3546"/>
    <col min="13057" max="13057" width="5.5" style="3546" customWidth="1"/>
    <col min="13058" max="13058" width="11.25" style="3546" customWidth="1"/>
    <col min="13059" max="13059" width="32.125" style="3546" bestFit="1" customWidth="1"/>
    <col min="13060" max="13060" width="13" style="3546" bestFit="1" customWidth="1"/>
    <col min="13061" max="13061" width="11.25" style="3546" customWidth="1"/>
    <col min="13062" max="13062" width="12.75" style="3546" bestFit="1" customWidth="1"/>
    <col min="13063" max="13065" width="11.25" style="3546" customWidth="1"/>
    <col min="13066" max="13066" width="14.25" style="3546" customWidth="1"/>
    <col min="13067" max="13067" width="11.25" style="3546" customWidth="1"/>
    <col min="13068" max="13068" width="16.125" style="3546" bestFit="1" customWidth="1"/>
    <col min="13069" max="13070" width="11.25" style="3546" customWidth="1"/>
    <col min="13071" max="13071" width="60.875" style="3546" bestFit="1" customWidth="1"/>
    <col min="13072" max="13312" width="9" style="3546"/>
    <col min="13313" max="13313" width="5.5" style="3546" customWidth="1"/>
    <col min="13314" max="13314" width="11.25" style="3546" customWidth="1"/>
    <col min="13315" max="13315" width="32.125" style="3546" bestFit="1" customWidth="1"/>
    <col min="13316" max="13316" width="13" style="3546" bestFit="1" customWidth="1"/>
    <col min="13317" max="13317" width="11.25" style="3546" customWidth="1"/>
    <col min="13318" max="13318" width="12.75" style="3546" bestFit="1" customWidth="1"/>
    <col min="13319" max="13321" width="11.25" style="3546" customWidth="1"/>
    <col min="13322" max="13322" width="14.25" style="3546" customWidth="1"/>
    <col min="13323" max="13323" width="11.25" style="3546" customWidth="1"/>
    <col min="13324" max="13324" width="16.125" style="3546" bestFit="1" customWidth="1"/>
    <col min="13325" max="13326" width="11.25" style="3546" customWidth="1"/>
    <col min="13327" max="13327" width="60.875" style="3546" bestFit="1" customWidth="1"/>
    <col min="13328" max="13568" width="9" style="3546"/>
    <col min="13569" max="13569" width="5.5" style="3546" customWidth="1"/>
    <col min="13570" max="13570" width="11.25" style="3546" customWidth="1"/>
    <col min="13571" max="13571" width="32.125" style="3546" bestFit="1" customWidth="1"/>
    <col min="13572" max="13572" width="13" style="3546" bestFit="1" customWidth="1"/>
    <col min="13573" max="13573" width="11.25" style="3546" customWidth="1"/>
    <col min="13574" max="13574" width="12.75" style="3546" bestFit="1" customWidth="1"/>
    <col min="13575" max="13577" width="11.25" style="3546" customWidth="1"/>
    <col min="13578" max="13578" width="14.25" style="3546" customWidth="1"/>
    <col min="13579" max="13579" width="11.25" style="3546" customWidth="1"/>
    <col min="13580" max="13580" width="16.125" style="3546" bestFit="1" customWidth="1"/>
    <col min="13581" max="13582" width="11.25" style="3546" customWidth="1"/>
    <col min="13583" max="13583" width="60.875" style="3546" bestFit="1" customWidth="1"/>
    <col min="13584" max="13824" width="9" style="3546"/>
    <col min="13825" max="13825" width="5.5" style="3546" customWidth="1"/>
    <col min="13826" max="13826" width="11.25" style="3546" customWidth="1"/>
    <col min="13827" max="13827" width="32.125" style="3546" bestFit="1" customWidth="1"/>
    <col min="13828" max="13828" width="13" style="3546" bestFit="1" customWidth="1"/>
    <col min="13829" max="13829" width="11.25" style="3546" customWidth="1"/>
    <col min="13830" max="13830" width="12.75" style="3546" bestFit="1" customWidth="1"/>
    <col min="13831" max="13833" width="11.25" style="3546" customWidth="1"/>
    <col min="13834" max="13834" width="14.25" style="3546" customWidth="1"/>
    <col min="13835" max="13835" width="11.25" style="3546" customWidth="1"/>
    <col min="13836" max="13836" width="16.125" style="3546" bestFit="1" customWidth="1"/>
    <col min="13837" max="13838" width="11.25" style="3546" customWidth="1"/>
    <col min="13839" max="13839" width="60.875" style="3546" bestFit="1" customWidth="1"/>
    <col min="13840" max="14080" width="9" style="3546"/>
    <col min="14081" max="14081" width="5.5" style="3546" customWidth="1"/>
    <col min="14082" max="14082" width="11.25" style="3546" customWidth="1"/>
    <col min="14083" max="14083" width="32.125" style="3546" bestFit="1" customWidth="1"/>
    <col min="14084" max="14084" width="13" style="3546" bestFit="1" customWidth="1"/>
    <col min="14085" max="14085" width="11.25" style="3546" customWidth="1"/>
    <col min="14086" max="14086" width="12.75" style="3546" bestFit="1" customWidth="1"/>
    <col min="14087" max="14089" width="11.25" style="3546" customWidth="1"/>
    <col min="14090" max="14090" width="14.25" style="3546" customWidth="1"/>
    <col min="14091" max="14091" width="11.25" style="3546" customWidth="1"/>
    <col min="14092" max="14092" width="16.125" style="3546" bestFit="1" customWidth="1"/>
    <col min="14093" max="14094" width="11.25" style="3546" customWidth="1"/>
    <col min="14095" max="14095" width="60.875" style="3546" bestFit="1" customWidth="1"/>
    <col min="14096" max="14336" width="9" style="3546"/>
    <col min="14337" max="14337" width="5.5" style="3546" customWidth="1"/>
    <col min="14338" max="14338" width="11.25" style="3546" customWidth="1"/>
    <col min="14339" max="14339" width="32.125" style="3546" bestFit="1" customWidth="1"/>
    <col min="14340" max="14340" width="13" style="3546" bestFit="1" customWidth="1"/>
    <col min="14341" max="14341" width="11.25" style="3546" customWidth="1"/>
    <col min="14342" max="14342" width="12.75" style="3546" bestFit="1" customWidth="1"/>
    <col min="14343" max="14345" width="11.25" style="3546" customWidth="1"/>
    <col min="14346" max="14346" width="14.25" style="3546" customWidth="1"/>
    <col min="14347" max="14347" width="11.25" style="3546" customWidth="1"/>
    <col min="14348" max="14348" width="16.125" style="3546" bestFit="1" customWidth="1"/>
    <col min="14349" max="14350" width="11.25" style="3546" customWidth="1"/>
    <col min="14351" max="14351" width="60.875" style="3546" bestFit="1" customWidth="1"/>
    <col min="14352" max="14592" width="9" style="3546"/>
    <col min="14593" max="14593" width="5.5" style="3546" customWidth="1"/>
    <col min="14594" max="14594" width="11.25" style="3546" customWidth="1"/>
    <col min="14595" max="14595" width="32.125" style="3546" bestFit="1" customWidth="1"/>
    <col min="14596" max="14596" width="13" style="3546" bestFit="1" customWidth="1"/>
    <col min="14597" max="14597" width="11.25" style="3546" customWidth="1"/>
    <col min="14598" max="14598" width="12.75" style="3546" bestFit="1" customWidth="1"/>
    <col min="14599" max="14601" width="11.25" style="3546" customWidth="1"/>
    <col min="14602" max="14602" width="14.25" style="3546" customWidth="1"/>
    <col min="14603" max="14603" width="11.25" style="3546" customWidth="1"/>
    <col min="14604" max="14604" width="16.125" style="3546" bestFit="1" customWidth="1"/>
    <col min="14605" max="14606" width="11.25" style="3546" customWidth="1"/>
    <col min="14607" max="14607" width="60.875" style="3546" bestFit="1" customWidth="1"/>
    <col min="14608" max="14848" width="9" style="3546"/>
    <col min="14849" max="14849" width="5.5" style="3546" customWidth="1"/>
    <col min="14850" max="14850" width="11.25" style="3546" customWidth="1"/>
    <col min="14851" max="14851" width="32.125" style="3546" bestFit="1" customWidth="1"/>
    <col min="14852" max="14852" width="13" style="3546" bestFit="1" customWidth="1"/>
    <col min="14853" max="14853" width="11.25" style="3546" customWidth="1"/>
    <col min="14854" max="14854" width="12.75" style="3546" bestFit="1" customWidth="1"/>
    <col min="14855" max="14857" width="11.25" style="3546" customWidth="1"/>
    <col min="14858" max="14858" width="14.25" style="3546" customWidth="1"/>
    <col min="14859" max="14859" width="11.25" style="3546" customWidth="1"/>
    <col min="14860" max="14860" width="16.125" style="3546" bestFit="1" customWidth="1"/>
    <col min="14861" max="14862" width="11.25" style="3546" customWidth="1"/>
    <col min="14863" max="14863" width="60.875" style="3546" bestFit="1" customWidth="1"/>
    <col min="14864" max="15104" width="9" style="3546"/>
    <col min="15105" max="15105" width="5.5" style="3546" customWidth="1"/>
    <col min="15106" max="15106" width="11.25" style="3546" customWidth="1"/>
    <col min="15107" max="15107" width="32.125" style="3546" bestFit="1" customWidth="1"/>
    <col min="15108" max="15108" width="13" style="3546" bestFit="1" customWidth="1"/>
    <col min="15109" max="15109" width="11.25" style="3546" customWidth="1"/>
    <col min="15110" max="15110" width="12.75" style="3546" bestFit="1" customWidth="1"/>
    <col min="15111" max="15113" width="11.25" style="3546" customWidth="1"/>
    <col min="15114" max="15114" width="14.25" style="3546" customWidth="1"/>
    <col min="15115" max="15115" width="11.25" style="3546" customWidth="1"/>
    <col min="15116" max="15116" width="16.125" style="3546" bestFit="1" customWidth="1"/>
    <col min="15117" max="15118" width="11.25" style="3546" customWidth="1"/>
    <col min="15119" max="15119" width="60.875" style="3546" bestFit="1" customWidth="1"/>
    <col min="15120" max="15360" width="9" style="3546"/>
    <col min="15361" max="15361" width="5.5" style="3546" customWidth="1"/>
    <col min="15362" max="15362" width="11.25" style="3546" customWidth="1"/>
    <col min="15363" max="15363" width="32.125" style="3546" bestFit="1" customWidth="1"/>
    <col min="15364" max="15364" width="13" style="3546" bestFit="1" customWidth="1"/>
    <col min="15365" max="15365" width="11.25" style="3546" customWidth="1"/>
    <col min="15366" max="15366" width="12.75" style="3546" bestFit="1" customWidth="1"/>
    <col min="15367" max="15369" width="11.25" style="3546" customWidth="1"/>
    <col min="15370" max="15370" width="14.25" style="3546" customWidth="1"/>
    <col min="15371" max="15371" width="11.25" style="3546" customWidth="1"/>
    <col min="15372" max="15372" width="16.125" style="3546" bestFit="1" customWidth="1"/>
    <col min="15373" max="15374" width="11.25" style="3546" customWidth="1"/>
    <col min="15375" max="15375" width="60.875" style="3546" bestFit="1" customWidth="1"/>
    <col min="15376" max="15616" width="9" style="3546"/>
    <col min="15617" max="15617" width="5.5" style="3546" customWidth="1"/>
    <col min="15618" max="15618" width="11.25" style="3546" customWidth="1"/>
    <col min="15619" max="15619" width="32.125" style="3546" bestFit="1" customWidth="1"/>
    <col min="15620" max="15620" width="13" style="3546" bestFit="1" customWidth="1"/>
    <col min="15621" max="15621" width="11.25" style="3546" customWidth="1"/>
    <col min="15622" max="15622" width="12.75" style="3546" bestFit="1" customWidth="1"/>
    <col min="15623" max="15625" width="11.25" style="3546" customWidth="1"/>
    <col min="15626" max="15626" width="14.25" style="3546" customWidth="1"/>
    <col min="15627" max="15627" width="11.25" style="3546" customWidth="1"/>
    <col min="15628" max="15628" width="16.125" style="3546" bestFit="1" customWidth="1"/>
    <col min="15629" max="15630" width="11.25" style="3546" customWidth="1"/>
    <col min="15631" max="15631" width="60.875" style="3546" bestFit="1" customWidth="1"/>
    <col min="15632" max="15872" width="9" style="3546"/>
    <col min="15873" max="15873" width="5.5" style="3546" customWidth="1"/>
    <col min="15874" max="15874" width="11.25" style="3546" customWidth="1"/>
    <col min="15875" max="15875" width="32.125" style="3546" bestFit="1" customWidth="1"/>
    <col min="15876" max="15876" width="13" style="3546" bestFit="1" customWidth="1"/>
    <col min="15877" max="15877" width="11.25" style="3546" customWidth="1"/>
    <col min="15878" max="15878" width="12.75" style="3546" bestFit="1" customWidth="1"/>
    <col min="15879" max="15881" width="11.25" style="3546" customWidth="1"/>
    <col min="15882" max="15882" width="14.25" style="3546" customWidth="1"/>
    <col min="15883" max="15883" width="11.25" style="3546" customWidth="1"/>
    <col min="15884" max="15884" width="16.125" style="3546" bestFit="1" customWidth="1"/>
    <col min="15885" max="15886" width="11.25" style="3546" customWidth="1"/>
    <col min="15887" max="15887" width="60.875" style="3546" bestFit="1" customWidth="1"/>
    <col min="15888" max="16128" width="9" style="3546"/>
    <col min="16129" max="16129" width="5.5" style="3546" customWidth="1"/>
    <col min="16130" max="16130" width="11.25" style="3546" customWidth="1"/>
    <col min="16131" max="16131" width="32.125" style="3546" bestFit="1" customWidth="1"/>
    <col min="16132" max="16132" width="13" style="3546" bestFit="1" customWidth="1"/>
    <col min="16133" max="16133" width="11.25" style="3546" customWidth="1"/>
    <col min="16134" max="16134" width="12.75" style="3546" bestFit="1" customWidth="1"/>
    <col min="16135" max="16137" width="11.25" style="3546" customWidth="1"/>
    <col min="16138" max="16138" width="14.25" style="3546" customWidth="1"/>
    <col min="16139" max="16139" width="11.25" style="3546" customWidth="1"/>
    <col min="16140" max="16140" width="16.125" style="3546" bestFit="1" customWidth="1"/>
    <col min="16141" max="16142" width="11.25" style="3546" customWidth="1"/>
    <col min="16143" max="16143" width="60.875" style="3546" bestFit="1" customWidth="1"/>
    <col min="16144" max="16384" width="9" style="3546"/>
  </cols>
  <sheetData>
    <row r="1" spans="1:76">
      <c r="A1" s="3546" t="s">
        <v>3621</v>
      </c>
      <c r="B1" s="3546" t="s">
        <v>3623</v>
      </c>
      <c r="C1" s="3546" t="s">
        <v>3622</v>
      </c>
      <c r="D1" s="3546" t="s">
        <v>3626</v>
      </c>
      <c r="E1" s="3546" t="s">
        <v>3627</v>
      </c>
      <c r="F1" s="3546" t="s">
        <v>3629</v>
      </c>
      <c r="G1" s="3546" t="s">
        <v>3630</v>
      </c>
      <c r="H1" s="3546" t="s">
        <v>3632</v>
      </c>
      <c r="I1" s="3546" t="s">
        <v>3633</v>
      </c>
      <c r="J1" s="3546" t="s">
        <v>3634</v>
      </c>
    </row>
    <row r="2" spans="1:76">
      <c r="A2" s="3546">
        <v>1</v>
      </c>
      <c r="B2" s="3546" t="s">
        <v>3624</v>
      </c>
      <c r="C2" s="3546" t="s">
        <v>3625</v>
      </c>
      <c r="D2" s="3546">
        <v>420</v>
      </c>
      <c r="E2" s="3546" t="s">
        <v>3628</v>
      </c>
      <c r="F2" s="3546">
        <v>370.4</v>
      </c>
      <c r="G2" s="3546" t="s">
        <v>3631</v>
      </c>
      <c r="H2" s="3546">
        <f>14*(1+5%)</f>
        <v>14.700000000000001</v>
      </c>
      <c r="I2" s="3546" t="s">
        <v>3640</v>
      </c>
      <c r="J2" s="3546" t="s">
        <v>3635</v>
      </c>
      <c r="K2" s="3546">
        <f>3.2/30</f>
        <v>0.10666666666666667</v>
      </c>
    </row>
    <row r="3" spans="1:76">
      <c r="A3" s="3546">
        <v>2</v>
      </c>
      <c r="B3" s="3546" t="s">
        <v>3636</v>
      </c>
      <c r="C3" s="3546" t="s">
        <v>3637</v>
      </c>
      <c r="D3" s="3546">
        <f>654.11+657.17</f>
        <v>1311.28</v>
      </c>
      <c r="E3" s="3546" t="s">
        <v>3638</v>
      </c>
      <c r="G3" s="3546" t="s">
        <v>3639</v>
      </c>
      <c r="H3" s="3546">
        <f>ROUND(475*10000/D3/365*(1+5%),1)</f>
        <v>10.4</v>
      </c>
      <c r="I3" s="3546" t="s">
        <v>3641</v>
      </c>
      <c r="J3" s="3546" t="s">
        <v>3635</v>
      </c>
    </row>
    <row r="4" spans="1:76" s="3566" customFormat="1" ht="13.5">
      <c r="A4" s="3568">
        <v>3</v>
      </c>
      <c r="B4" s="3568" t="s">
        <v>3643</v>
      </c>
      <c r="C4" s="3568" t="s">
        <v>3642</v>
      </c>
      <c r="D4" s="3568">
        <v>464.13</v>
      </c>
      <c r="E4" s="3566" t="s">
        <v>3504</v>
      </c>
      <c r="F4" s="3567"/>
      <c r="H4" s="3568">
        <v>17.503500000000003</v>
      </c>
    </row>
    <row r="5" spans="1:76" s="3566" customFormat="1" ht="13.5">
      <c r="A5" s="3568">
        <v>4</v>
      </c>
      <c r="B5" s="3568" t="s">
        <v>3644</v>
      </c>
      <c r="C5" s="3568" t="s">
        <v>3642</v>
      </c>
      <c r="D5" s="3568">
        <v>465.33</v>
      </c>
      <c r="E5" s="3566" t="s">
        <v>3504</v>
      </c>
      <c r="F5" s="3567"/>
      <c r="H5" s="3568">
        <v>19.11</v>
      </c>
    </row>
    <row r="6" spans="1:76">
      <c r="A6" s="3546">
        <v>5</v>
      </c>
      <c r="C6" s="3546" t="str">
        <f>C12</f>
        <v>石景山区玉泉西里二区</v>
      </c>
      <c r="D6" s="3546">
        <f>AS11</f>
        <v>300</v>
      </c>
      <c r="E6" s="3546" t="s">
        <v>3628</v>
      </c>
      <c r="H6" s="3546">
        <f>AX11</f>
        <v>10</v>
      </c>
    </row>
    <row r="7" spans="1:76" ht="12.75" thickBot="1">
      <c r="A7" s="3546">
        <v>6</v>
      </c>
      <c r="B7" s="3546" t="s">
        <v>3769</v>
      </c>
      <c r="C7" s="3609" t="s">
        <v>3768</v>
      </c>
      <c r="D7" s="3546">
        <v>500</v>
      </c>
      <c r="E7" s="3546" t="s">
        <v>3628</v>
      </c>
      <c r="H7" s="3546">
        <v>9</v>
      </c>
    </row>
    <row r="8" spans="1:76" s="3570" customFormat="1" ht="15" thickBot="1">
      <c r="A8" s="3610">
        <v>5</v>
      </c>
      <c r="B8" s="3610" t="s">
        <v>3770</v>
      </c>
      <c r="C8" s="3610">
        <v>500</v>
      </c>
      <c r="D8" s="3610" t="s">
        <v>3504</v>
      </c>
      <c r="E8" s="3610">
        <v>10.5</v>
      </c>
      <c r="F8" s="3610" t="s">
        <v>3771</v>
      </c>
      <c r="G8" s="3918" t="s">
        <v>3584</v>
      </c>
      <c r="H8" s="3918" t="s">
        <v>3585</v>
      </c>
      <c r="I8" s="3920" t="s">
        <v>3586</v>
      </c>
      <c r="J8" s="3922" t="s">
        <v>3650</v>
      </c>
      <c r="K8" s="3924" t="s">
        <v>3651</v>
      </c>
      <c r="L8" s="3914"/>
      <c r="M8" s="3914" t="s">
        <v>3652</v>
      </c>
      <c r="N8" s="3914"/>
      <c r="O8" s="3914" t="s">
        <v>3653</v>
      </c>
      <c r="P8" s="3914"/>
      <c r="Q8" s="3914" t="s">
        <v>3654</v>
      </c>
      <c r="R8" s="3914"/>
      <c r="S8" s="3914"/>
      <c r="T8" s="3914"/>
      <c r="U8" s="3914" t="s">
        <v>3655</v>
      </c>
      <c r="V8" s="3914"/>
      <c r="W8" s="3914"/>
      <c r="X8" s="3914"/>
      <c r="Y8" s="3914"/>
      <c r="Z8" s="3914" t="s">
        <v>3656</v>
      </c>
      <c r="AA8" s="3914"/>
      <c r="AB8" s="3914" t="s">
        <v>3657</v>
      </c>
      <c r="AC8" s="3914"/>
      <c r="AD8" s="3914" t="s">
        <v>3658</v>
      </c>
      <c r="AE8" s="3914"/>
      <c r="AF8" s="3914" t="s">
        <v>3659</v>
      </c>
      <c r="AG8" s="3914"/>
      <c r="AH8" s="3914" t="s">
        <v>3660</v>
      </c>
      <c r="AI8" s="3914"/>
      <c r="AJ8" s="3915" t="s">
        <v>3661</v>
      </c>
      <c r="AK8" s="3917" t="s">
        <v>3662</v>
      </c>
      <c r="AL8" s="3904"/>
      <c r="AM8" s="3904" t="s">
        <v>3663</v>
      </c>
      <c r="AN8" s="3904"/>
      <c r="AO8" s="3904" t="s">
        <v>3664</v>
      </c>
      <c r="AP8" s="3904"/>
      <c r="AQ8" s="3904" t="s">
        <v>3665</v>
      </c>
      <c r="AR8" s="3904"/>
      <c r="AS8" s="3904"/>
      <c r="AT8" s="3904"/>
      <c r="AU8" s="3904"/>
      <c r="AV8" s="3912" t="s">
        <v>3666</v>
      </c>
      <c r="AW8" s="3912" t="s">
        <v>3667</v>
      </c>
      <c r="AX8" s="3904" t="s">
        <v>3668</v>
      </c>
      <c r="AY8" s="3904"/>
      <c r="AZ8" s="3904"/>
      <c r="BA8" s="3904"/>
      <c r="BB8" s="3904"/>
      <c r="BC8" s="3569" t="s">
        <v>3669</v>
      </c>
      <c r="BD8" s="3904" t="s">
        <v>3670</v>
      </c>
      <c r="BE8" s="3904"/>
      <c r="BF8" s="3904"/>
      <c r="BG8" s="3904" t="s">
        <v>3671</v>
      </c>
      <c r="BH8" s="3904" t="s">
        <v>3672</v>
      </c>
      <c r="BI8" s="3904"/>
      <c r="BJ8" s="3904" t="s">
        <v>3673</v>
      </c>
      <c r="BK8" s="3904" t="s">
        <v>3674</v>
      </c>
      <c r="BL8" s="3904"/>
      <c r="BM8" s="3904" t="s">
        <v>3675</v>
      </c>
      <c r="BN8" s="3905"/>
      <c r="BO8" s="3906" t="s">
        <v>3676</v>
      </c>
      <c r="BP8" s="3907"/>
      <c r="BQ8" s="3907"/>
      <c r="BR8" s="3907"/>
      <c r="BS8" s="3908"/>
      <c r="BT8" s="3909" t="s">
        <v>3677</v>
      </c>
      <c r="BU8" s="3902" t="s">
        <v>3678</v>
      </c>
      <c r="BV8" s="3902" t="s">
        <v>3679</v>
      </c>
      <c r="BW8" s="3902" t="s">
        <v>3680</v>
      </c>
      <c r="BX8" s="3902" t="s">
        <v>3681</v>
      </c>
    </row>
    <row r="9" spans="1:76" s="3570" customFormat="1" ht="32.25" thickBot="1">
      <c r="A9" s="3925" t="s">
        <v>3645</v>
      </c>
      <c r="B9" s="3927" t="s">
        <v>3646</v>
      </c>
      <c r="C9" s="3929" t="s">
        <v>3647</v>
      </c>
      <c r="D9" s="3929"/>
      <c r="E9" s="3929" t="s">
        <v>3648</v>
      </c>
      <c r="F9" s="3929" t="s">
        <v>3649</v>
      </c>
      <c r="G9" s="3919"/>
      <c r="H9" s="3919"/>
      <c r="I9" s="3921"/>
      <c r="J9" s="3923"/>
      <c r="K9" s="3573" t="s">
        <v>3684</v>
      </c>
      <c r="L9" s="3574" t="s">
        <v>3685</v>
      </c>
      <c r="M9" s="3575" t="s">
        <v>3686</v>
      </c>
      <c r="N9" s="3575" t="s">
        <v>3687</v>
      </c>
      <c r="O9" s="3574" t="s">
        <v>3688</v>
      </c>
      <c r="P9" s="3574" t="s">
        <v>3689</v>
      </c>
      <c r="Q9" s="3575" t="s">
        <v>3690</v>
      </c>
      <c r="R9" s="3575" t="s">
        <v>3691</v>
      </c>
      <c r="S9" s="3574" t="s">
        <v>3692</v>
      </c>
      <c r="T9" s="3574" t="s">
        <v>3693</v>
      </c>
      <c r="U9" s="3574" t="s">
        <v>3694</v>
      </c>
      <c r="V9" s="3574" t="s">
        <v>3695</v>
      </c>
      <c r="W9" s="3574" t="s">
        <v>3696</v>
      </c>
      <c r="X9" s="3574" t="s">
        <v>3697</v>
      </c>
      <c r="Y9" s="3574" t="s">
        <v>3698</v>
      </c>
      <c r="Z9" s="3574" t="s">
        <v>3699</v>
      </c>
      <c r="AA9" s="3574" t="s">
        <v>3700</v>
      </c>
      <c r="AB9" s="3575" t="s">
        <v>3701</v>
      </c>
      <c r="AC9" s="3574" t="s">
        <v>3702</v>
      </c>
      <c r="AD9" s="3575" t="s">
        <v>3703</v>
      </c>
      <c r="AE9" s="3575" t="s">
        <v>3704</v>
      </c>
      <c r="AF9" s="3575" t="s">
        <v>3705</v>
      </c>
      <c r="AG9" s="3575" t="s">
        <v>3702</v>
      </c>
      <c r="AH9" s="3575" t="s">
        <v>3706</v>
      </c>
      <c r="AI9" s="3575" t="s">
        <v>3707</v>
      </c>
      <c r="AJ9" s="3916"/>
      <c r="AK9" s="3576" t="s">
        <v>3708</v>
      </c>
      <c r="AL9" s="3577" t="s">
        <v>3709</v>
      </c>
      <c r="AM9" s="3577" t="s">
        <v>3710</v>
      </c>
      <c r="AN9" s="3577" t="s">
        <v>3711</v>
      </c>
      <c r="AO9" s="3577" t="s">
        <v>3712</v>
      </c>
      <c r="AP9" s="3578" t="s">
        <v>3702</v>
      </c>
      <c r="AQ9" s="3578" t="s">
        <v>3713</v>
      </c>
      <c r="AR9" s="3577" t="s">
        <v>3714</v>
      </c>
      <c r="AS9" s="3577" t="s">
        <v>3715</v>
      </c>
      <c r="AT9" s="3577" t="s">
        <v>3716</v>
      </c>
      <c r="AU9" s="3578" t="s">
        <v>3717</v>
      </c>
      <c r="AV9" s="3913"/>
      <c r="AW9" s="3913"/>
      <c r="AX9" s="3579" t="s">
        <v>3718</v>
      </c>
      <c r="AY9" s="3579" t="s">
        <v>3719</v>
      </c>
      <c r="AZ9" s="3580" t="s">
        <v>3720</v>
      </c>
      <c r="BA9" s="3580" t="s">
        <v>3721</v>
      </c>
      <c r="BB9" s="3580" t="s">
        <v>3722</v>
      </c>
      <c r="BC9" s="3579"/>
      <c r="BD9" s="3577" t="s">
        <v>3723</v>
      </c>
      <c r="BE9" s="3577" t="s">
        <v>3724</v>
      </c>
      <c r="BF9" s="3577" t="s">
        <v>3725</v>
      </c>
      <c r="BG9" s="3911"/>
      <c r="BH9" s="3577" t="s">
        <v>3726</v>
      </c>
      <c r="BI9" s="3577" t="s">
        <v>3727</v>
      </c>
      <c r="BJ9" s="3911"/>
      <c r="BK9" s="3578" t="s">
        <v>3728</v>
      </c>
      <c r="BL9" s="3577" t="s">
        <v>3729</v>
      </c>
      <c r="BM9" s="3577" t="s">
        <v>3730</v>
      </c>
      <c r="BN9" s="3581" t="s">
        <v>3731</v>
      </c>
      <c r="BO9" s="3582" t="s">
        <v>3732</v>
      </c>
      <c r="BP9" s="3583" t="s">
        <v>3733</v>
      </c>
      <c r="BQ9" s="3582" t="s">
        <v>3734</v>
      </c>
      <c r="BR9" s="3582" t="s">
        <v>3735</v>
      </c>
      <c r="BS9" s="3584" t="s">
        <v>3736</v>
      </c>
      <c r="BT9" s="3910"/>
      <c r="BU9" s="3903"/>
      <c r="BV9" s="3903"/>
      <c r="BW9" s="3903"/>
      <c r="BX9" s="3903"/>
    </row>
    <row r="10" spans="1:76" s="3013" customFormat="1" ht="14.25" thickBot="1">
      <c r="A10" s="3926"/>
      <c r="B10" s="3928"/>
      <c r="C10" s="3571" t="s">
        <v>3682</v>
      </c>
      <c r="D10" s="3572" t="s">
        <v>3683</v>
      </c>
      <c r="E10" s="3930"/>
      <c r="F10" s="3930"/>
      <c r="G10" s="3587" t="s">
        <v>3744</v>
      </c>
      <c r="H10" s="3588" t="s">
        <v>3745</v>
      </c>
      <c r="I10" s="3589" t="s">
        <v>3587</v>
      </c>
      <c r="J10" s="3590" t="s">
        <v>3579</v>
      </c>
      <c r="K10" s="3591" t="s">
        <v>3746</v>
      </c>
      <c r="L10" s="3592" t="s">
        <v>673</v>
      </c>
      <c r="M10" s="3593" t="s">
        <v>3588</v>
      </c>
      <c r="N10" s="3592" t="s">
        <v>3580</v>
      </c>
      <c r="O10" s="3592" t="s">
        <v>3591</v>
      </c>
      <c r="P10" s="3592" t="s">
        <v>3738</v>
      </c>
      <c r="Q10" s="3547">
        <v>2</v>
      </c>
      <c r="R10" s="3547">
        <v>1</v>
      </c>
      <c r="S10" s="3547">
        <v>1</v>
      </c>
      <c r="T10" s="3592" t="s">
        <v>3738</v>
      </c>
      <c r="U10" s="3592" t="s">
        <v>3581</v>
      </c>
      <c r="V10" s="3547">
        <v>20</v>
      </c>
      <c r="W10" s="3547">
        <v>20</v>
      </c>
      <c r="X10" s="3547" t="s">
        <v>3738</v>
      </c>
      <c r="Y10" s="3547" t="s">
        <v>3738</v>
      </c>
      <c r="Z10" s="3547">
        <v>3</v>
      </c>
      <c r="AA10" s="3547" t="s">
        <v>3738</v>
      </c>
      <c r="AB10" s="3547">
        <v>2006</v>
      </c>
      <c r="AC10" s="3547" t="s">
        <v>3738</v>
      </c>
      <c r="AD10" s="3547" t="s">
        <v>3738</v>
      </c>
      <c r="AE10" s="3547" t="s">
        <v>3738</v>
      </c>
      <c r="AF10" s="3547" t="s">
        <v>3738</v>
      </c>
      <c r="AG10" s="3547" t="s">
        <v>3738</v>
      </c>
      <c r="AH10" s="3547" t="s">
        <v>3738</v>
      </c>
      <c r="AI10" s="3547" t="s">
        <v>3738</v>
      </c>
      <c r="AJ10" s="3602" t="s">
        <v>3738</v>
      </c>
      <c r="AK10" s="3594" t="s">
        <v>3747</v>
      </c>
      <c r="AL10" s="3594" t="s">
        <v>3748</v>
      </c>
      <c r="AM10" s="3592" t="s">
        <v>3589</v>
      </c>
      <c r="AN10" s="3592" t="s">
        <v>3738</v>
      </c>
      <c r="AO10" s="3594" t="s">
        <v>3738</v>
      </c>
      <c r="AP10" s="3594" t="s">
        <v>3738</v>
      </c>
      <c r="AQ10" s="3594">
        <v>420</v>
      </c>
      <c r="AR10" s="3595">
        <v>400</v>
      </c>
      <c r="AS10" s="3594">
        <v>420</v>
      </c>
      <c r="AT10" s="3596">
        <f t="shared" ref="AT10:AT11" si="0">IF(OR(AQ10=0,AR10=0,AS10=0),"/",AR10/AS10)</f>
        <v>0.95238095238095233</v>
      </c>
      <c r="AU10" s="3595">
        <v>0.95</v>
      </c>
      <c r="AV10" s="3592" t="s">
        <v>3592</v>
      </c>
      <c r="AW10" s="3597" t="s">
        <v>3573</v>
      </c>
      <c r="AX10" s="3594">
        <v>14</v>
      </c>
      <c r="AY10" s="3598">
        <f t="shared" ref="AY10:AY11" si="1">ROUND((AX10-BA10/30-BB10)/(1+AZ10),2)</f>
        <v>13.23</v>
      </c>
      <c r="AZ10" s="3592">
        <v>0.05</v>
      </c>
      <c r="BA10" s="3594">
        <v>3.2</v>
      </c>
      <c r="BB10" s="3594">
        <v>0</v>
      </c>
      <c r="BC10" s="3595" t="s">
        <v>3738</v>
      </c>
      <c r="BD10" s="3594">
        <v>43279</v>
      </c>
      <c r="BE10" s="3594">
        <v>45470</v>
      </c>
      <c r="BF10" s="3594">
        <v>6</v>
      </c>
      <c r="BG10" s="3594">
        <v>2</v>
      </c>
      <c r="BH10" s="3594" t="s">
        <v>3749</v>
      </c>
      <c r="BI10" s="3594">
        <v>0.01</v>
      </c>
      <c r="BJ10" s="3594" t="s">
        <v>3738</v>
      </c>
      <c r="BK10" s="3592" t="s">
        <v>3583</v>
      </c>
      <c r="BL10" s="3594">
        <v>43279</v>
      </c>
      <c r="BM10" s="3592" t="s">
        <v>3558</v>
      </c>
      <c r="BN10" s="3603" t="s">
        <v>3738</v>
      </c>
      <c r="BO10" s="3599" t="s">
        <v>3738</v>
      </c>
      <c r="BP10" s="3593" t="s">
        <v>3738</v>
      </c>
      <c r="BQ10" s="3600" t="s">
        <v>3738</v>
      </c>
      <c r="BR10" s="3600" t="s">
        <v>3738</v>
      </c>
      <c r="BS10" s="3604" t="s">
        <v>3738</v>
      </c>
      <c r="BT10" s="3601" t="s">
        <v>3738</v>
      </c>
      <c r="BU10" s="3601" t="s">
        <v>3739</v>
      </c>
      <c r="BV10" s="3601">
        <v>45030</v>
      </c>
      <c r="BW10" s="3601" t="s">
        <v>3750</v>
      </c>
      <c r="BX10" s="3601">
        <v>45034</v>
      </c>
    </row>
    <row r="11" spans="1:76" s="3013" customFormat="1" ht="14.25" thickBot="1">
      <c r="A11" s="3585" t="s">
        <v>3741</v>
      </c>
      <c r="B11" s="3586" t="s">
        <v>3742</v>
      </c>
      <c r="C11" s="3587" t="s">
        <v>3743</v>
      </c>
      <c r="D11" s="3587" t="s">
        <v>3743</v>
      </c>
      <c r="E11" s="3587" t="s">
        <v>3740</v>
      </c>
      <c r="F11" s="3587" t="s">
        <v>3740</v>
      </c>
      <c r="G11" s="3587" t="s">
        <v>3744</v>
      </c>
      <c r="H11" s="3588" t="s">
        <v>3745</v>
      </c>
      <c r="I11" s="3589" t="s">
        <v>3587</v>
      </c>
      <c r="J11" s="3590" t="s">
        <v>3590</v>
      </c>
      <c r="K11" s="3591" t="s">
        <v>3737</v>
      </c>
      <c r="L11" s="3592" t="s">
        <v>673</v>
      </c>
      <c r="M11" s="3593" t="s">
        <v>3588</v>
      </c>
      <c r="N11" s="3592" t="s">
        <v>3738</v>
      </c>
      <c r="O11" s="3592" t="s">
        <v>3591</v>
      </c>
      <c r="P11" s="3592" t="s">
        <v>3738</v>
      </c>
      <c r="Q11" s="3547" t="s">
        <v>3738</v>
      </c>
      <c r="R11" s="3547" t="s">
        <v>3738</v>
      </c>
      <c r="S11" s="3547">
        <v>1</v>
      </c>
      <c r="T11" s="3592" t="s">
        <v>3738</v>
      </c>
      <c r="U11" s="3592" t="s">
        <v>3581</v>
      </c>
      <c r="V11" s="3547" t="s">
        <v>3738</v>
      </c>
      <c r="W11" s="3547" t="s">
        <v>3738</v>
      </c>
      <c r="X11" s="3547" t="s">
        <v>3738</v>
      </c>
      <c r="Y11" s="3547" t="s">
        <v>3738</v>
      </c>
      <c r="Z11" s="3547">
        <v>3</v>
      </c>
      <c r="AA11" s="3547" t="s">
        <v>3738</v>
      </c>
      <c r="AB11" s="3547" t="s">
        <v>3738</v>
      </c>
      <c r="AC11" s="3547">
        <v>2006</v>
      </c>
      <c r="AD11" s="3547" t="s">
        <v>3738</v>
      </c>
      <c r="AE11" s="3547" t="s">
        <v>3738</v>
      </c>
      <c r="AF11" s="3547" t="s">
        <v>3738</v>
      </c>
      <c r="AG11" s="3547" t="s">
        <v>3738</v>
      </c>
      <c r="AH11" s="3547" t="s">
        <v>3738</v>
      </c>
      <c r="AI11" s="3547" t="s">
        <v>3738</v>
      </c>
      <c r="AJ11" s="3602" t="s">
        <v>3738</v>
      </c>
      <c r="AK11" s="3594" t="s">
        <v>3738</v>
      </c>
      <c r="AL11" s="3594" t="s">
        <v>3738</v>
      </c>
      <c r="AM11" s="3592" t="s">
        <v>3738</v>
      </c>
      <c r="AN11" s="3592" t="s">
        <v>3738</v>
      </c>
      <c r="AO11" s="3594" t="s">
        <v>3738</v>
      </c>
      <c r="AP11" s="3594" t="s">
        <v>3738</v>
      </c>
      <c r="AQ11" s="3594">
        <v>300</v>
      </c>
      <c r="AR11" s="3595">
        <v>220</v>
      </c>
      <c r="AS11" s="3594">
        <v>300</v>
      </c>
      <c r="AT11" s="3596">
        <f t="shared" si="0"/>
        <v>0.73333333333333328</v>
      </c>
      <c r="AU11" s="3595">
        <v>0.75</v>
      </c>
      <c r="AV11" s="3592" t="s">
        <v>3582</v>
      </c>
      <c r="AW11" s="3597" t="s">
        <v>3593</v>
      </c>
      <c r="AX11" s="3594">
        <v>10</v>
      </c>
      <c r="AY11" s="3598">
        <f t="shared" si="1"/>
        <v>9.42</v>
      </c>
      <c r="AZ11" s="3592">
        <v>0.05</v>
      </c>
      <c r="BA11" s="3594">
        <v>3.2</v>
      </c>
      <c r="BB11" s="3594">
        <v>0</v>
      </c>
      <c r="BC11" s="3595" t="s">
        <v>3738</v>
      </c>
      <c r="BD11" s="3594" t="s">
        <v>3738</v>
      </c>
      <c r="BE11" s="3594" t="s">
        <v>3738</v>
      </c>
      <c r="BF11" s="3594" t="s">
        <v>3738</v>
      </c>
      <c r="BG11" s="3594" t="s">
        <v>3738</v>
      </c>
      <c r="BH11" s="3594" t="s">
        <v>3738</v>
      </c>
      <c r="BI11" s="3594" t="s">
        <v>3738</v>
      </c>
      <c r="BJ11" s="3594" t="s">
        <v>3738</v>
      </c>
      <c r="BK11" s="3592" t="s">
        <v>3594</v>
      </c>
      <c r="BL11" s="3594" t="s">
        <v>3738</v>
      </c>
      <c r="BM11" s="3592" t="s">
        <v>3558</v>
      </c>
      <c r="BN11" s="3603" t="s">
        <v>3738</v>
      </c>
      <c r="BO11" s="3599" t="s">
        <v>3738</v>
      </c>
      <c r="BP11" s="3592" t="s">
        <v>3738</v>
      </c>
      <c r="BQ11" s="3600" t="s">
        <v>3738</v>
      </c>
      <c r="BR11" s="3600" t="s">
        <v>3738</v>
      </c>
      <c r="BS11" s="3604" t="s">
        <v>3738</v>
      </c>
      <c r="BT11" s="3601" t="s">
        <v>3752</v>
      </c>
      <c r="BU11" s="3601" t="s">
        <v>3739</v>
      </c>
      <c r="BV11" s="3601">
        <v>45030</v>
      </c>
      <c r="BW11" s="3601" t="s">
        <v>3750</v>
      </c>
      <c r="BX11" s="3601">
        <v>45034</v>
      </c>
    </row>
    <row r="12" spans="1:76" ht="12.75" thickBot="1">
      <c r="A12" s="3585" t="s">
        <v>3741</v>
      </c>
      <c r="B12" s="3586" t="s">
        <v>3742</v>
      </c>
      <c r="C12" s="3587" t="s">
        <v>3751</v>
      </c>
      <c r="D12" s="3587" t="s">
        <v>3751</v>
      </c>
      <c r="E12" s="3587" t="s">
        <v>3740</v>
      </c>
      <c r="F12" s="3587" t="s">
        <v>3740</v>
      </c>
    </row>
    <row r="15" spans="1:76">
      <c r="H15" s="3546" t="s">
        <v>3776</v>
      </c>
      <c r="I15" s="3546" t="s">
        <v>3777</v>
      </c>
      <c r="J15" s="3546" t="s">
        <v>3778</v>
      </c>
      <c r="K15" s="3546" t="s">
        <v>3780</v>
      </c>
      <c r="L15" s="3546" t="s">
        <v>3779</v>
      </c>
      <c r="M15" s="3546" t="s">
        <v>3781</v>
      </c>
      <c r="N15" s="3546" t="s">
        <v>3786</v>
      </c>
    </row>
    <row r="16" spans="1:76">
      <c r="A16" s="3546" t="s">
        <v>3773</v>
      </c>
      <c r="B16" s="3546" t="s">
        <v>3774</v>
      </c>
      <c r="C16" s="3609" t="s">
        <v>3768</v>
      </c>
      <c r="D16" s="3546">
        <v>642</v>
      </c>
      <c r="E16" s="3546">
        <v>1</v>
      </c>
      <c r="G16" s="3546" t="s">
        <v>3775</v>
      </c>
      <c r="H16" s="3546">
        <v>9</v>
      </c>
      <c r="I16" s="3546">
        <f>ROUND(H16*(1+3%),2)</f>
        <v>9.27</v>
      </c>
      <c r="J16" s="3546">
        <f>ROUND(I16*(1+3%),2)</f>
        <v>9.5500000000000007</v>
      </c>
      <c r="K16" s="3546">
        <f>ROUND(J16*(1+3%),2)</f>
        <v>9.84</v>
      </c>
      <c r="L16" s="3546">
        <f>ROUND(K16*(1+3%),2)</f>
        <v>10.14</v>
      </c>
      <c r="M16" s="3546" t="s">
        <v>3782</v>
      </c>
      <c r="N16" s="3566">
        <f>5/30</f>
        <v>0.16666666666666666</v>
      </c>
    </row>
    <row r="17" spans="1:10">
      <c r="A17" s="3546" t="s">
        <v>3783</v>
      </c>
      <c r="B17" s="3546" t="s">
        <v>3784</v>
      </c>
      <c r="C17" s="3609" t="s">
        <v>3768</v>
      </c>
      <c r="D17" s="3546">
        <v>893</v>
      </c>
      <c r="E17" s="3546" t="s">
        <v>3787</v>
      </c>
      <c r="G17" s="3546" t="s">
        <v>3785</v>
      </c>
      <c r="H17" s="3546">
        <v>7.15</v>
      </c>
      <c r="I17" s="3546">
        <v>7.51</v>
      </c>
      <c r="J17" s="3546">
        <v>7.89</v>
      </c>
    </row>
    <row r="19" spans="1:10">
      <c r="E19" s="3546" t="s">
        <v>3788</v>
      </c>
      <c r="F19" s="3546">
        <v>380.25</v>
      </c>
      <c r="G19" s="3546">
        <v>9</v>
      </c>
    </row>
    <row r="20" spans="1:10">
      <c r="E20" s="3546" t="s">
        <v>3789</v>
      </c>
      <c r="F20" s="3546">
        <v>512.75</v>
      </c>
      <c r="G20" s="3546">
        <f>G19*0.65</f>
        <v>5.8500000000000005</v>
      </c>
    </row>
    <row r="21" spans="1:10">
      <c r="G21" s="3546">
        <f>ROUND((G19*F19+G20*F20)/D17,2)</f>
        <v>7.19</v>
      </c>
    </row>
  </sheetData>
  <mergeCells count="39">
    <mergeCell ref="G8:G9"/>
    <mergeCell ref="A9:A10"/>
    <mergeCell ref="B9:B10"/>
    <mergeCell ref="C9:D9"/>
    <mergeCell ref="E9:E10"/>
    <mergeCell ref="F9:F10"/>
    <mergeCell ref="H8:H9"/>
    <mergeCell ref="I8:I9"/>
    <mergeCell ref="J8:J9"/>
    <mergeCell ref="K8:L8"/>
    <mergeCell ref="M8:N8"/>
    <mergeCell ref="O8:P8"/>
    <mergeCell ref="Q8:T8"/>
    <mergeCell ref="U8:Y8"/>
    <mergeCell ref="Z8:AA8"/>
    <mergeCell ref="AB8:AC8"/>
    <mergeCell ref="AD8:AE8"/>
    <mergeCell ref="AF8:AG8"/>
    <mergeCell ref="AH8:AI8"/>
    <mergeCell ref="AJ8:AJ9"/>
    <mergeCell ref="AK8:AL8"/>
    <mergeCell ref="AM8:AN8"/>
    <mergeCell ref="AO8:AP8"/>
    <mergeCell ref="AQ8:AU8"/>
    <mergeCell ref="AV8:AV9"/>
    <mergeCell ref="AW8:AW9"/>
    <mergeCell ref="AX8:BB8"/>
    <mergeCell ref="BD8:BF8"/>
    <mergeCell ref="BG8:BG9"/>
    <mergeCell ref="BH8:BI8"/>
    <mergeCell ref="BJ8:BJ9"/>
    <mergeCell ref="BV8:BV9"/>
    <mergeCell ref="BW8:BW9"/>
    <mergeCell ref="BX8:BX9"/>
    <mergeCell ref="BK8:BL8"/>
    <mergeCell ref="BM8:BN8"/>
    <mergeCell ref="BO8:BS8"/>
    <mergeCell ref="BT8:BT9"/>
    <mergeCell ref="BU8:BU9"/>
  </mergeCells>
  <phoneticPr fontId="134" type="noConversion"/>
  <pageMargins left="0.75" right="0.75" top="1" bottom="1" header="0.5" footer="0.5"/>
  <pageSetup paperSize="9" scale="63"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45"/>
  <sheetViews>
    <sheetView view="pageBreakPreview" topLeftCell="A19" zoomScale="90" zoomScaleSheetLayoutView="90" workbookViewId="0">
      <selection activeCell="I45" sqref="I45"/>
    </sheetView>
  </sheetViews>
  <sheetFormatPr defaultColWidth="9" defaultRowHeight="13.5"/>
  <cols>
    <col min="1" max="1" width="6.375" style="3450" customWidth="1"/>
    <col min="2" max="2" width="19.375" style="3525" customWidth="1"/>
    <col min="3" max="3" width="10.125" style="3511" customWidth="1"/>
    <col min="4" max="4" width="6.375" style="3511" customWidth="1"/>
    <col min="5" max="5" width="7.375" style="3511" customWidth="1"/>
    <col min="6" max="6" width="6.5" style="3511" customWidth="1"/>
    <col min="7" max="7" width="19.375" style="3526" customWidth="1"/>
    <col min="8" max="8" width="19.5" style="3450" customWidth="1"/>
    <col min="9" max="9" width="8.625" style="3450" customWidth="1"/>
    <col min="10" max="10" width="10.5" style="3446" customWidth="1"/>
    <col min="11" max="11" width="7.75" style="3479" customWidth="1"/>
    <col min="12" max="12" width="16.375" style="3479" customWidth="1"/>
    <col min="13" max="16" width="8.125" style="3450" customWidth="1"/>
    <col min="17" max="17" width="9" style="3450"/>
    <col min="18" max="18" width="20.375" style="3450" customWidth="1"/>
    <col min="19" max="20" width="9" style="3450"/>
    <col min="21" max="21" width="15.625" style="3450" customWidth="1"/>
    <col min="22" max="16384" width="9" style="3450"/>
  </cols>
  <sheetData>
    <row r="1" spans="1:16">
      <c r="A1" s="3975" t="s">
        <v>3373</v>
      </c>
      <c r="B1" s="3975"/>
      <c r="C1" s="3975"/>
      <c r="D1" s="3975"/>
      <c r="E1" s="3975"/>
      <c r="F1" s="3975"/>
      <c r="G1" s="3975"/>
      <c r="H1" s="3975"/>
      <c r="I1" s="3975"/>
      <c r="K1" s="3976" t="s">
        <v>3374</v>
      </c>
      <c r="L1" s="3447" t="s">
        <v>3375</v>
      </c>
      <c r="M1" s="3448">
        <v>0</v>
      </c>
      <c r="N1" s="3449"/>
      <c r="O1" s="3449"/>
    </row>
    <row r="2" spans="1:16" ht="15.75" customHeight="1">
      <c r="A2" s="3451" t="s">
        <v>3376</v>
      </c>
      <c r="B2" s="3452" t="s">
        <v>3377</v>
      </c>
      <c r="C2" s="3940" t="s">
        <v>3378</v>
      </c>
      <c r="D2" s="3941"/>
      <c r="E2" s="3941"/>
      <c r="F2" s="3942"/>
      <c r="G2" s="3453" t="s">
        <v>3379</v>
      </c>
      <c r="H2" s="3951" t="s">
        <v>3380</v>
      </c>
      <c r="I2" s="3951"/>
      <c r="K2" s="3976"/>
      <c r="L2" s="3447" t="s">
        <v>3381</v>
      </c>
      <c r="M2" s="3454" t="s">
        <v>3382</v>
      </c>
      <c r="N2" s="3455"/>
      <c r="O2" s="3455"/>
    </row>
    <row r="3" spans="1:16">
      <c r="A3" s="3456" t="s">
        <v>3383</v>
      </c>
      <c r="B3" s="3457" t="s">
        <v>3384</v>
      </c>
      <c r="C3" s="3940" t="e">
        <f>'比较法-商业售价'!B2*10000</f>
        <v>#DIV/0!</v>
      </c>
      <c r="D3" s="3941"/>
      <c r="E3" s="3941"/>
      <c r="F3" s="3942"/>
      <c r="G3" s="3456" t="s">
        <v>3385</v>
      </c>
      <c r="H3" s="3458" t="s">
        <v>3386</v>
      </c>
      <c r="I3" s="3459">
        <f>'数据-汇总表'!E3</f>
        <v>642</v>
      </c>
      <c r="J3" s="3446" t="e">
        <f>C3/I3</f>
        <v>#DIV/0!</v>
      </c>
      <c r="K3" s="3976"/>
      <c r="L3" s="3447" t="s">
        <v>3387</v>
      </c>
      <c r="M3" s="3454" t="s">
        <v>3388</v>
      </c>
      <c r="N3" s="3455"/>
      <c r="O3" s="3460"/>
    </row>
    <row r="4" spans="1:16">
      <c r="A4" s="3943" t="s">
        <v>3389</v>
      </c>
      <c r="B4" s="3944" t="s">
        <v>3390</v>
      </c>
      <c r="C4" s="3977" t="e">
        <f>ROUND(C3*(I4-I6)/(1-((1+I6)/(1+I4))^I5),0)</f>
        <v>#DIV/0!</v>
      </c>
      <c r="D4" s="3978"/>
      <c r="E4" s="3978"/>
      <c r="F4" s="3979"/>
      <c r="G4" s="3943" t="s">
        <v>3391</v>
      </c>
      <c r="H4" s="3461" t="s">
        <v>3392</v>
      </c>
      <c r="I4" s="3462">
        <v>0.04</v>
      </c>
      <c r="J4" s="3446" t="e">
        <f>'比较法-商业'!C49*365/J3</f>
        <v>#DIV/0!</v>
      </c>
      <c r="K4" s="3976"/>
      <c r="L4" s="3447" t="s">
        <v>3393</v>
      </c>
      <c r="M4" s="3463">
        <f>ROUND(1-(1-M1)*M2/M3,2)</f>
        <v>0.57999999999999996</v>
      </c>
      <c r="N4" s="3455"/>
      <c r="O4" s="3455"/>
    </row>
    <row r="5" spans="1:16" s="3467" customFormat="1" ht="18" customHeight="1">
      <c r="A5" s="3943"/>
      <c r="B5" s="3944"/>
      <c r="C5" s="3980"/>
      <c r="D5" s="3981"/>
      <c r="E5" s="3981"/>
      <c r="F5" s="3982"/>
      <c r="G5" s="3943"/>
      <c r="H5" s="3457" t="s">
        <v>3394</v>
      </c>
      <c r="I5" s="3464">
        <f>'数据-取费表'!F6</f>
        <v>0</v>
      </c>
      <c r="J5" s="3465"/>
      <c r="K5" s="3976"/>
      <c r="L5" s="3447" t="s">
        <v>3395</v>
      </c>
      <c r="M5" s="3466">
        <v>0.5</v>
      </c>
      <c r="N5" s="3455"/>
      <c r="O5" s="3455"/>
    </row>
    <row r="6" spans="1:16" s="3467" customFormat="1" ht="18" customHeight="1">
      <c r="A6" s="3943"/>
      <c r="B6" s="3944"/>
      <c r="C6" s="3983"/>
      <c r="D6" s="3984"/>
      <c r="E6" s="3984"/>
      <c r="F6" s="3985"/>
      <c r="G6" s="3943"/>
      <c r="H6" s="3457" t="s">
        <v>3396</v>
      </c>
      <c r="I6" s="3462">
        <v>0.03</v>
      </c>
      <c r="J6" s="3468"/>
      <c r="K6" s="3986" t="s">
        <v>3397</v>
      </c>
      <c r="L6" s="3469" t="s">
        <v>3398</v>
      </c>
      <c r="M6" s="3470" t="s">
        <v>3399</v>
      </c>
      <c r="N6" s="3470" t="s">
        <v>3400</v>
      </c>
      <c r="O6" s="3470" t="s">
        <v>3401</v>
      </c>
      <c r="P6" s="3470" t="s">
        <v>3402</v>
      </c>
    </row>
    <row r="7" spans="1:16" s="3467" customFormat="1" ht="17.25" customHeight="1">
      <c r="A7" s="3456" t="s">
        <v>3403</v>
      </c>
      <c r="B7" s="3457" t="s">
        <v>3404</v>
      </c>
      <c r="C7" s="3940">
        <f ca="1">ROUND(C23*I7,0)</f>
        <v>3331271</v>
      </c>
      <c r="D7" s="3941"/>
      <c r="E7" s="3941"/>
      <c r="F7" s="3942"/>
      <c r="G7" s="3453" t="s">
        <v>3405</v>
      </c>
      <c r="H7" s="3457" t="s">
        <v>3406</v>
      </c>
      <c r="I7" s="3471">
        <f>'数据-取费表'!N6</f>
        <v>0.77500000000000002</v>
      </c>
      <c r="K7" s="3986"/>
      <c r="L7" s="3469" t="s">
        <v>3407</v>
      </c>
      <c r="M7" s="3470">
        <v>100</v>
      </c>
      <c r="N7" s="3470" t="s">
        <v>3408</v>
      </c>
      <c r="O7" s="3470">
        <v>60</v>
      </c>
      <c r="P7" s="3472">
        <v>0.3</v>
      </c>
    </row>
    <row r="8" spans="1:16" s="3467" customFormat="1" ht="23.25" customHeight="1">
      <c r="A8" s="3451" t="s">
        <v>3409</v>
      </c>
      <c r="B8" s="3457" t="s">
        <v>3410</v>
      </c>
      <c r="C8" s="3940">
        <f>ROUND(I8*I3,0)</f>
        <v>2889000</v>
      </c>
      <c r="D8" s="3941"/>
      <c r="E8" s="3941"/>
      <c r="F8" s="3942"/>
      <c r="G8" s="3453" t="s">
        <v>3411</v>
      </c>
      <c r="H8" s="3457" t="s">
        <v>3412</v>
      </c>
      <c r="I8" s="3473">
        <f>'数据-取费表'!L6</f>
        <v>4500</v>
      </c>
      <c r="J8" s="3474">
        <f>D36</f>
        <v>10.5</v>
      </c>
      <c r="K8" s="3986"/>
      <c r="L8" s="3469" t="s">
        <v>3413</v>
      </c>
      <c r="M8" s="3470">
        <v>100</v>
      </c>
      <c r="N8" s="3470" t="s">
        <v>3408</v>
      </c>
      <c r="O8" s="3470">
        <v>60</v>
      </c>
      <c r="P8" s="3472">
        <v>0.5</v>
      </c>
    </row>
    <row r="9" spans="1:16" s="3467" customFormat="1" ht="18" customHeight="1">
      <c r="A9" s="3451" t="s">
        <v>3414</v>
      </c>
      <c r="B9" s="3457" t="s">
        <v>3415</v>
      </c>
      <c r="C9" s="3940">
        <f>ROUND(C8*H9,0)</f>
        <v>86670</v>
      </c>
      <c r="D9" s="3941"/>
      <c r="E9" s="3941"/>
      <c r="F9" s="3942"/>
      <c r="G9" s="3453" t="s">
        <v>3416</v>
      </c>
      <c r="H9" s="3972">
        <f>'数据-取费表'!B33</f>
        <v>0.03</v>
      </c>
      <c r="I9" s="3972"/>
      <c r="J9" s="3474" t="e">
        <f>D37</f>
        <v>#DIV/0!</v>
      </c>
      <c r="K9" s="3986"/>
      <c r="L9" s="3469" t="s">
        <v>3417</v>
      </c>
      <c r="M9" s="3470">
        <v>100</v>
      </c>
      <c r="N9" s="3470" t="s">
        <v>3408</v>
      </c>
      <c r="O9" s="3470">
        <v>60</v>
      </c>
      <c r="P9" s="3472">
        <f>1-P7-P8</f>
        <v>0.19999999999999996</v>
      </c>
    </row>
    <row r="10" spans="1:16" s="3467" customFormat="1" ht="18" customHeight="1">
      <c r="A10" s="3451" t="s">
        <v>3418</v>
      </c>
      <c r="B10" s="3457" t="s">
        <v>3419</v>
      </c>
      <c r="C10" s="3940">
        <f>ROUND(C8*H10,0)</f>
        <v>0</v>
      </c>
      <c r="D10" s="3941"/>
      <c r="E10" s="3941"/>
      <c r="F10" s="3942"/>
      <c r="G10" s="3453" t="s">
        <v>3416</v>
      </c>
      <c r="H10" s="3972">
        <v>0</v>
      </c>
      <c r="I10" s="3972"/>
      <c r="J10" s="3474" t="e">
        <f>D38</f>
        <v>#DIV/0!</v>
      </c>
      <c r="K10" s="3986"/>
      <c r="L10" s="3475" t="s">
        <v>3395</v>
      </c>
      <c r="M10" s="3476">
        <f>1-M5</f>
        <v>0.5</v>
      </c>
      <c r="N10" s="3470" t="s">
        <v>3393</v>
      </c>
      <c r="O10" s="3477">
        <f>ROUND((O7*P7+O8*P8+O9*P9)/100,2)</f>
        <v>0.6</v>
      </c>
      <c r="P10" s="3478"/>
    </row>
    <row r="11" spans="1:16" s="3467" customFormat="1" ht="29.25" customHeight="1">
      <c r="A11" s="3451" t="s">
        <v>3420</v>
      </c>
      <c r="B11" s="3457" t="s">
        <v>3421</v>
      </c>
      <c r="C11" s="3940">
        <f>ROUND(I11*I3,0)</f>
        <v>128400</v>
      </c>
      <c r="D11" s="3941"/>
      <c r="E11" s="3941"/>
      <c r="F11" s="3942"/>
      <c r="G11" s="3453" t="s">
        <v>3422</v>
      </c>
      <c r="H11" s="3457" t="s">
        <v>3423</v>
      </c>
      <c r="I11" s="3453">
        <f>'数据-取费表'!B35</f>
        <v>200</v>
      </c>
      <c r="J11" s="3465"/>
      <c r="K11" s="3479"/>
      <c r="L11" s="3479"/>
      <c r="N11" s="3467">
        <f>(M4+O10)/2</f>
        <v>0.59</v>
      </c>
    </row>
    <row r="12" spans="1:16" s="3467" customFormat="1" ht="18" customHeight="1">
      <c r="A12" s="3451" t="s">
        <v>3424</v>
      </c>
      <c r="B12" s="3457" t="s">
        <v>3425</v>
      </c>
      <c r="C12" s="3940">
        <f>ROUND(C8*H12,0)</f>
        <v>43335</v>
      </c>
      <c r="D12" s="3941"/>
      <c r="E12" s="3941"/>
      <c r="F12" s="3942"/>
      <c r="G12" s="3453" t="s">
        <v>3416</v>
      </c>
      <c r="H12" s="3972">
        <f>'数据-取费表'!B36</f>
        <v>1.4999999999999999E-2</v>
      </c>
      <c r="I12" s="3972"/>
      <c r="J12" s="3480" t="s">
        <v>3426</v>
      </c>
      <c r="L12" s="3481"/>
    </row>
    <row r="13" spans="1:16" s="3467" customFormat="1" ht="18" customHeight="1">
      <c r="A13" s="3451" t="s">
        <v>438</v>
      </c>
      <c r="B13" s="3457" t="s">
        <v>3427</v>
      </c>
      <c r="C13" s="3940">
        <f>SUM(C8:F12)</f>
        <v>3147405</v>
      </c>
      <c r="D13" s="3941"/>
      <c r="E13" s="3941"/>
      <c r="F13" s="3942"/>
      <c r="G13" s="3951" t="s">
        <v>3428</v>
      </c>
      <c r="H13" s="3951"/>
      <c r="I13" s="3951"/>
      <c r="J13" s="3480" t="s">
        <v>3429</v>
      </c>
      <c r="L13" s="3481"/>
    </row>
    <row r="14" spans="1:16" s="3467" customFormat="1" ht="18" customHeight="1">
      <c r="A14" s="3451" t="s">
        <v>3430</v>
      </c>
      <c r="B14" s="3457" t="s">
        <v>3431</v>
      </c>
      <c r="C14" s="3940">
        <f>ROUND(C13*H14,0)</f>
        <v>62948</v>
      </c>
      <c r="D14" s="3941"/>
      <c r="E14" s="3941"/>
      <c r="F14" s="3942"/>
      <c r="G14" s="3453" t="s">
        <v>3432</v>
      </c>
      <c r="H14" s="3972">
        <v>0.02</v>
      </c>
      <c r="I14" s="3972"/>
      <c r="J14" s="3465"/>
      <c r="L14" s="3481"/>
    </row>
    <row r="15" spans="1:16" s="3467" customFormat="1" ht="18" customHeight="1">
      <c r="A15" s="3451" t="s">
        <v>393</v>
      </c>
      <c r="B15" s="3457" t="s">
        <v>3433</v>
      </c>
      <c r="C15" s="3954">
        <f>H15</f>
        <v>0.02</v>
      </c>
      <c r="D15" s="3955"/>
      <c r="E15" s="3970" t="str">
        <f>E18</f>
        <v>V</v>
      </c>
      <c r="F15" s="3971"/>
      <c r="G15" s="3453" t="s">
        <v>3434</v>
      </c>
      <c r="H15" s="3972">
        <v>0.02</v>
      </c>
      <c r="I15" s="3972"/>
      <c r="J15" s="3482"/>
      <c r="K15" s="3483"/>
    </row>
    <row r="16" spans="1:16" s="3467" customFormat="1" ht="18" customHeight="1">
      <c r="A16" s="3484" t="s">
        <v>394</v>
      </c>
      <c r="B16" s="3485" t="s">
        <v>3435</v>
      </c>
      <c r="C16" s="3486">
        <f ca="1">C17</f>
        <v>110757</v>
      </c>
      <c r="D16" s="3487" t="s">
        <v>3436</v>
      </c>
      <c r="E16" s="3488">
        <f ca="1">C18</f>
        <v>6.9000000000000008E-4</v>
      </c>
      <c r="F16" s="3489" t="str">
        <f>E18</f>
        <v>V</v>
      </c>
      <c r="G16" s="3940" t="s">
        <v>3437</v>
      </c>
      <c r="H16" s="3941"/>
      <c r="I16" s="3942"/>
      <c r="J16" s="3465"/>
      <c r="K16" s="3479"/>
    </row>
    <row r="17" spans="1:21" s="3467" customFormat="1" ht="18" customHeight="1">
      <c r="A17" s="3451" t="s">
        <v>3438</v>
      </c>
      <c r="B17" s="3457" t="s">
        <v>3439</v>
      </c>
      <c r="C17" s="3940">
        <f ca="1">ROUND((C13+C14)*I18*(I17/2),0)</f>
        <v>110757</v>
      </c>
      <c r="D17" s="3941"/>
      <c r="E17" s="3941"/>
      <c r="F17" s="3942"/>
      <c r="G17" s="3486" t="s">
        <v>3440</v>
      </c>
      <c r="H17" s="3457" t="s">
        <v>3441</v>
      </c>
      <c r="I17" s="3490">
        <f>'数据-取费表'!B21</f>
        <v>2</v>
      </c>
      <c r="J17" s="3480" t="s">
        <v>3442</v>
      </c>
      <c r="K17" s="3479"/>
      <c r="L17" s="3479"/>
    </row>
    <row r="18" spans="1:21" s="3467" customFormat="1" ht="18" customHeight="1">
      <c r="A18" s="3451" t="s">
        <v>3443</v>
      </c>
      <c r="B18" s="3457" t="s">
        <v>3444</v>
      </c>
      <c r="C18" s="3973">
        <f ca="1">H15*I18*I17/2</f>
        <v>6.9000000000000008E-4</v>
      </c>
      <c r="D18" s="3974"/>
      <c r="E18" s="3970" t="s">
        <v>3446</v>
      </c>
      <c r="F18" s="3971"/>
      <c r="G18" s="3486" t="s">
        <v>3447</v>
      </c>
      <c r="H18" s="3457" t="s">
        <v>3448</v>
      </c>
      <c r="I18" s="3491">
        <f ca="1">'数据-取费表'!B40</f>
        <v>3.4500000000000003E-2</v>
      </c>
      <c r="J18" s="3480" t="s">
        <v>3449</v>
      </c>
      <c r="K18" s="3479"/>
      <c r="L18" s="3479"/>
    </row>
    <row r="19" spans="1:21" s="3467" customFormat="1" ht="27" customHeight="1">
      <c r="A19" s="3451" t="s">
        <v>395</v>
      </c>
      <c r="B19" s="3457" t="s">
        <v>3450</v>
      </c>
      <c r="C19" s="3486">
        <f>C20</f>
        <v>642071</v>
      </c>
      <c r="D19" s="3487" t="s">
        <v>3436</v>
      </c>
      <c r="E19" s="3487">
        <f>C21</f>
        <v>4.0000000000000001E-3</v>
      </c>
      <c r="F19" s="3489" t="str">
        <f>E21</f>
        <v>V</v>
      </c>
      <c r="G19" s="3940" t="s">
        <v>3451</v>
      </c>
      <c r="H19" s="3941"/>
      <c r="I19" s="3942"/>
      <c r="J19" s="3465"/>
      <c r="K19" s="3479"/>
      <c r="L19" s="3479"/>
    </row>
    <row r="20" spans="1:21" s="3467" customFormat="1" ht="26.25" customHeight="1">
      <c r="A20" s="3451" t="s">
        <v>3452</v>
      </c>
      <c r="B20" s="3457" t="s">
        <v>3453</v>
      </c>
      <c r="C20" s="3940">
        <f>ROUND((C13+C14)*I20,0)</f>
        <v>642071</v>
      </c>
      <c r="D20" s="3941"/>
      <c r="E20" s="3941"/>
      <c r="F20" s="3942"/>
      <c r="G20" s="3453" t="s">
        <v>3454</v>
      </c>
      <c r="H20" s="3965" t="s">
        <v>3455</v>
      </c>
      <c r="I20" s="3967">
        <f>'数据-取费表'!Q6</f>
        <v>0.2</v>
      </c>
      <c r="J20" s="3480" t="s">
        <v>3456</v>
      </c>
      <c r="K20" s="3479"/>
      <c r="L20" s="3479"/>
      <c r="R20" s="3467" t="s">
        <v>3617</v>
      </c>
      <c r="S20" s="3467">
        <v>15</v>
      </c>
      <c r="T20" s="3467">
        <v>15</v>
      </c>
      <c r="U20" s="3561" t="e">
        <f>ROUND(U21*U22/365/0.8,1)</f>
        <v>#DIV/0!</v>
      </c>
    </row>
    <row r="21" spans="1:21" s="3467" customFormat="1" ht="27" customHeight="1">
      <c r="A21" s="3451" t="s">
        <v>3452</v>
      </c>
      <c r="B21" s="3457" t="s">
        <v>3457</v>
      </c>
      <c r="C21" s="3968">
        <f>H15*I20</f>
        <v>4.0000000000000001E-3</v>
      </c>
      <c r="D21" s="3969"/>
      <c r="E21" s="3970" t="s">
        <v>3445</v>
      </c>
      <c r="F21" s="3971"/>
      <c r="G21" s="3453" t="s">
        <v>3458</v>
      </c>
      <c r="H21" s="3966"/>
      <c r="I21" s="3967"/>
      <c r="J21" s="3465"/>
      <c r="K21" s="3479"/>
      <c r="L21" s="3479"/>
      <c r="R21" s="3467" t="s">
        <v>3614</v>
      </c>
      <c r="S21" s="3467">
        <f>S20*365*0.8/S22</f>
        <v>87600</v>
      </c>
      <c r="T21" s="3467">
        <v>60000</v>
      </c>
      <c r="U21" s="3467" t="e">
        <f>'比较法-商业售价'!C49</f>
        <v>#DIV/0!</v>
      </c>
    </row>
    <row r="22" spans="1:21" s="3467" customFormat="1" ht="18" customHeight="1">
      <c r="A22" s="3451" t="s">
        <v>396</v>
      </c>
      <c r="B22" s="3457" t="s">
        <v>3459</v>
      </c>
      <c r="C22" s="3968">
        <f>ROUND(H22/1.05,4)</f>
        <v>5.33E-2</v>
      </c>
      <c r="D22" s="3969"/>
      <c r="E22" s="3970" t="s">
        <v>3445</v>
      </c>
      <c r="F22" s="3971"/>
      <c r="G22" s="3453" t="s">
        <v>3460</v>
      </c>
      <c r="H22" s="3972">
        <f>'数据-取费表'!B41</f>
        <v>5.6000000000000001E-2</v>
      </c>
      <c r="I22" s="3972"/>
      <c r="J22" s="3492"/>
      <c r="K22" s="3479"/>
      <c r="L22" s="3479"/>
      <c r="R22" s="3467" t="s">
        <v>3615</v>
      </c>
      <c r="S22" s="3564">
        <v>0.05</v>
      </c>
      <c r="T22" s="3564">
        <f>T20*365*0.8/T21</f>
        <v>7.2999999999999995E-2</v>
      </c>
      <c r="U22" s="3565">
        <v>7.0000000000000007E-2</v>
      </c>
    </row>
    <row r="23" spans="1:21" s="3467" customFormat="1" ht="18" customHeight="1">
      <c r="A23" s="3451" t="s">
        <v>3461</v>
      </c>
      <c r="B23" s="3457" t="s">
        <v>3462</v>
      </c>
      <c r="C23" s="3940">
        <f ca="1">ROUND((C13+C14+C17+C20)/(1-H15-C18-C21-C22),0)</f>
        <v>4298414</v>
      </c>
      <c r="D23" s="3941"/>
      <c r="E23" s="3941"/>
      <c r="F23" s="3942"/>
      <c r="G23" s="3940" t="s">
        <v>3463</v>
      </c>
      <c r="H23" s="3941"/>
      <c r="I23" s="3942"/>
      <c r="J23" s="3492"/>
      <c r="K23" s="3479"/>
      <c r="L23" s="3479"/>
      <c r="R23" s="3467" t="s">
        <v>3616</v>
      </c>
    </row>
    <row r="24" spans="1:21" s="3467" customFormat="1" ht="18" customHeight="1">
      <c r="A24" s="3451" t="s">
        <v>3464</v>
      </c>
      <c r="B24" s="3457" t="s">
        <v>3465</v>
      </c>
      <c r="C24" s="3493">
        <f ca="1">C27+C28</f>
        <v>24823</v>
      </c>
      <c r="D24" s="3494" t="s">
        <v>3466</v>
      </c>
      <c r="E24" s="3964">
        <f>H29+E26+H25</f>
        <v>0.18028571428571427</v>
      </c>
      <c r="F24" s="3957"/>
      <c r="G24" s="3951" t="s">
        <v>3467</v>
      </c>
      <c r="H24" s="3951"/>
      <c r="I24" s="3951"/>
      <c r="J24" s="3492"/>
      <c r="K24" s="3563" t="e">
        <f ca="1">C4/C30</f>
        <v>#DIV/0!</v>
      </c>
      <c r="L24" s="3479"/>
    </row>
    <row r="25" spans="1:21" s="3467" customFormat="1" ht="18" customHeight="1">
      <c r="A25" s="3451" t="s">
        <v>438</v>
      </c>
      <c r="B25" s="3457" t="s">
        <v>3468</v>
      </c>
      <c r="C25" s="3954" t="s">
        <v>3469</v>
      </c>
      <c r="D25" s="3955"/>
      <c r="E25" s="3958">
        <f>ROUND(H25/1.05,4)</f>
        <v>5.33E-2</v>
      </c>
      <c r="F25" s="3959"/>
      <c r="G25" s="3453" t="s">
        <v>3470</v>
      </c>
      <c r="H25" s="3952">
        <f>'数据-取费表'!B41</f>
        <v>5.6000000000000001E-2</v>
      </c>
      <c r="I25" s="3952"/>
      <c r="J25" s="3482"/>
      <c r="K25" s="3479"/>
      <c r="L25" s="3479"/>
    </row>
    <row r="26" spans="1:21" s="3467" customFormat="1" ht="18" customHeight="1">
      <c r="A26" s="3451" t="s">
        <v>3430</v>
      </c>
      <c r="B26" s="3457" t="s">
        <v>3471</v>
      </c>
      <c r="C26" s="3954" t="s">
        <v>3469</v>
      </c>
      <c r="D26" s="3955"/>
      <c r="E26" s="3960">
        <f>H26/1.05</f>
        <v>0.11428571428571428</v>
      </c>
      <c r="F26" s="3961"/>
      <c r="G26" s="3453"/>
      <c r="H26" s="3962">
        <f>'数据-取费表'!B51</f>
        <v>0.12</v>
      </c>
      <c r="I26" s="3963"/>
      <c r="J26" s="3482"/>
      <c r="K26" s="3479"/>
      <c r="L26" s="3479"/>
      <c r="M26" s="3562">
        <f>15*365*0.8/0.05</f>
        <v>87600</v>
      </c>
    </row>
    <row r="27" spans="1:21" s="3467" customFormat="1" ht="18" customHeight="1">
      <c r="A27" s="3451" t="s">
        <v>393</v>
      </c>
      <c r="B27" s="3457" t="s">
        <v>3472</v>
      </c>
      <c r="C27" s="3940">
        <f ca="1">ROUND(C23*H27,0)</f>
        <v>21492</v>
      </c>
      <c r="D27" s="3941"/>
      <c r="E27" s="3941"/>
      <c r="F27" s="3942"/>
      <c r="G27" s="3453" t="s">
        <v>3473</v>
      </c>
      <c r="H27" s="3952">
        <v>5.0000000000000001E-3</v>
      </c>
      <c r="I27" s="3952"/>
      <c r="J27" s="3482"/>
      <c r="K27" s="3479"/>
      <c r="L27" s="3479"/>
      <c r="M27" s="3467">
        <v>65000</v>
      </c>
      <c r="N27" s="3562">
        <f>15*365/0.09</f>
        <v>60833.333333333336</v>
      </c>
    </row>
    <row r="28" spans="1:21" s="3467" customFormat="1" ht="18" customHeight="1">
      <c r="A28" s="3451" t="s">
        <v>394</v>
      </c>
      <c r="B28" s="3457" t="s">
        <v>3474</v>
      </c>
      <c r="C28" s="3940">
        <f ca="1">ROUND(C7*H28,0)</f>
        <v>3331</v>
      </c>
      <c r="D28" s="3941"/>
      <c r="E28" s="3941"/>
      <c r="F28" s="3942"/>
      <c r="G28" s="3453" t="s">
        <v>3475</v>
      </c>
      <c r="H28" s="3953">
        <v>1E-3</v>
      </c>
      <c r="I28" s="3953"/>
      <c r="J28" s="3465"/>
      <c r="K28" s="3479"/>
      <c r="L28" s="3479"/>
      <c r="M28" s="3560">
        <f>M27/M26</f>
        <v>0.74200913242009137</v>
      </c>
    </row>
    <row r="29" spans="1:21" s="3467" customFormat="1" ht="18" customHeight="1">
      <c r="A29" s="3451" t="s">
        <v>395</v>
      </c>
      <c r="B29" s="3457" t="s">
        <v>3476</v>
      </c>
      <c r="C29" s="3954" t="s">
        <v>3469</v>
      </c>
      <c r="D29" s="3955"/>
      <c r="E29" s="3956">
        <f>H29</f>
        <v>0.01</v>
      </c>
      <c r="F29" s="3957"/>
      <c r="G29" s="3453" t="s">
        <v>3477</v>
      </c>
      <c r="H29" s="3952">
        <v>0.01</v>
      </c>
      <c r="I29" s="3952"/>
      <c r="J29" s="3495"/>
      <c r="K29" s="3479"/>
      <c r="L29" s="3479"/>
    </row>
    <row r="30" spans="1:21" s="3467" customFormat="1" ht="18" customHeight="1">
      <c r="A30" s="3456" t="s">
        <v>3478</v>
      </c>
      <c r="B30" s="3457" t="s">
        <v>3479</v>
      </c>
      <c r="C30" s="3940" t="e">
        <f ca="1">ROUND((C4+C24)/(1-E24),0)</f>
        <v>#DIV/0!</v>
      </c>
      <c r="D30" s="3941"/>
      <c r="E30" s="3941"/>
      <c r="F30" s="3942"/>
      <c r="G30" s="3943" t="s">
        <v>3480</v>
      </c>
      <c r="H30" s="3943"/>
      <c r="I30" s="3943"/>
      <c r="J30" s="3496" t="s">
        <v>3481</v>
      </c>
      <c r="K30" s="3479"/>
      <c r="L30" s="3479"/>
    </row>
    <row r="31" spans="1:21" s="3467" customFormat="1" ht="18" customHeight="1">
      <c r="A31" s="3943" t="s">
        <v>3482</v>
      </c>
      <c r="B31" s="3944" t="s">
        <v>3483</v>
      </c>
      <c r="C31" s="3945" t="e">
        <f ca="1">ROUND(C30/I31/I32/I3,2)</f>
        <v>#DIV/0!</v>
      </c>
      <c r="D31" s="3946"/>
      <c r="E31" s="3946"/>
      <c r="F31" s="3947"/>
      <c r="G31" s="3951" t="s">
        <v>3484</v>
      </c>
      <c r="H31" s="3457" t="s">
        <v>3485</v>
      </c>
      <c r="I31" s="3453">
        <v>365</v>
      </c>
      <c r="J31" s="3497"/>
      <c r="K31" s="3479"/>
      <c r="L31" s="3479"/>
    </row>
    <row r="32" spans="1:21" s="3467" customFormat="1" ht="18" customHeight="1">
      <c r="A32" s="3943"/>
      <c r="B32" s="3944"/>
      <c r="C32" s="3948"/>
      <c r="D32" s="3949"/>
      <c r="E32" s="3949"/>
      <c r="F32" s="3950"/>
      <c r="G32" s="3951"/>
      <c r="H32" s="3457" t="s">
        <v>3486</v>
      </c>
      <c r="I32" s="3498">
        <v>0.95</v>
      </c>
      <c r="J32" s="3499"/>
      <c r="K32" s="3479"/>
      <c r="L32" s="3500"/>
    </row>
    <row r="33" spans="1:13" s="3467" customFormat="1" ht="18" customHeight="1">
      <c r="A33" s="3450"/>
      <c r="B33" s="3501"/>
      <c r="C33" s="3502"/>
      <c r="D33" s="3502"/>
      <c r="E33" s="3502"/>
      <c r="F33" s="3502"/>
      <c r="G33" s="3503"/>
      <c r="H33" s="3504"/>
      <c r="I33" s="3450"/>
      <c r="J33" s="3505"/>
      <c r="K33" s="3479"/>
      <c r="L33" s="3500"/>
    </row>
    <row r="34" spans="1:13" s="3467" customFormat="1" ht="18" customHeight="1">
      <c r="A34" s="3450"/>
      <c r="B34" s="3933" t="s">
        <v>3487</v>
      </c>
      <c r="C34" s="3933"/>
      <c r="D34" s="3933"/>
      <c r="E34" s="3933"/>
      <c r="F34" s="3933"/>
      <c r="G34" s="3506"/>
      <c r="H34" s="3507"/>
      <c r="I34" s="3508"/>
      <c r="J34" s="3465"/>
      <c r="K34" s="3479"/>
      <c r="L34" s="3479"/>
      <c r="M34" s="3450"/>
    </row>
    <row r="35" spans="1:13" s="3467" customFormat="1" ht="18" customHeight="1">
      <c r="A35" s="3450"/>
      <c r="B35" s="3509" t="s">
        <v>3488</v>
      </c>
      <c r="C35" s="3510" t="s">
        <v>3402</v>
      </c>
      <c r="D35" s="3934" t="s">
        <v>3489</v>
      </c>
      <c r="E35" s="3934"/>
      <c r="F35" s="3934"/>
      <c r="G35" s="3506"/>
      <c r="H35" s="3507"/>
      <c r="I35" s="3511"/>
      <c r="J35" s="3492"/>
      <c r="K35" s="3450"/>
      <c r="L35" s="3450"/>
      <c r="M35" s="3450"/>
    </row>
    <row r="36" spans="1:13">
      <c r="B36" s="3509" t="s">
        <v>3490</v>
      </c>
      <c r="C36" s="3512">
        <v>0.5</v>
      </c>
      <c r="D36" s="3935">
        <f>'比较法-商业'!C49</f>
        <v>10.5</v>
      </c>
      <c r="E36" s="3935"/>
      <c r="F36" s="3935"/>
      <c r="G36" s="3506"/>
      <c r="H36" s="3507"/>
      <c r="I36" s="3511"/>
      <c r="K36" s="3450"/>
      <c r="L36" s="3450"/>
    </row>
    <row r="37" spans="1:13" ht="20.100000000000001" customHeight="1">
      <c r="B37" s="3509" t="s">
        <v>3491</v>
      </c>
      <c r="C37" s="3512">
        <f>1-C36</f>
        <v>0.5</v>
      </c>
      <c r="D37" s="3935" t="e">
        <f>U20</f>
        <v>#DIV/0!</v>
      </c>
      <c r="E37" s="3935"/>
      <c r="F37" s="3935"/>
      <c r="G37" s="3513" t="e">
        <f>(D37-D36)/D37</f>
        <v>#DIV/0!</v>
      </c>
      <c r="H37" s="3514"/>
      <c r="I37" s="3515"/>
      <c r="J37" s="3450"/>
      <c r="K37" s="3450"/>
      <c r="L37" s="3450"/>
    </row>
    <row r="38" spans="1:13" ht="22.5" customHeight="1">
      <c r="B38" s="3936" t="s">
        <v>3492</v>
      </c>
      <c r="C38" s="3936"/>
      <c r="D38" s="3937" t="e">
        <f>ROUND(D36*C36+D37*C37,2)</f>
        <v>#DIV/0!</v>
      </c>
      <c r="E38" s="3938"/>
      <c r="F38" s="3939"/>
      <c r="G38" s="3506"/>
      <c r="H38" s="3514"/>
      <c r="I38" s="3515"/>
      <c r="J38" s="3450">
        <f>8.2*365</f>
        <v>2992.9999999999995</v>
      </c>
      <c r="K38" s="3450"/>
      <c r="L38" s="3450"/>
    </row>
    <row r="39" spans="1:13" ht="22.5" customHeight="1">
      <c r="B39" s="3509" t="s">
        <v>3493</v>
      </c>
      <c r="C39" s="3516" t="e">
        <f>ROUND(D38*0.9,1)</f>
        <v>#DIV/0!</v>
      </c>
      <c r="D39" s="3517" t="s">
        <v>3494</v>
      </c>
      <c r="E39" s="3931" t="e">
        <f>ROUND(D38*1.1,1)</f>
        <v>#DIV/0!</v>
      </c>
      <c r="F39" s="3931"/>
      <c r="G39" s="3518"/>
      <c r="H39" s="3519"/>
      <c r="J39" s="3450" t="e">
        <f ca="1">'成本法 (元)'!B3</f>
        <v>#DIV/0!</v>
      </c>
      <c r="K39" s="3450"/>
      <c r="L39" s="3450"/>
    </row>
    <row r="40" spans="1:13" ht="18" customHeight="1">
      <c r="B40" s="3509" t="s">
        <v>3495</v>
      </c>
      <c r="C40" s="3520" t="e">
        <f>ROUND(C39*365/12,0)</f>
        <v>#DIV/0!</v>
      </c>
      <c r="D40" s="3517" t="s">
        <v>3494</v>
      </c>
      <c r="E40" s="3932" t="e">
        <f>ROUND(E39*365/12,0)</f>
        <v>#DIV/0!</v>
      </c>
      <c r="F40" s="3932"/>
      <c r="G40" s="3521" t="s">
        <v>3496</v>
      </c>
      <c r="H40" s="3521">
        <f>ROUND(65*12/365,2)</f>
        <v>2.14</v>
      </c>
      <c r="J40" s="3450" t="e">
        <f ca="1">J38/J39</f>
        <v>#DIV/0!</v>
      </c>
      <c r="K40" s="3450"/>
      <c r="L40" s="3450"/>
    </row>
    <row r="41" spans="1:13" ht="18" customHeight="1">
      <c r="B41" s="3522"/>
      <c r="C41" s="3523"/>
      <c r="D41" s="3507"/>
      <c r="E41" s="3507"/>
      <c r="F41" s="3507"/>
      <c r="G41" s="3518"/>
      <c r="H41" s="3524"/>
      <c r="J41" s="3450"/>
    </row>
    <row r="42" spans="1:13" ht="18" customHeight="1">
      <c r="B42" s="3518" t="s">
        <v>3497</v>
      </c>
      <c r="C42" s="3507"/>
      <c r="D42" s="3507"/>
      <c r="E42" s="3518" t="s">
        <v>3498</v>
      </c>
      <c r="F42" s="3507"/>
      <c r="G42" s="3518"/>
      <c r="H42" s="3518" t="s">
        <v>3499</v>
      </c>
      <c r="J42" s="3450"/>
    </row>
    <row r="43" spans="1:13" ht="29.25" customHeight="1"/>
    <row r="45" spans="1:13" ht="175.5">
      <c r="C45" s="3511" t="s">
        <v>3619</v>
      </c>
      <c r="D45" s="3511" t="s">
        <v>3618</v>
      </c>
    </row>
  </sheetData>
  <mergeCells count="70">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E39:F39"/>
    <mergeCell ref="E40:F40"/>
    <mergeCell ref="B34:F34"/>
    <mergeCell ref="D35:F35"/>
    <mergeCell ref="D36:F36"/>
    <mergeCell ref="D37:F37"/>
    <mergeCell ref="B38:C38"/>
    <mergeCell ref="D38:F38"/>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2593</v>
      </c>
      <c r="B1" s="3069" t="s">
        <v>2594</v>
      </c>
      <c r="C1" s="3069" t="s">
        <v>2595</v>
      </c>
      <c r="D1" s="3069" t="s">
        <v>2596</v>
      </c>
      <c r="E1" s="3069" t="s">
        <v>2597</v>
      </c>
      <c r="F1" s="3069" t="s">
        <v>2598</v>
      </c>
      <c r="G1" s="3069" t="s">
        <v>2599</v>
      </c>
      <c r="H1" s="3069" t="s">
        <v>2600</v>
      </c>
      <c r="I1" s="3069" t="s">
        <v>2601</v>
      </c>
      <c r="J1" s="3069" t="s">
        <v>2602</v>
      </c>
      <c r="K1" s="3069" t="s">
        <v>2603</v>
      </c>
      <c r="L1" s="3069" t="s">
        <v>2604</v>
      </c>
      <c r="M1" s="3070" t="s">
        <v>2605</v>
      </c>
    </row>
    <row r="2" spans="1:13" ht="19.5" customHeight="1">
      <c r="A2" s="3072" t="s">
        <v>2606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2622</v>
      </c>
      <c r="B18" s="3094"/>
      <c r="C18" s="3095"/>
      <c r="D18" s="3095"/>
      <c r="E18" s="3094"/>
      <c r="F18" s="3095"/>
      <c r="G18" s="3095"/>
    </row>
    <row r="19" spans="1:13" ht="19.5" customHeight="1" thickBot="1">
      <c r="A19" s="3092" t="s">
        <v>2623</v>
      </c>
      <c r="B19" s="3097" t="s">
        <v>2624</v>
      </c>
      <c r="C19" s="3097" t="s">
        <v>2625</v>
      </c>
      <c r="D19" s="3098"/>
      <c r="E19" s="3092" t="s">
        <v>2626</v>
      </c>
      <c r="F19" s="3099"/>
      <c r="G19" s="3099"/>
    </row>
    <row r="20" spans="1:13" ht="19.5" customHeight="1">
      <c r="A20" s="3996" t="s">
        <v>2606</v>
      </c>
      <c r="B20" s="3991" t="s">
        <v>2627</v>
      </c>
      <c r="C20" s="3100" t="s">
        <v>2438</v>
      </c>
      <c r="D20" s="3101"/>
      <c r="E20" s="3102">
        <v>1</v>
      </c>
      <c r="F20" s="3103" t="s">
        <v>2439</v>
      </c>
      <c r="G20" s="3103"/>
    </row>
    <row r="21" spans="1:13" ht="19.5" customHeight="1">
      <c r="A21" s="3997"/>
      <c r="B21" s="3990"/>
      <c r="C21" s="3104" t="s">
        <v>2440</v>
      </c>
      <c r="D21" s="3105"/>
      <c r="E21" s="3106">
        <v>1</v>
      </c>
      <c r="F21" s="3103" t="s">
        <v>2441</v>
      </c>
      <c r="G21" s="3103"/>
    </row>
    <row r="22" spans="1:13" ht="19.5" customHeight="1">
      <c r="A22" s="3997"/>
      <c r="B22" s="3990"/>
      <c r="C22" s="3104" t="s">
        <v>2442</v>
      </c>
      <c r="D22" s="3105"/>
      <c r="E22" s="3106">
        <v>0.9</v>
      </c>
      <c r="F22" s="3103" t="s">
        <v>2443</v>
      </c>
      <c r="G22" s="3103"/>
    </row>
    <row r="23" spans="1:13" ht="19.5" customHeight="1">
      <c r="A23" s="3997"/>
      <c r="B23" s="3990"/>
      <c r="C23" s="3104" t="s">
        <v>2444</v>
      </c>
      <c r="D23" s="3105"/>
      <c r="E23" s="3106">
        <v>0.9</v>
      </c>
      <c r="F23" s="3103" t="s">
        <v>2445</v>
      </c>
      <c r="G23" s="3103"/>
    </row>
    <row r="24" spans="1:13" ht="19.5" customHeight="1">
      <c r="A24" s="3997"/>
      <c r="B24" s="3990"/>
      <c r="C24" s="3104" t="s">
        <v>2446</v>
      </c>
      <c r="D24" s="3105"/>
      <c r="E24" s="3106">
        <v>0.8</v>
      </c>
      <c r="F24" s="3103" t="s">
        <v>2447</v>
      </c>
      <c r="G24" s="3103"/>
    </row>
    <row r="25" spans="1:13" ht="19.5" customHeight="1" thickBot="1">
      <c r="A25" s="3998"/>
      <c r="B25" s="3992"/>
      <c r="C25" s="3107" t="s">
        <v>2448</v>
      </c>
      <c r="D25" s="3108"/>
      <c r="E25" s="3109">
        <v>0.8</v>
      </c>
      <c r="F25" s="3103" t="s">
        <v>2449</v>
      </c>
      <c r="G25" s="3103"/>
    </row>
    <row r="26" spans="1:13" ht="19.5" customHeight="1" thickBot="1">
      <c r="A26" s="3110" t="s">
        <v>2628</v>
      </c>
      <c r="B26" s="3111" t="s">
        <v>2627</v>
      </c>
      <c r="C26" s="3112" t="s">
        <v>2629</v>
      </c>
      <c r="D26" s="3113"/>
      <c r="E26" s="3114">
        <v>1</v>
      </c>
      <c r="F26" s="3103" t="s">
        <v>2450</v>
      </c>
      <c r="G26" s="3103"/>
    </row>
    <row r="27" spans="1:13" ht="19.5" customHeight="1">
      <c r="A27" s="3993" t="s">
        <v>2630</v>
      </c>
      <c r="B27" s="3991" t="s">
        <v>2611</v>
      </c>
      <c r="C27" s="3100" t="s">
        <v>2451</v>
      </c>
      <c r="D27" s="3101"/>
      <c r="E27" s="3102">
        <v>1</v>
      </c>
      <c r="F27" s="3103" t="s">
        <v>2452</v>
      </c>
      <c r="G27" s="3103"/>
    </row>
    <row r="28" spans="1:13" ht="19.5" customHeight="1">
      <c r="A28" s="3994"/>
      <c r="B28" s="3990"/>
      <c r="C28" s="3104" t="s">
        <v>2453</v>
      </c>
      <c r="D28" s="3105"/>
      <c r="E28" s="3106">
        <v>1</v>
      </c>
      <c r="F28" s="3103" t="s">
        <v>2454</v>
      </c>
      <c r="G28" s="3103"/>
    </row>
    <row r="29" spans="1:13" ht="19.5" customHeight="1">
      <c r="A29" s="3994"/>
      <c r="B29" s="3990"/>
      <c r="C29" s="3104" t="s">
        <v>2455</v>
      </c>
      <c r="D29" s="3105"/>
      <c r="E29" s="3106">
        <v>0.8</v>
      </c>
      <c r="F29" s="3103" t="s">
        <v>2456</v>
      </c>
      <c r="G29" s="3103"/>
    </row>
    <row r="30" spans="1:13" ht="19.5" customHeight="1">
      <c r="A30" s="3994"/>
      <c r="B30" s="3990"/>
      <c r="C30" s="3104" t="s">
        <v>2457</v>
      </c>
      <c r="D30" s="3105"/>
      <c r="E30" s="3106">
        <v>0.8</v>
      </c>
      <c r="F30" s="3103" t="s">
        <v>2458</v>
      </c>
      <c r="G30" s="3103"/>
    </row>
    <row r="31" spans="1:13" ht="19.5" customHeight="1">
      <c r="A31" s="3994"/>
      <c r="B31" s="3990"/>
      <c r="C31" s="3104" t="s">
        <v>2459</v>
      </c>
      <c r="D31" s="3105"/>
      <c r="E31" s="3106">
        <v>0.8</v>
      </c>
      <c r="F31" s="3103" t="s">
        <v>2460</v>
      </c>
      <c r="G31" s="3103"/>
    </row>
    <row r="32" spans="1:13" ht="19.5" customHeight="1">
      <c r="A32" s="3994"/>
      <c r="B32" s="3990"/>
      <c r="C32" s="3104" t="s">
        <v>2461</v>
      </c>
      <c r="D32" s="3105"/>
      <c r="E32" s="3106">
        <v>0.7</v>
      </c>
      <c r="F32" s="3103" t="s">
        <v>2462</v>
      </c>
      <c r="G32" s="3103"/>
    </row>
    <row r="33" spans="1:7" ht="19.5" customHeight="1">
      <c r="A33" s="3994"/>
      <c r="B33" s="3990"/>
      <c r="C33" s="3104" t="s">
        <v>2463</v>
      </c>
      <c r="D33" s="3105"/>
      <c r="E33" s="3106">
        <v>0.8</v>
      </c>
      <c r="F33" s="3103" t="s">
        <v>2464</v>
      </c>
      <c r="G33" s="3103"/>
    </row>
    <row r="34" spans="1:7" ht="19.5" customHeight="1">
      <c r="A34" s="3994"/>
      <c r="B34" s="3990"/>
      <c r="C34" s="3104" t="s">
        <v>2465</v>
      </c>
      <c r="D34" s="3105"/>
      <c r="E34" s="3106">
        <v>0.6</v>
      </c>
      <c r="F34" s="3103" t="s">
        <v>2466</v>
      </c>
      <c r="G34" s="3103"/>
    </row>
    <row r="35" spans="1:7" ht="19.5" customHeight="1">
      <c r="A35" s="3994"/>
      <c r="B35" s="3990"/>
      <c r="C35" s="3104" t="s">
        <v>2467</v>
      </c>
      <c r="D35" s="3105"/>
      <c r="E35" s="3106">
        <v>0.2</v>
      </c>
      <c r="F35" s="3103" t="s">
        <v>2468</v>
      </c>
      <c r="G35" s="3103"/>
    </row>
    <row r="36" spans="1:7" ht="19.5" customHeight="1">
      <c r="A36" s="3994"/>
      <c r="B36" s="3990"/>
      <c r="C36" s="3104" t="s">
        <v>2469</v>
      </c>
      <c r="D36" s="3105"/>
      <c r="E36" s="3106">
        <v>0.2</v>
      </c>
      <c r="F36" s="3103" t="s">
        <v>2470</v>
      </c>
      <c r="G36" s="3103"/>
    </row>
    <row r="37" spans="1:7" ht="19.5" customHeight="1">
      <c r="A37" s="3994"/>
      <c r="B37" s="3988" t="s">
        <v>2631</v>
      </c>
      <c r="C37" s="3104" t="s">
        <v>2471</v>
      </c>
      <c r="D37" s="3105"/>
      <c r="E37" s="3106">
        <v>0.6</v>
      </c>
      <c r="F37" s="3103" t="s">
        <v>2472</v>
      </c>
      <c r="G37" s="3103"/>
    </row>
    <row r="38" spans="1:7" ht="19.5" customHeight="1">
      <c r="A38" s="3994"/>
      <c r="B38" s="3990"/>
      <c r="C38" s="3104" t="s">
        <v>2473</v>
      </c>
      <c r="D38" s="3105"/>
      <c r="E38" s="3106">
        <v>0.6</v>
      </c>
      <c r="F38" s="3103" t="s">
        <v>2474</v>
      </c>
      <c r="G38" s="3103"/>
    </row>
    <row r="39" spans="1:7" ht="19.5" customHeight="1" thickBot="1">
      <c r="A39" s="3995"/>
      <c r="B39" s="3992"/>
      <c r="C39" s="3107" t="s">
        <v>2475</v>
      </c>
      <c r="D39" s="3108"/>
      <c r="E39" s="3109">
        <v>0.6</v>
      </c>
      <c r="F39" s="3103" t="s">
        <v>2476</v>
      </c>
      <c r="G39" s="3103"/>
    </row>
    <row r="40" spans="1:7" ht="19.5" customHeight="1" thickBot="1">
      <c r="A40" s="3110" t="s">
        <v>2608</v>
      </c>
      <c r="B40" s="3111" t="s">
        <v>2608</v>
      </c>
      <c r="C40" s="3112" t="s">
        <v>2632</v>
      </c>
      <c r="D40" s="3113"/>
      <c r="E40" s="3114">
        <v>1</v>
      </c>
      <c r="F40" s="3103" t="s">
        <v>2477</v>
      </c>
      <c r="G40" s="3103"/>
    </row>
    <row r="41" spans="1:7" ht="19.5" customHeight="1">
      <c r="A41" s="3996" t="s">
        <v>2609</v>
      </c>
      <c r="B41" s="3991" t="s">
        <v>2633</v>
      </c>
      <c r="C41" s="3100" t="s">
        <v>2478</v>
      </c>
      <c r="D41" s="3101"/>
      <c r="E41" s="3102">
        <v>1</v>
      </c>
      <c r="F41" s="3103" t="s">
        <v>2479</v>
      </c>
      <c r="G41" s="3103"/>
    </row>
    <row r="42" spans="1:7" ht="19.5" customHeight="1">
      <c r="A42" s="3997"/>
      <c r="B42" s="3990"/>
      <c r="C42" s="3104" t="s">
        <v>2480</v>
      </c>
      <c r="D42" s="3105"/>
      <c r="E42" s="3106">
        <v>1</v>
      </c>
      <c r="F42" s="3103" t="s">
        <v>2481</v>
      </c>
      <c r="G42" s="3103"/>
    </row>
    <row r="43" spans="1:7" ht="19.5" customHeight="1">
      <c r="A43" s="3997"/>
      <c r="B43" s="3989"/>
      <c r="C43" s="3104" t="s">
        <v>2482</v>
      </c>
      <c r="D43" s="3105"/>
      <c r="E43" s="3106">
        <v>1.5</v>
      </c>
      <c r="F43" s="3103" t="s">
        <v>2483</v>
      </c>
      <c r="G43" s="3103"/>
    </row>
    <row r="44" spans="1:7" ht="19.5" customHeight="1">
      <c r="A44" s="3997"/>
      <c r="B44" s="3115" t="s">
        <v>2634</v>
      </c>
      <c r="C44" s="3104" t="s">
        <v>2635</v>
      </c>
      <c r="D44" s="3105"/>
      <c r="E44" s="3106">
        <v>2</v>
      </c>
      <c r="F44" s="3103" t="s">
        <v>2484</v>
      </c>
      <c r="G44" s="3103"/>
    </row>
    <row r="45" spans="1:7" ht="19.5" customHeight="1">
      <c r="A45" s="3997"/>
      <c r="B45" s="3988" t="s">
        <v>2636</v>
      </c>
      <c r="C45" s="3104" t="s">
        <v>2485</v>
      </c>
      <c r="D45" s="3105"/>
      <c r="E45" s="3106">
        <v>1</v>
      </c>
      <c r="F45" s="3103" t="s">
        <v>2486</v>
      </c>
      <c r="G45" s="3103"/>
    </row>
    <row r="46" spans="1:7" ht="19.5" customHeight="1">
      <c r="A46" s="3997"/>
      <c r="B46" s="3990"/>
      <c r="C46" s="3104" t="s">
        <v>2487</v>
      </c>
      <c r="D46" s="3105"/>
      <c r="E46" s="3106">
        <v>1</v>
      </c>
      <c r="F46" s="3103" t="s">
        <v>2488</v>
      </c>
      <c r="G46" s="3103"/>
    </row>
    <row r="47" spans="1:7" ht="19.5" customHeight="1">
      <c r="A47" s="3997"/>
      <c r="B47" s="3990"/>
      <c r="C47" s="3104" t="s">
        <v>2489</v>
      </c>
      <c r="D47" s="3105"/>
      <c r="E47" s="3106">
        <v>1</v>
      </c>
      <c r="F47" s="3103" t="s">
        <v>2490</v>
      </c>
      <c r="G47" s="3103"/>
    </row>
    <row r="48" spans="1:7" ht="19.5" customHeight="1">
      <c r="A48" s="3997"/>
      <c r="B48" s="3990"/>
      <c r="C48" s="3104" t="s">
        <v>2491</v>
      </c>
      <c r="D48" s="3105"/>
      <c r="E48" s="3106">
        <v>1</v>
      </c>
      <c r="F48" s="3103" t="s">
        <v>2492</v>
      </c>
      <c r="G48" s="3103"/>
    </row>
    <row r="49" spans="1:7" ht="19.5" customHeight="1">
      <c r="A49" s="3997"/>
      <c r="B49" s="3990"/>
      <c r="C49" s="3104" t="s">
        <v>2493</v>
      </c>
      <c r="D49" s="3105"/>
      <c r="E49" s="3106">
        <v>1</v>
      </c>
      <c r="F49" s="3103" t="s">
        <v>2494</v>
      </c>
      <c r="G49" s="3103"/>
    </row>
    <row r="50" spans="1:7" ht="19.5" customHeight="1">
      <c r="A50" s="3997"/>
      <c r="B50" s="3990"/>
      <c r="C50" s="3104" t="s">
        <v>2495</v>
      </c>
      <c r="D50" s="3105"/>
      <c r="E50" s="3106">
        <v>1</v>
      </c>
      <c r="F50" s="3103" t="s">
        <v>2496</v>
      </c>
      <c r="G50" s="3103"/>
    </row>
    <row r="51" spans="1:7" ht="19.5" customHeight="1" thickBot="1">
      <c r="A51" s="3998"/>
      <c r="B51" s="3992"/>
      <c r="C51" s="3107" t="s">
        <v>2497</v>
      </c>
      <c r="D51" s="3108"/>
      <c r="E51" s="3109">
        <v>1</v>
      </c>
      <c r="F51" s="3103" t="s">
        <v>2498</v>
      </c>
      <c r="G51" s="3103"/>
    </row>
    <row r="52" spans="1:7" ht="19.5" customHeight="1">
      <c r="A52" s="3116"/>
      <c r="B52" s="3116"/>
      <c r="C52" s="3116"/>
      <c r="D52" s="3116"/>
      <c r="E52" s="3116"/>
      <c r="F52" s="3116"/>
      <c r="G52" s="3116"/>
    </row>
    <row r="54" spans="1:7" ht="19.5" customHeight="1">
      <c r="A54" s="3117"/>
      <c r="B54" s="3089" t="s">
        <v>2637</v>
      </c>
      <c r="C54" s="3089" t="s">
        <v>2637</v>
      </c>
      <c r="D54" s="3089" t="s">
        <v>2637</v>
      </c>
      <c r="E54" s="3092" t="s">
        <v>2637</v>
      </c>
      <c r="F54" s="3092" t="s">
        <v>2638</v>
      </c>
      <c r="G54" s="3092" t="s">
        <v>2639</v>
      </c>
    </row>
    <row r="55" spans="1:7" ht="19.5" customHeight="1">
      <c r="A55" s="3118"/>
      <c r="B55" s="3092" t="s">
        <v>2606</v>
      </c>
      <c r="C55" s="3092" t="s">
        <v>2606</v>
      </c>
      <c r="D55" s="3092" t="s">
        <v>2606</v>
      </c>
      <c r="E55" s="3089" t="s">
        <v>2607</v>
      </c>
      <c r="F55" s="3089" t="s">
        <v>2609</v>
      </c>
      <c r="G55" s="3089" t="s">
        <v>2640</v>
      </c>
    </row>
    <row r="56" spans="1:7" ht="19.5" customHeight="1">
      <c r="A56" s="3119"/>
      <c r="B56" s="3089">
        <v>1</v>
      </c>
      <c r="C56" s="3089">
        <v>2</v>
      </c>
      <c r="D56" s="3089">
        <v>3</v>
      </c>
      <c r="E56" s="3120" t="s">
        <v>2641</v>
      </c>
      <c r="F56" s="3120" t="s">
        <v>2641</v>
      </c>
      <c r="G56" s="3120" t="s">
        <v>2641</v>
      </c>
    </row>
    <row r="57" spans="1:7" ht="19.5" customHeight="1">
      <c r="A57" s="3121" t="s">
        <v>2594</v>
      </c>
      <c r="B57" s="3089">
        <v>0.7</v>
      </c>
      <c r="C57" s="3089">
        <v>0.4</v>
      </c>
      <c r="D57" s="3089">
        <v>0.3</v>
      </c>
      <c r="E57" s="3120">
        <v>0.3</v>
      </c>
      <c r="F57" s="3089">
        <v>0.3</v>
      </c>
      <c r="G57" s="3089">
        <v>0.2</v>
      </c>
    </row>
    <row r="58" spans="1:7" ht="19.5" customHeight="1">
      <c r="A58" s="3121" t="s">
        <v>2595</v>
      </c>
      <c r="B58" s="3089">
        <v>0.7</v>
      </c>
      <c r="C58" s="3089">
        <v>0.4</v>
      </c>
      <c r="D58" s="3089">
        <v>0.3</v>
      </c>
      <c r="E58" s="3089">
        <v>0.3</v>
      </c>
      <c r="F58" s="3089">
        <v>0.3</v>
      </c>
      <c r="G58" s="3089">
        <v>0.2</v>
      </c>
    </row>
    <row r="59" spans="1:7" ht="19.5" customHeight="1">
      <c r="A59" s="3121" t="s">
        <v>2596</v>
      </c>
      <c r="B59" s="3089">
        <v>0.6</v>
      </c>
      <c r="C59" s="3089">
        <v>0.3</v>
      </c>
      <c r="D59" s="3089">
        <v>0.25</v>
      </c>
      <c r="E59" s="3089">
        <v>0.25</v>
      </c>
      <c r="F59" s="3089">
        <v>0.25</v>
      </c>
      <c r="G59" s="3089">
        <v>0.15</v>
      </c>
    </row>
    <row r="60" spans="1:7" ht="19.5" customHeight="1">
      <c r="A60" s="3121" t="s">
        <v>2597</v>
      </c>
      <c r="B60" s="3089">
        <v>0.6</v>
      </c>
      <c r="C60" s="3089">
        <v>0.3</v>
      </c>
      <c r="D60" s="3089">
        <v>0.25</v>
      </c>
      <c r="E60" s="3089">
        <v>0.25</v>
      </c>
      <c r="F60" s="3089">
        <v>0.25</v>
      </c>
      <c r="G60" s="3089">
        <v>0.15</v>
      </c>
    </row>
    <row r="61" spans="1:7" ht="19.5" customHeight="1">
      <c r="A61" s="3121" t="s">
        <v>2598</v>
      </c>
      <c r="B61" s="3089">
        <v>0.6</v>
      </c>
      <c r="C61" s="3089">
        <v>0.3</v>
      </c>
      <c r="D61" s="3089">
        <v>0.25</v>
      </c>
      <c r="E61" s="3089">
        <v>0.25</v>
      </c>
      <c r="F61" s="3089">
        <v>0.25</v>
      </c>
      <c r="G61" s="3089">
        <v>0.15</v>
      </c>
    </row>
    <row r="62" spans="1:7" ht="19.5" customHeight="1">
      <c r="A62" s="3121" t="s">
        <v>2599</v>
      </c>
      <c r="B62" s="3089">
        <v>0.6</v>
      </c>
      <c r="C62" s="3089">
        <v>0.3</v>
      </c>
      <c r="D62" s="3089">
        <v>0.25</v>
      </c>
      <c r="E62" s="3089">
        <v>0.25</v>
      </c>
      <c r="F62" s="3089">
        <v>0.25</v>
      </c>
      <c r="G62" s="3089">
        <v>0.15</v>
      </c>
    </row>
    <row r="63" spans="1:7" ht="19.5" customHeight="1">
      <c r="A63" s="3121" t="s">
        <v>2600</v>
      </c>
      <c r="B63" s="3089">
        <v>0.6</v>
      </c>
      <c r="C63" s="3089">
        <v>0.3</v>
      </c>
      <c r="D63" s="3089">
        <v>0.25</v>
      </c>
      <c r="E63" s="3089">
        <v>0.25</v>
      </c>
      <c r="F63" s="3089">
        <v>0.25</v>
      </c>
      <c r="G63" s="3089">
        <v>0.15</v>
      </c>
    </row>
    <row r="64" spans="1:7" ht="19.5" customHeight="1">
      <c r="A64" s="3121" t="s">
        <v>2601</v>
      </c>
      <c r="B64" s="3089">
        <v>0.5</v>
      </c>
      <c r="C64" s="3089">
        <v>0.2</v>
      </c>
      <c r="D64" s="3089">
        <v>0.2</v>
      </c>
      <c r="E64" s="3089">
        <v>0.2</v>
      </c>
      <c r="F64" s="3089">
        <v>0.2</v>
      </c>
      <c r="G64" s="3089">
        <v>0.1</v>
      </c>
    </row>
    <row r="65" spans="1:7" ht="19.5" customHeight="1">
      <c r="A65" s="3121" t="s">
        <v>2602</v>
      </c>
      <c r="B65" s="3089">
        <v>0.5</v>
      </c>
      <c r="C65" s="3089">
        <v>0.2</v>
      </c>
      <c r="D65" s="3089">
        <v>0.2</v>
      </c>
      <c r="E65" s="3089">
        <v>0.2</v>
      </c>
      <c r="F65" s="3089">
        <v>0.2</v>
      </c>
      <c r="G65" s="3089">
        <v>0.1</v>
      </c>
    </row>
    <row r="66" spans="1:7" ht="19.5" customHeight="1">
      <c r="A66" s="3121" t="s">
        <v>2603</v>
      </c>
      <c r="B66" s="3089">
        <v>0.5</v>
      </c>
      <c r="C66" s="3089">
        <v>0.2</v>
      </c>
      <c r="D66" s="3089">
        <v>0.2</v>
      </c>
      <c r="E66" s="3089">
        <v>0.2</v>
      </c>
      <c r="F66" s="3089">
        <v>0.2</v>
      </c>
      <c r="G66" s="3089">
        <v>0.1</v>
      </c>
    </row>
    <row r="67" spans="1:7" ht="19.5" customHeight="1">
      <c r="A67" s="3121" t="s">
        <v>2604</v>
      </c>
      <c r="B67" s="3089">
        <v>0.5</v>
      </c>
      <c r="C67" s="3089">
        <v>0.2</v>
      </c>
      <c r="D67" s="3089">
        <v>0.2</v>
      </c>
      <c r="E67" s="3089">
        <v>0.2</v>
      </c>
      <c r="F67" s="3089">
        <v>0.2</v>
      </c>
      <c r="G67" s="3089">
        <v>0.1</v>
      </c>
    </row>
    <row r="68" spans="1:7" ht="19.5" customHeight="1">
      <c r="A68" s="3121" t="s">
        <v>2605</v>
      </c>
      <c r="B68" s="3089">
        <v>0.5</v>
      </c>
      <c r="C68" s="3089">
        <v>0.2</v>
      </c>
      <c r="D68" s="3089">
        <v>0.2</v>
      </c>
      <c r="E68" s="3089">
        <v>0.2</v>
      </c>
      <c r="F68" s="3089">
        <v>0.2</v>
      </c>
      <c r="G68" s="3089">
        <v>0.1</v>
      </c>
    </row>
    <row r="70" spans="1:7" ht="19.5" customHeight="1">
      <c r="A70" s="3122"/>
      <c r="B70" s="3123"/>
      <c r="C70" s="3123"/>
      <c r="D70" s="3123" t="s">
        <v>2642</v>
      </c>
      <c r="E70" s="3123"/>
      <c r="F70" s="3123"/>
    </row>
    <row r="71" spans="1:7" ht="19.5" customHeight="1">
      <c r="A71" s="3115" t="s">
        <v>2643</v>
      </c>
      <c r="B71" s="3115" t="s">
        <v>2644</v>
      </c>
      <c r="C71" s="3115" t="s">
        <v>2645</v>
      </c>
      <c r="D71" s="3115" t="s">
        <v>2646</v>
      </c>
      <c r="E71" s="3115" t="s">
        <v>2647</v>
      </c>
      <c r="F71" s="3115" t="s">
        <v>2648</v>
      </c>
    </row>
    <row r="72" spans="1:7" ht="13.5">
      <c r="A72" s="3115"/>
      <c r="B72" s="3115"/>
      <c r="C72" s="3115" t="s">
        <v>2649</v>
      </c>
      <c r="D72" s="3115"/>
      <c r="E72" s="3115" t="s">
        <v>2620</v>
      </c>
      <c r="F72" s="3115" t="s">
        <v>2620</v>
      </c>
    </row>
    <row r="73" spans="1:7" ht="13.5">
      <c r="A73" s="3115">
        <v>1</v>
      </c>
      <c r="B73" s="3988" t="s">
        <v>2650</v>
      </c>
      <c r="C73" s="3089" t="s">
        <v>2651</v>
      </c>
      <c r="D73" s="3089" t="s">
        <v>2652</v>
      </c>
      <c r="E73" s="3115">
        <v>0.2</v>
      </c>
      <c r="F73" s="3115">
        <v>25</v>
      </c>
    </row>
    <row r="74" spans="1:7" ht="24">
      <c r="A74" s="3115">
        <v>2</v>
      </c>
      <c r="B74" s="3990"/>
      <c r="C74" s="3089" t="s">
        <v>2653</v>
      </c>
      <c r="D74" s="3089" t="s">
        <v>2654</v>
      </c>
      <c r="E74" s="3115">
        <v>0.2</v>
      </c>
      <c r="F74" s="3115">
        <v>25</v>
      </c>
    </row>
    <row r="75" spans="1:7" ht="24">
      <c r="A75" s="3115">
        <v>3</v>
      </c>
      <c r="B75" s="3990"/>
      <c r="C75" s="3089" t="s">
        <v>2655</v>
      </c>
      <c r="D75" s="3089" t="s">
        <v>2656</v>
      </c>
      <c r="E75" s="3115">
        <v>0.2</v>
      </c>
      <c r="F75" s="3115">
        <v>25</v>
      </c>
    </row>
    <row r="76" spans="1:7" ht="13.5">
      <c r="A76" s="3115">
        <v>4</v>
      </c>
      <c r="B76" s="3990"/>
      <c r="C76" s="3089" t="s">
        <v>2657</v>
      </c>
      <c r="D76" s="3089" t="s">
        <v>2658</v>
      </c>
      <c r="E76" s="3115">
        <v>0.15</v>
      </c>
      <c r="F76" s="3115">
        <v>20</v>
      </c>
    </row>
    <row r="77" spans="1:7" ht="24">
      <c r="A77" s="3115">
        <v>5</v>
      </c>
      <c r="B77" s="3990"/>
      <c r="C77" s="3089" t="s">
        <v>2659</v>
      </c>
      <c r="D77" s="3089" t="s">
        <v>2660</v>
      </c>
      <c r="E77" s="3115">
        <v>0.15</v>
      </c>
      <c r="F77" s="3115">
        <v>20</v>
      </c>
    </row>
    <row r="78" spans="1:7" ht="24">
      <c r="A78" s="3115">
        <v>6</v>
      </c>
      <c r="B78" s="3990"/>
      <c r="C78" s="3089" t="s">
        <v>2661</v>
      </c>
      <c r="D78" s="3089" t="s">
        <v>2662</v>
      </c>
      <c r="E78" s="3115">
        <v>0.15</v>
      </c>
      <c r="F78" s="3115">
        <v>20</v>
      </c>
    </row>
    <row r="79" spans="1:7" ht="24">
      <c r="A79" s="3115">
        <v>7</v>
      </c>
      <c r="B79" s="3990"/>
      <c r="C79" s="3089" t="s">
        <v>2663</v>
      </c>
      <c r="D79" s="3089" t="s">
        <v>2664</v>
      </c>
      <c r="E79" s="3115">
        <v>0.15</v>
      </c>
      <c r="F79" s="3115">
        <v>20</v>
      </c>
    </row>
    <row r="80" spans="1:7" ht="24">
      <c r="A80" s="3115">
        <v>8</v>
      </c>
      <c r="B80" s="3990"/>
      <c r="C80" s="3089" t="s">
        <v>2665</v>
      </c>
      <c r="D80" s="3089" t="s">
        <v>2666</v>
      </c>
      <c r="E80" s="3115">
        <v>0.1</v>
      </c>
      <c r="F80" s="3115">
        <v>15</v>
      </c>
    </row>
    <row r="81" spans="1:6" ht="24">
      <c r="A81" s="3115">
        <v>9</v>
      </c>
      <c r="B81" s="3990"/>
      <c r="C81" s="3089" t="s">
        <v>2667</v>
      </c>
      <c r="D81" s="3089" t="s">
        <v>2668</v>
      </c>
      <c r="E81" s="3115">
        <v>0.1</v>
      </c>
      <c r="F81" s="3115">
        <v>15</v>
      </c>
    </row>
    <row r="82" spans="1:6" ht="24">
      <c r="A82" s="3115">
        <v>10</v>
      </c>
      <c r="B82" s="3990"/>
      <c r="C82" s="3089" t="s">
        <v>2669</v>
      </c>
      <c r="D82" s="3089" t="s">
        <v>2670</v>
      </c>
      <c r="E82" s="3115">
        <v>0.1</v>
      </c>
      <c r="F82" s="3115">
        <v>15</v>
      </c>
    </row>
    <row r="83" spans="1:6" ht="24">
      <c r="A83" s="3115">
        <v>11</v>
      </c>
      <c r="B83" s="3990"/>
      <c r="C83" s="3089" t="s">
        <v>2671</v>
      </c>
      <c r="D83" s="3089" t="s">
        <v>2672</v>
      </c>
      <c r="E83" s="3115">
        <v>0.1</v>
      </c>
      <c r="F83" s="3115">
        <v>15</v>
      </c>
    </row>
    <row r="84" spans="1:6" ht="24">
      <c r="A84" s="3115">
        <v>12</v>
      </c>
      <c r="B84" s="3990"/>
      <c r="C84" s="3089" t="s">
        <v>2673</v>
      </c>
      <c r="D84" s="3089" t="s">
        <v>2674</v>
      </c>
      <c r="E84" s="3115">
        <v>0.1</v>
      </c>
      <c r="F84" s="3115">
        <v>15</v>
      </c>
    </row>
    <row r="85" spans="1:6" ht="13.5">
      <c r="A85" s="3115">
        <v>13</v>
      </c>
      <c r="B85" s="3990"/>
      <c r="C85" s="3089" t="s">
        <v>2675</v>
      </c>
      <c r="D85" s="3089" t="s">
        <v>2676</v>
      </c>
      <c r="E85" s="3115">
        <v>0.1</v>
      </c>
      <c r="F85" s="3115">
        <v>15</v>
      </c>
    </row>
    <row r="86" spans="1:6" ht="13.5">
      <c r="A86" s="3115">
        <v>14</v>
      </c>
      <c r="B86" s="3990"/>
      <c r="C86" s="3089" t="s">
        <v>2677</v>
      </c>
      <c r="D86" s="3089" t="s">
        <v>2678</v>
      </c>
      <c r="E86" s="3115">
        <v>0.1</v>
      </c>
      <c r="F86" s="3115">
        <v>15</v>
      </c>
    </row>
    <row r="87" spans="1:6" ht="13.5">
      <c r="A87" s="3115">
        <v>15</v>
      </c>
      <c r="B87" s="3990"/>
      <c r="C87" s="3089" t="s">
        <v>2679</v>
      </c>
      <c r="D87" s="3089" t="s">
        <v>2680</v>
      </c>
      <c r="E87" s="3115">
        <v>0.1</v>
      </c>
      <c r="F87" s="3115">
        <v>15</v>
      </c>
    </row>
    <row r="88" spans="1:6" ht="24">
      <c r="A88" s="3115">
        <v>16</v>
      </c>
      <c r="B88" s="3990"/>
      <c r="C88" s="3089" t="s">
        <v>2681</v>
      </c>
      <c r="D88" s="3089" t="s">
        <v>2682</v>
      </c>
      <c r="E88" s="3115">
        <v>0.1</v>
      </c>
      <c r="F88" s="3115">
        <v>15</v>
      </c>
    </row>
    <row r="89" spans="1:6" ht="24">
      <c r="A89" s="3115">
        <v>17</v>
      </c>
      <c r="B89" s="3989"/>
      <c r="C89" s="3089" t="s">
        <v>2683</v>
      </c>
      <c r="D89" s="3089" t="s">
        <v>2684</v>
      </c>
      <c r="E89" s="3115">
        <v>0.1</v>
      </c>
      <c r="F89" s="3115">
        <v>15</v>
      </c>
    </row>
    <row r="90" spans="1:6" ht="13.5">
      <c r="A90" s="3115">
        <v>18</v>
      </c>
      <c r="B90" s="3988" t="s">
        <v>2685</v>
      </c>
      <c r="C90" s="3089" t="s">
        <v>2686</v>
      </c>
      <c r="D90" s="3089" t="s">
        <v>2687</v>
      </c>
      <c r="E90" s="3115">
        <v>0.2</v>
      </c>
      <c r="F90" s="3115">
        <v>25</v>
      </c>
    </row>
    <row r="91" spans="1:6" ht="24">
      <c r="A91" s="3115">
        <v>19</v>
      </c>
      <c r="B91" s="3990"/>
      <c r="C91" s="3089" t="s">
        <v>2688</v>
      </c>
      <c r="D91" s="3089" t="s">
        <v>2689</v>
      </c>
      <c r="E91" s="3115">
        <v>0.2</v>
      </c>
      <c r="F91" s="3115">
        <v>25</v>
      </c>
    </row>
    <row r="92" spans="1:6" ht="13.5">
      <c r="A92" s="3115">
        <v>20</v>
      </c>
      <c r="B92" s="3990"/>
      <c r="C92" s="3089" t="s">
        <v>2690</v>
      </c>
      <c r="D92" s="3089" t="s">
        <v>2691</v>
      </c>
      <c r="E92" s="3115">
        <v>0.15</v>
      </c>
      <c r="F92" s="3115">
        <v>20</v>
      </c>
    </row>
    <row r="93" spans="1:6" ht="13.5">
      <c r="A93" s="3115">
        <v>21</v>
      </c>
      <c r="B93" s="3990"/>
      <c r="C93" s="3089" t="s">
        <v>2692</v>
      </c>
      <c r="D93" s="3089" t="s">
        <v>2693</v>
      </c>
      <c r="E93" s="3115">
        <v>0.15</v>
      </c>
      <c r="F93" s="3115">
        <v>20</v>
      </c>
    </row>
    <row r="94" spans="1:6" ht="13.5">
      <c r="A94" s="3115">
        <v>22</v>
      </c>
      <c r="B94" s="3990"/>
      <c r="C94" s="3089" t="s">
        <v>2694</v>
      </c>
      <c r="D94" s="3089" t="s">
        <v>2695</v>
      </c>
      <c r="E94" s="3115">
        <v>0.15</v>
      </c>
      <c r="F94" s="3115">
        <v>20</v>
      </c>
    </row>
    <row r="95" spans="1:6" ht="36">
      <c r="A95" s="3115">
        <v>23</v>
      </c>
      <c r="B95" s="3990"/>
      <c r="C95" s="3089" t="s">
        <v>2696</v>
      </c>
      <c r="D95" s="3089" t="s">
        <v>2697</v>
      </c>
      <c r="E95" s="3115">
        <v>0.15</v>
      </c>
      <c r="F95" s="3115">
        <v>20</v>
      </c>
    </row>
    <row r="96" spans="1:6" ht="13.5">
      <c r="A96" s="3115">
        <v>24</v>
      </c>
      <c r="B96" s="3990"/>
      <c r="C96" s="3089" t="s">
        <v>2698</v>
      </c>
      <c r="D96" s="3089" t="s">
        <v>2699</v>
      </c>
      <c r="E96" s="3115">
        <v>0.1</v>
      </c>
      <c r="F96" s="3115">
        <v>15</v>
      </c>
    </row>
    <row r="97" spans="1:6" ht="13.5">
      <c r="A97" s="3115">
        <v>25</v>
      </c>
      <c r="B97" s="3990"/>
      <c r="C97" s="3089" t="s">
        <v>2700</v>
      </c>
      <c r="D97" s="3089" t="s">
        <v>2701</v>
      </c>
      <c r="E97" s="3115">
        <v>0.1</v>
      </c>
      <c r="F97" s="3115">
        <v>15</v>
      </c>
    </row>
    <row r="98" spans="1:6" ht="24">
      <c r="A98" s="3115">
        <v>26</v>
      </c>
      <c r="B98" s="3990"/>
      <c r="C98" s="3089" t="s">
        <v>2702</v>
      </c>
      <c r="D98" s="3089" t="s">
        <v>2703</v>
      </c>
      <c r="E98" s="3115">
        <v>0.1</v>
      </c>
      <c r="F98" s="3115">
        <v>15</v>
      </c>
    </row>
    <row r="99" spans="1:6" ht="24">
      <c r="A99" s="3115">
        <v>27</v>
      </c>
      <c r="B99" s="3990"/>
      <c r="C99" s="3089" t="s">
        <v>2704</v>
      </c>
      <c r="D99" s="3089" t="s">
        <v>2705</v>
      </c>
      <c r="E99" s="3115">
        <v>0.1</v>
      </c>
      <c r="F99" s="3115">
        <v>15</v>
      </c>
    </row>
    <row r="100" spans="1:6" ht="13.5">
      <c r="A100" s="3115">
        <v>28</v>
      </c>
      <c r="B100" s="3990"/>
      <c r="C100" s="3089" t="s">
        <v>2706</v>
      </c>
      <c r="D100" s="3089" t="s">
        <v>2707</v>
      </c>
      <c r="E100" s="3115">
        <v>0.1</v>
      </c>
      <c r="F100" s="3115">
        <v>15</v>
      </c>
    </row>
    <row r="101" spans="1:6" ht="13.5">
      <c r="A101" s="3115">
        <v>29</v>
      </c>
      <c r="B101" s="3990"/>
      <c r="C101" s="3089" t="s">
        <v>2708</v>
      </c>
      <c r="D101" s="3089" t="s">
        <v>2709</v>
      </c>
      <c r="E101" s="3115">
        <v>0.1</v>
      </c>
      <c r="F101" s="3115">
        <v>15</v>
      </c>
    </row>
    <row r="102" spans="1:6" ht="13.5">
      <c r="A102" s="3115">
        <v>30</v>
      </c>
      <c r="B102" s="3990"/>
      <c r="C102" s="3089" t="s">
        <v>2710</v>
      </c>
      <c r="D102" s="3089" t="s">
        <v>2711</v>
      </c>
      <c r="E102" s="3115">
        <v>0.1</v>
      </c>
      <c r="F102" s="3115">
        <v>15</v>
      </c>
    </row>
    <row r="103" spans="1:6" ht="24">
      <c r="A103" s="3115">
        <v>31</v>
      </c>
      <c r="B103" s="3990"/>
      <c r="C103" s="3089" t="s">
        <v>2712</v>
      </c>
      <c r="D103" s="3089" t="s">
        <v>2713</v>
      </c>
      <c r="E103" s="3115">
        <v>0.1</v>
      </c>
      <c r="F103" s="3115">
        <v>15</v>
      </c>
    </row>
    <row r="104" spans="1:6" ht="24">
      <c r="A104" s="3115">
        <v>32</v>
      </c>
      <c r="B104" s="3990"/>
      <c r="C104" s="3089" t="s">
        <v>2714</v>
      </c>
      <c r="D104" s="3089" t="s">
        <v>2715</v>
      </c>
      <c r="E104" s="3115">
        <v>0.1</v>
      </c>
      <c r="F104" s="3115">
        <v>15</v>
      </c>
    </row>
    <row r="105" spans="1:6" ht="24">
      <c r="A105" s="3115">
        <v>33</v>
      </c>
      <c r="B105" s="3990"/>
      <c r="C105" s="3089" t="s">
        <v>2716</v>
      </c>
      <c r="D105" s="3089" t="s">
        <v>2717</v>
      </c>
      <c r="E105" s="3115">
        <v>0.1</v>
      </c>
      <c r="F105" s="3115">
        <v>15</v>
      </c>
    </row>
    <row r="106" spans="1:6" ht="24">
      <c r="A106" s="3115">
        <v>34</v>
      </c>
      <c r="B106" s="3989"/>
      <c r="C106" s="3089" t="s">
        <v>2718</v>
      </c>
      <c r="D106" s="3089" t="s">
        <v>2719</v>
      </c>
      <c r="E106" s="3115">
        <v>0.1</v>
      </c>
      <c r="F106" s="3115">
        <v>15</v>
      </c>
    </row>
    <row r="107" spans="1:6" ht="24">
      <c r="A107" s="3115">
        <v>35</v>
      </c>
      <c r="B107" s="3988" t="s">
        <v>2720</v>
      </c>
      <c r="C107" s="3115" t="s">
        <v>2721</v>
      </c>
      <c r="D107" s="3089" t="s">
        <v>2722</v>
      </c>
      <c r="E107" s="3115">
        <v>0.15</v>
      </c>
      <c r="F107" s="3115">
        <v>20</v>
      </c>
    </row>
    <row r="108" spans="1:6" ht="13.5">
      <c r="A108" s="3115">
        <v>36</v>
      </c>
      <c r="B108" s="3990"/>
      <c r="C108" s="3115" t="s">
        <v>2723</v>
      </c>
      <c r="D108" s="3089" t="s">
        <v>2724</v>
      </c>
      <c r="E108" s="3115">
        <v>0.15</v>
      </c>
      <c r="F108" s="3115">
        <v>20</v>
      </c>
    </row>
    <row r="109" spans="1:6" ht="13.5">
      <c r="A109" s="3115">
        <v>37</v>
      </c>
      <c r="B109" s="3990"/>
      <c r="C109" s="3115" t="s">
        <v>2725</v>
      </c>
      <c r="D109" s="3089" t="s">
        <v>2726</v>
      </c>
      <c r="E109" s="3115">
        <v>0.15</v>
      </c>
      <c r="F109" s="3115">
        <v>20</v>
      </c>
    </row>
    <row r="110" spans="1:6" ht="13.5">
      <c r="A110" s="3115">
        <v>38</v>
      </c>
      <c r="B110" s="3990"/>
      <c r="C110" s="3115" t="s">
        <v>2727</v>
      </c>
      <c r="D110" s="3089" t="s">
        <v>2728</v>
      </c>
      <c r="E110" s="3115">
        <v>0.1</v>
      </c>
      <c r="F110" s="3115">
        <v>15</v>
      </c>
    </row>
    <row r="111" spans="1:6" ht="24">
      <c r="A111" s="3115">
        <v>39</v>
      </c>
      <c r="B111" s="3990"/>
      <c r="C111" s="3115" t="s">
        <v>2729</v>
      </c>
      <c r="D111" s="3089" t="s">
        <v>2730</v>
      </c>
      <c r="E111" s="3115">
        <v>0.1</v>
      </c>
      <c r="F111" s="3115">
        <v>15</v>
      </c>
    </row>
    <row r="112" spans="1:6" ht="24">
      <c r="A112" s="3115">
        <v>40</v>
      </c>
      <c r="B112" s="3989"/>
      <c r="C112" s="3115" t="s">
        <v>2731</v>
      </c>
      <c r="D112" s="3089" t="s">
        <v>2732</v>
      </c>
      <c r="E112" s="3115">
        <v>0.1</v>
      </c>
      <c r="F112" s="3115">
        <v>15</v>
      </c>
    </row>
    <row r="113" spans="1:6" ht="13.5">
      <c r="A113" s="3115">
        <v>41</v>
      </c>
      <c r="B113" s="3987" t="s">
        <v>2733</v>
      </c>
      <c r="C113" s="3115" t="s">
        <v>2734</v>
      </c>
      <c r="D113" s="3089" t="s">
        <v>2735</v>
      </c>
      <c r="E113" s="3115">
        <v>0.1</v>
      </c>
      <c r="F113" s="3115">
        <v>15</v>
      </c>
    </row>
    <row r="114" spans="1:6" ht="13.5">
      <c r="A114" s="3115">
        <v>42</v>
      </c>
      <c r="B114" s="3987"/>
      <c r="C114" s="3115" t="s">
        <v>2736</v>
      </c>
      <c r="D114" s="3089" t="s">
        <v>2737</v>
      </c>
      <c r="E114" s="3115">
        <v>0.1</v>
      </c>
      <c r="F114" s="3115">
        <v>15</v>
      </c>
    </row>
    <row r="115" spans="1:6" ht="24">
      <c r="A115" s="3115">
        <v>43</v>
      </c>
      <c r="B115" s="3987"/>
      <c r="C115" s="3115" t="s">
        <v>2738</v>
      </c>
      <c r="D115" s="3089" t="s">
        <v>2739</v>
      </c>
      <c r="E115" s="3115">
        <v>0.1</v>
      </c>
      <c r="F115" s="3115">
        <v>15</v>
      </c>
    </row>
    <row r="116" spans="1:6" ht="13.5">
      <c r="A116" s="3115">
        <v>44</v>
      </c>
      <c r="B116" s="3988" t="s">
        <v>2740</v>
      </c>
      <c r="C116" s="3115" t="s">
        <v>2741</v>
      </c>
      <c r="D116" s="3089" t="s">
        <v>2742</v>
      </c>
      <c r="E116" s="3115">
        <v>0.1</v>
      </c>
      <c r="F116" s="3115">
        <v>15</v>
      </c>
    </row>
    <row r="117" spans="1:6" ht="24">
      <c r="A117" s="3115">
        <v>45</v>
      </c>
      <c r="B117" s="3989"/>
      <c r="C117" s="3089" t="s">
        <v>2743</v>
      </c>
      <c r="D117" s="3089" t="s">
        <v>2744</v>
      </c>
      <c r="E117" s="3115">
        <v>0.1</v>
      </c>
      <c r="F117" s="3115">
        <v>15</v>
      </c>
    </row>
    <row r="118" spans="1:6" ht="24">
      <c r="A118" s="3115">
        <v>46</v>
      </c>
      <c r="B118" s="3988" t="s">
        <v>2745</v>
      </c>
      <c r="C118" s="3115" t="s">
        <v>2746</v>
      </c>
      <c r="D118" s="3089" t="s">
        <v>2747</v>
      </c>
      <c r="E118" s="3115">
        <v>0.1</v>
      </c>
      <c r="F118" s="3115">
        <v>15</v>
      </c>
    </row>
    <row r="119" spans="1:6" ht="24">
      <c r="A119" s="3115">
        <v>47</v>
      </c>
      <c r="B119" s="3989"/>
      <c r="C119" s="3115" t="s">
        <v>2748</v>
      </c>
      <c r="D119" s="3089" t="s">
        <v>2749</v>
      </c>
      <c r="E119" s="3115">
        <v>0.1</v>
      </c>
      <c r="F119" s="3115">
        <v>15</v>
      </c>
    </row>
    <row r="120" spans="1:6" ht="13.5">
      <c r="A120" s="3115">
        <v>48</v>
      </c>
      <c r="B120" s="3988" t="s">
        <v>2750</v>
      </c>
      <c r="C120" s="3115" t="s">
        <v>2751</v>
      </c>
      <c r="D120" s="3089" t="s">
        <v>2752</v>
      </c>
      <c r="E120" s="3115">
        <v>0.1</v>
      </c>
      <c r="F120" s="3115">
        <v>15</v>
      </c>
    </row>
    <row r="121" spans="1:6" ht="13.5">
      <c r="A121" s="3115">
        <v>49</v>
      </c>
      <c r="B121" s="3989"/>
      <c r="C121" s="3115" t="s">
        <v>2753</v>
      </c>
      <c r="D121" s="3089" t="s">
        <v>2754</v>
      </c>
      <c r="E121" s="3115">
        <v>0.1</v>
      </c>
      <c r="F121" s="3115">
        <v>15</v>
      </c>
    </row>
    <row r="122" spans="1:6" ht="24">
      <c r="A122" s="3115">
        <v>50</v>
      </c>
      <c r="B122" s="3987" t="s">
        <v>2755</v>
      </c>
      <c r="C122" s="3115" t="s">
        <v>2756</v>
      </c>
      <c r="D122" s="3089" t="s">
        <v>2757</v>
      </c>
      <c r="E122" s="3115">
        <v>0.1</v>
      </c>
      <c r="F122" s="3115">
        <v>15</v>
      </c>
    </row>
    <row r="123" spans="1:6" ht="24">
      <c r="A123" s="3115">
        <v>51</v>
      </c>
      <c r="B123" s="3987"/>
      <c r="C123" s="3115" t="s">
        <v>2758</v>
      </c>
      <c r="D123" s="3089" t="s">
        <v>2759</v>
      </c>
      <c r="E123" s="3115">
        <v>0.1</v>
      </c>
      <c r="F123" s="3115">
        <v>15</v>
      </c>
    </row>
    <row r="124" spans="1:6" ht="24">
      <c r="A124" s="3115">
        <v>52</v>
      </c>
      <c r="B124" s="3987" t="s">
        <v>2760</v>
      </c>
      <c r="C124" s="3115" t="s">
        <v>2761</v>
      </c>
      <c r="D124" s="3089" t="s">
        <v>2762</v>
      </c>
      <c r="E124" s="3115">
        <v>0.1</v>
      </c>
      <c r="F124" s="3115">
        <v>15</v>
      </c>
    </row>
    <row r="125" spans="1:6" ht="24">
      <c r="A125" s="3115">
        <v>53</v>
      </c>
      <c r="B125" s="3987"/>
      <c r="C125" s="3115" t="s">
        <v>2763</v>
      </c>
      <c r="D125" s="3089" t="s">
        <v>2764</v>
      </c>
      <c r="E125" s="3115">
        <v>0.1</v>
      </c>
      <c r="F125" s="3115">
        <v>15</v>
      </c>
    </row>
    <row r="126" spans="1:6" ht="13.5">
      <c r="A126" s="3115">
        <v>54</v>
      </c>
      <c r="B126" s="3115" t="s">
        <v>2765</v>
      </c>
      <c r="C126" s="3115" t="s">
        <v>2766</v>
      </c>
      <c r="D126" s="3089" t="s">
        <v>2767</v>
      </c>
      <c r="E126" s="3115">
        <v>0.1</v>
      </c>
      <c r="F126" s="3115">
        <v>15</v>
      </c>
    </row>
    <row r="127" spans="1:6" ht="13.5">
      <c r="A127" s="3115">
        <v>55</v>
      </c>
      <c r="B127" s="3987" t="s">
        <v>2768</v>
      </c>
      <c r="C127" s="3115" t="s">
        <v>2769</v>
      </c>
      <c r="D127" s="3089" t="s">
        <v>2770</v>
      </c>
      <c r="E127" s="3115">
        <v>0.1</v>
      </c>
      <c r="F127" s="3115">
        <v>15</v>
      </c>
    </row>
    <row r="128" spans="1:6" ht="13.5">
      <c r="A128" s="3115">
        <v>56</v>
      </c>
      <c r="B128" s="3987"/>
      <c r="C128" s="3115" t="s">
        <v>2771</v>
      </c>
      <c r="D128" s="3089" t="s">
        <v>2772</v>
      </c>
      <c r="E128" s="3115">
        <v>0.1</v>
      </c>
      <c r="F128" s="3115">
        <v>15</v>
      </c>
    </row>
    <row r="129" spans="1:6" ht="24">
      <c r="A129" s="3115">
        <v>57</v>
      </c>
      <c r="B129" s="3987"/>
      <c r="C129" s="3115" t="s">
        <v>2773</v>
      </c>
      <c r="D129" s="3089" t="s">
        <v>2774</v>
      </c>
      <c r="E129" s="3115">
        <v>0.1</v>
      </c>
      <c r="F129" s="3115">
        <v>15</v>
      </c>
    </row>
    <row r="130" spans="1:6" ht="24">
      <c r="A130" s="3115">
        <v>58</v>
      </c>
      <c r="B130" s="3987" t="s">
        <v>2775</v>
      </c>
      <c r="C130" s="3115" t="s">
        <v>2776</v>
      </c>
      <c r="D130" s="3089" t="s">
        <v>2777</v>
      </c>
      <c r="E130" s="3115">
        <v>0.1</v>
      </c>
      <c r="F130" s="3115">
        <v>15</v>
      </c>
    </row>
    <row r="131" spans="1:6" ht="13.5">
      <c r="A131" s="3115">
        <v>59</v>
      </c>
      <c r="B131" s="3987"/>
      <c r="C131" s="3115" t="s">
        <v>2778</v>
      </c>
      <c r="D131" s="3089" t="s">
        <v>2779</v>
      </c>
      <c r="E131" s="3115">
        <v>0.1</v>
      </c>
      <c r="F131" s="3115">
        <v>15</v>
      </c>
    </row>
    <row r="132" spans="1:6" ht="13.5">
      <c r="A132" s="3115">
        <v>60</v>
      </c>
      <c r="B132" s="3988" t="s">
        <v>2780</v>
      </c>
      <c r="C132" s="3115" t="s">
        <v>2781</v>
      </c>
      <c r="D132" s="3089" t="s">
        <v>2782</v>
      </c>
      <c r="E132" s="3115">
        <v>0.1</v>
      </c>
      <c r="F132" s="3115">
        <v>15</v>
      </c>
    </row>
    <row r="133" spans="1:6" ht="13.5">
      <c r="A133" s="3115">
        <v>61</v>
      </c>
      <c r="B133" s="3989"/>
      <c r="C133" s="3115" t="s">
        <v>2783</v>
      </c>
      <c r="D133" s="3089" t="s">
        <v>2784</v>
      </c>
      <c r="E133" s="3115">
        <v>0.1</v>
      </c>
      <c r="F133" s="3115">
        <v>15</v>
      </c>
    </row>
    <row r="134" spans="1:6" ht="24">
      <c r="A134" s="3115">
        <v>62</v>
      </c>
      <c r="B134" s="3115" t="s">
        <v>2785</v>
      </c>
      <c r="C134" s="3115" t="s">
        <v>2786</v>
      </c>
      <c r="D134" s="3089" t="s">
        <v>2787</v>
      </c>
      <c r="E134" s="3115">
        <v>0.1</v>
      </c>
      <c r="F134" s="3115">
        <v>15</v>
      </c>
    </row>
    <row r="135" spans="1:6" ht="13.5">
      <c r="A135" s="3115">
        <v>63</v>
      </c>
      <c r="B135" s="3987" t="s">
        <v>2788</v>
      </c>
      <c r="C135" s="3115" t="s">
        <v>2789</v>
      </c>
      <c r="D135" s="3089" t="s">
        <v>2790</v>
      </c>
      <c r="E135" s="3115">
        <v>0.1</v>
      </c>
      <c r="F135" s="3115">
        <v>15</v>
      </c>
    </row>
    <row r="136" spans="1:6" ht="13.5">
      <c r="A136" s="3115">
        <v>64</v>
      </c>
      <c r="B136" s="3987"/>
      <c r="C136" s="3115" t="s">
        <v>2791</v>
      </c>
      <c r="D136" s="3089" t="s">
        <v>2792</v>
      </c>
      <c r="E136" s="3115">
        <v>0.1</v>
      </c>
      <c r="F136" s="3115">
        <v>15</v>
      </c>
    </row>
    <row r="137" spans="1:6" ht="13.5">
      <c r="A137" s="3115">
        <v>65</v>
      </c>
      <c r="B137" s="3115" t="s">
        <v>2793</v>
      </c>
      <c r="C137" s="3115" t="s">
        <v>2794</v>
      </c>
      <c r="D137" s="3089" t="s">
        <v>2795</v>
      </c>
      <c r="E137" s="3115">
        <v>0.1</v>
      </c>
      <c r="F137" s="3115">
        <v>15</v>
      </c>
    </row>
    <row r="138" spans="1:6" ht="13.5">
      <c r="A138" s="3115"/>
      <c r="B138" s="3115"/>
      <c r="C138" s="3115"/>
      <c r="D138" s="3115"/>
      <c r="E138" s="3115" t="s">
        <v>2796</v>
      </c>
      <c r="F138" s="3115"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2797</v>
      </c>
      <c r="B1" s="3124"/>
      <c r="C1" s="3124"/>
      <c r="D1" s="3124"/>
      <c r="E1" s="3124"/>
      <c r="F1" s="3124"/>
      <c r="G1" s="3124"/>
      <c r="H1" s="3124"/>
      <c r="I1" s="3124"/>
      <c r="J1" s="3124"/>
      <c r="K1" s="3124"/>
      <c r="L1" s="3124"/>
      <c r="M1" s="3124"/>
      <c r="N1" s="749"/>
    </row>
    <row r="2" spans="1:20">
      <c r="A2" s="3125" t="s">
        <v>2798</v>
      </c>
      <c r="B2" s="3126" t="s">
        <v>2594</v>
      </c>
      <c r="C2" s="3126" t="s">
        <v>2595</v>
      </c>
      <c r="D2" s="3126" t="s">
        <v>2596</v>
      </c>
      <c r="E2" s="3126" t="s">
        <v>2597</v>
      </c>
      <c r="F2" s="3126" t="s">
        <v>2598</v>
      </c>
      <c r="G2" s="3126" t="s">
        <v>2599</v>
      </c>
      <c r="H2" s="3127" t="s">
        <v>2600</v>
      </c>
      <c r="I2" s="3127" t="s">
        <v>2601</v>
      </c>
      <c r="J2" s="3128" t="s">
        <v>2602</v>
      </c>
      <c r="K2" s="3128" t="s">
        <v>2603</v>
      </c>
      <c r="L2" s="3128" t="s">
        <v>2604</v>
      </c>
      <c r="M2" s="3129" t="s">
        <v>2605</v>
      </c>
      <c r="Q2" s="3139" t="s">
        <v>2803</v>
      </c>
      <c r="R2" s="3139" t="s">
        <v>2804</v>
      </c>
      <c r="S2" s="3139" t="s">
        <v>2805</v>
      </c>
      <c r="T2" s="3139" t="s">
        <v>2806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2799</v>
      </c>
      <c r="B93" s="3124"/>
      <c r="C93" s="3124"/>
      <c r="D93" s="3124"/>
      <c r="E93" s="3124"/>
      <c r="F93" s="3124"/>
      <c r="G93" s="3124"/>
      <c r="H93" s="3124"/>
      <c r="I93" s="3124"/>
      <c r="J93" s="3124"/>
      <c r="K93" s="3124"/>
      <c r="L93" s="3124"/>
      <c r="M93" s="3124"/>
    </row>
    <row r="94" spans="1:20">
      <c r="A94" s="3125" t="s">
        <v>2798</v>
      </c>
      <c r="B94" s="3126" t="s">
        <v>2594</v>
      </c>
      <c r="C94" s="3126" t="s">
        <v>2595</v>
      </c>
      <c r="D94" s="3126" t="s">
        <v>2596</v>
      </c>
      <c r="E94" s="3126" t="s">
        <v>2597</v>
      </c>
      <c r="F94" s="3126" t="s">
        <v>2598</v>
      </c>
      <c r="G94" s="3126" t="s">
        <v>2599</v>
      </c>
      <c r="H94" s="3127" t="s">
        <v>2600</v>
      </c>
      <c r="I94" s="3127" t="s">
        <v>2601</v>
      </c>
      <c r="J94" s="3128" t="s">
        <v>2602</v>
      </c>
      <c r="K94" s="3128" t="s">
        <v>2603</v>
      </c>
      <c r="L94" s="3128" t="s">
        <v>2604</v>
      </c>
      <c r="M94" s="3129" t="s">
        <v>2605</v>
      </c>
      <c r="N94" s="750">
        <f>SUMPRODUCT((A95:A184=ROUNDDOWN(基准地价修正!G3,1))*(B94:M94=基准地价修正!G2)*(B95:M184))</f>
        <v>0</v>
      </c>
      <c r="Q94" s="3139" t="s">
        <v>2803</v>
      </c>
      <c r="R94" s="3139" t="s">
        <v>2804</v>
      </c>
      <c r="S94" s="3139" t="s">
        <v>2805</v>
      </c>
      <c r="T94" s="3139" t="s">
        <v>2806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2800</v>
      </c>
      <c r="B185" s="3124"/>
      <c r="C185" s="3124"/>
      <c r="D185" s="3124"/>
      <c r="E185" s="3124"/>
      <c r="F185" s="3124"/>
      <c r="G185" s="3124"/>
      <c r="H185" s="3124"/>
      <c r="I185" s="3124"/>
      <c r="J185" s="3124"/>
      <c r="K185" s="3124"/>
      <c r="L185" s="3124"/>
      <c r="M185" s="3124"/>
    </row>
    <row r="186" spans="1:20">
      <c r="A186" s="3125" t="s">
        <v>2798</v>
      </c>
      <c r="B186" s="3126" t="s">
        <v>2594</v>
      </c>
      <c r="C186" s="3126" t="s">
        <v>2595</v>
      </c>
      <c r="D186" s="3126" t="s">
        <v>2596</v>
      </c>
      <c r="E186" s="3126" t="s">
        <v>2597</v>
      </c>
      <c r="F186" s="3126" t="s">
        <v>2598</v>
      </c>
      <c r="G186" s="3126" t="s">
        <v>2599</v>
      </c>
      <c r="H186" s="3127" t="s">
        <v>2600</v>
      </c>
      <c r="I186" s="3127" t="s">
        <v>2601</v>
      </c>
      <c r="J186" s="3128" t="s">
        <v>2602</v>
      </c>
      <c r="K186" s="3128" t="s">
        <v>2603</v>
      </c>
      <c r="L186" s="3128" t="s">
        <v>2604</v>
      </c>
      <c r="M186" s="3129" t="s">
        <v>2605</v>
      </c>
      <c r="Q186" s="3139" t="s">
        <v>2803</v>
      </c>
      <c r="R186" s="3139" t="s">
        <v>2804</v>
      </c>
      <c r="S186" s="3139" t="s">
        <v>2805</v>
      </c>
      <c r="T186" s="3139" t="s">
        <v>2806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2801</v>
      </c>
      <c r="B277" s="3124"/>
      <c r="C277" s="3124"/>
      <c r="D277" s="3124"/>
      <c r="E277" s="3124"/>
      <c r="F277" s="3124"/>
      <c r="G277" s="3124"/>
      <c r="H277" s="3124"/>
      <c r="I277" s="3124"/>
      <c r="J277" s="3124"/>
      <c r="K277" s="3124"/>
      <c r="L277" s="3124"/>
      <c r="M277" s="3124"/>
    </row>
    <row r="278" spans="1:21">
      <c r="A278" s="3125" t="s">
        <v>2798</v>
      </c>
      <c r="B278" s="3126" t="s">
        <v>2594</v>
      </c>
      <c r="C278" s="3126" t="s">
        <v>2595</v>
      </c>
      <c r="D278" s="3126" t="s">
        <v>2596</v>
      </c>
      <c r="E278" s="3126" t="s">
        <v>2597</v>
      </c>
      <c r="F278" s="3126" t="s">
        <v>2598</v>
      </c>
      <c r="G278" s="3126" t="s">
        <v>2599</v>
      </c>
      <c r="H278" s="3127" t="s">
        <v>2600</v>
      </c>
      <c r="I278" s="3127" t="s">
        <v>2601</v>
      </c>
      <c r="J278" s="3128" t="s">
        <v>2602</v>
      </c>
      <c r="K278" s="3128" t="s">
        <v>2603</v>
      </c>
      <c r="L278" s="3128" t="s">
        <v>2604</v>
      </c>
      <c r="M278" s="3129" t="s">
        <v>2605</v>
      </c>
      <c r="Q278" s="3139" t="s">
        <v>2803</v>
      </c>
      <c r="R278" s="3139" t="s">
        <v>2804</v>
      </c>
      <c r="S278" s="3139" t="s">
        <v>2807</v>
      </c>
      <c r="T278" s="3139" t="s">
        <v>2808</v>
      </c>
      <c r="U278" s="3139" t="s">
        <v>2806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2802</v>
      </c>
      <c r="B369" s="3137"/>
      <c r="C369" s="3137"/>
      <c r="D369" s="3137"/>
      <c r="E369" s="3137"/>
      <c r="F369" s="3137"/>
      <c r="G369" s="3137"/>
      <c r="H369" s="3137"/>
      <c r="I369" s="3137"/>
      <c r="J369" s="3137"/>
      <c r="K369" s="3137"/>
      <c r="L369" s="3137"/>
      <c r="M369" s="3137"/>
    </row>
    <row r="370" spans="1:20">
      <c r="A370" s="3125" t="s">
        <v>2798</v>
      </c>
      <c r="B370" s="3126" t="s">
        <v>2594</v>
      </c>
      <c r="C370" s="3126" t="s">
        <v>2595</v>
      </c>
      <c r="D370" s="3126" t="s">
        <v>2596</v>
      </c>
      <c r="E370" s="3126" t="s">
        <v>2597</v>
      </c>
      <c r="F370" s="3126" t="s">
        <v>2598</v>
      </c>
      <c r="G370" s="3126" t="s">
        <v>2599</v>
      </c>
      <c r="H370" s="3127" t="s">
        <v>2600</v>
      </c>
      <c r="I370" s="3127" t="s">
        <v>2601</v>
      </c>
      <c r="J370" s="3128" t="s">
        <v>2602</v>
      </c>
      <c r="K370" s="3128" t="s">
        <v>2603</v>
      </c>
      <c r="L370" s="3128" t="s">
        <v>2604</v>
      </c>
      <c r="M370" s="3129" t="s">
        <v>2605</v>
      </c>
      <c r="N370" s="750">
        <f>SUMPRODUCT((A371:A460=ROUNDDOWN(基准地价修正!G3,1))*(B370:M370=基准地价修正!G2)*(B371:M460))</f>
        <v>0</v>
      </c>
      <c r="Q370" s="3139" t="s">
        <v>2803</v>
      </c>
      <c r="R370" s="3139" t="s">
        <v>2804</v>
      </c>
      <c r="S370" s="3139" t="s">
        <v>2805</v>
      </c>
      <c r="T370" s="3139" t="s">
        <v>2806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29297</v>
      </c>
      <c r="C2" s="2" t="s">
        <v>106</v>
      </c>
      <c r="D2" s="199"/>
      <c r="E2" s="199"/>
      <c r="F2" s="199"/>
      <c r="G2" s="199"/>
    </row>
    <row r="3" spans="1:7" s="200" customFormat="1" ht="18" customHeight="1" thickBot="1">
      <c r="A3" s="203" t="s">
        <v>58</v>
      </c>
      <c r="B3" s="204">
        <f ca="1">ROUND(B2*10000/'数据-汇总表'!E3,0)</f>
        <v>456340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13</v>
      </c>
      <c r="D10" s="845">
        <f>'数据-汇总表'!E6</f>
        <v>642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13</v>
      </c>
      <c r="D19" s="849">
        <f>'数据-汇总表'!E3</f>
        <v>642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1462</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4207</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4207</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28964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315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289</v>
      </c>
      <c r="D34" s="217"/>
      <c r="E34" s="220"/>
      <c r="F34" s="257">
        <f>IF('数据-取费表'!B24=0,1,'数据-取费表'!N16)</f>
        <v>1</v>
      </c>
      <c r="G34" s="219" t="s">
        <v>89</v>
      </c>
    </row>
    <row r="35" spans="1:7" ht="13.5" customHeight="1">
      <c r="A35" s="780" t="s">
        <v>351</v>
      </c>
      <c r="B35" s="215" t="s">
        <v>33</v>
      </c>
      <c r="C35" s="220">
        <f>ROUND(C34*F35,0)</f>
        <v>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13</v>
      </c>
      <c r="D37" s="217">
        <f>'数据-汇总表'!E3</f>
        <v>642</v>
      </c>
      <c r="E37" s="249">
        <f>'数据-取费表'!B35</f>
        <v>200</v>
      </c>
      <c r="F37" s="259"/>
      <c r="G37" s="261" t="s">
        <v>92</v>
      </c>
    </row>
    <row r="38" spans="1:7" ht="13.5" customHeight="1">
      <c r="A38" s="780" t="s">
        <v>354</v>
      </c>
      <c r="B38" s="215" t="s">
        <v>36</v>
      </c>
      <c r="C38" s="220">
        <f>ROUND(C34*F38,0)</f>
        <v>4</v>
      </c>
      <c r="D38" s="220"/>
      <c r="E38" s="220"/>
      <c r="F38" s="259">
        <f>'数据-取费表'!B36</f>
        <v>1.4999999999999999E-2</v>
      </c>
      <c r="G38" s="219" t="s">
        <v>90</v>
      </c>
    </row>
    <row r="39" spans="1:7" s="214" customFormat="1" ht="13.5" customHeight="1">
      <c r="A39" s="777" t="s">
        <v>338</v>
      </c>
      <c r="B39" s="210" t="s">
        <v>77</v>
      </c>
      <c r="C39" s="232">
        <f>ROUND(C33*F20,0)</f>
        <v>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11</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11</v>
      </c>
      <c r="D42" s="238"/>
      <c r="E42" s="238"/>
      <c r="F42" s="239"/>
      <c r="G42" s="3795" t="s">
        <v>94</v>
      </c>
    </row>
    <row r="43" spans="1:7" ht="13.5" customHeight="1">
      <c r="A43" s="780" t="s">
        <v>347</v>
      </c>
      <c r="B43" s="215" t="s">
        <v>426</v>
      </c>
      <c r="C43" s="238">
        <f ca="1">ROUND(IF('数据-取费表'!B22&lt;=1,C39*F22*'数据-取费表'!B21/2,C39*(POWER((1+F22),'数据-取费表'!B21/2)-1)),0)</f>
        <v>0</v>
      </c>
      <c r="D43" s="238"/>
      <c r="E43" s="238"/>
      <c r="F43" s="239"/>
      <c r="G43" s="3796"/>
    </row>
    <row r="44" spans="1:7" ht="13.5" customHeight="1">
      <c r="A44" s="780" t="s">
        <v>348</v>
      </c>
      <c r="B44" s="215" t="s">
        <v>428</v>
      </c>
      <c r="C44" s="238">
        <f ca="1">ROUND(IF('数据-取费表'!B22&lt;=1,C40*F22*'数据-取费表'!B21/2,C40*(POWER((1+F22),'数据-取费表'!B21/2)-1)),4)</f>
        <v>6.9999999999999999E-4</v>
      </c>
      <c r="D44" s="238"/>
      <c r="E44" s="238"/>
      <c r="F44" s="239"/>
      <c r="G44" s="3797"/>
    </row>
    <row r="45" spans="1:7" s="214" customFormat="1" ht="13.5" customHeight="1">
      <c r="A45" s="777" t="s">
        <v>341</v>
      </c>
      <c r="B45" s="244" t="s">
        <v>85</v>
      </c>
      <c r="C45" s="245">
        <f>C46</f>
        <v>64</v>
      </c>
      <c r="D45" s="235">
        <f>C47</f>
        <v>4.0000000000000001E-3</v>
      </c>
      <c r="E45" s="236" t="s">
        <v>102</v>
      </c>
      <c r="F45" s="246"/>
      <c r="G45" s="247" t="s">
        <v>434</v>
      </c>
    </row>
    <row r="46" spans="1:7" s="214" customFormat="1" ht="13.5" customHeight="1">
      <c r="A46" s="780" t="s">
        <v>349</v>
      </c>
      <c r="B46" s="248" t="s">
        <v>427</v>
      </c>
      <c r="C46" s="249">
        <f>ROUND((C33+C39)*F27,0)</f>
        <v>64</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430</v>
      </c>
      <c r="D49" s="232"/>
      <c r="E49" s="232"/>
      <c r="F49" s="264"/>
      <c r="G49" s="234" t="s">
        <v>435</v>
      </c>
    </row>
    <row r="50" spans="1:7" s="258" customFormat="1" ht="24">
      <c r="A50" s="777" t="s">
        <v>344</v>
      </c>
      <c r="B50" s="210" t="s">
        <v>97</v>
      </c>
      <c r="C50" s="232"/>
      <c r="D50" s="232"/>
      <c r="E50" s="232"/>
      <c r="F50" s="264">
        <f>IF('数据-取费表'!B24=0,'数据-取费表'!N16,1)</f>
        <v>0.77500000000000002</v>
      </c>
      <c r="G50" s="247" t="s">
        <v>98</v>
      </c>
    </row>
    <row r="51" spans="1:7" ht="16.5" customHeight="1">
      <c r="A51" s="777" t="s">
        <v>345</v>
      </c>
      <c r="B51" s="210" t="s">
        <v>105</v>
      </c>
      <c r="C51" s="232">
        <f ca="1">ROUND(C49*F50,0)</f>
        <v>333</v>
      </c>
      <c r="D51" s="232"/>
      <c r="E51" s="232"/>
      <c r="F51" s="264"/>
      <c r="G51" s="234" t="s">
        <v>37</v>
      </c>
    </row>
    <row r="52" spans="1:7" s="208" customFormat="1" ht="16.5" thickBot="1">
      <c r="A52" s="265" t="s">
        <v>38</v>
      </c>
      <c r="B52" s="266"/>
      <c r="C52" s="267">
        <f ca="1">C31+C51</f>
        <v>29297</v>
      </c>
      <c r="D52" s="266"/>
      <c r="E52" s="266"/>
      <c r="F52" s="266"/>
      <c r="G52" s="268"/>
    </row>
    <row r="55" spans="1:7" ht="15">
      <c r="B55" s="270" t="s">
        <v>39</v>
      </c>
      <c r="C55" s="271"/>
    </row>
    <row r="56" spans="1:7">
      <c r="B56" s="273" t="s">
        <v>40</v>
      </c>
      <c r="C56" s="274">
        <f ca="1">ROUND(C51/C52,3)</f>
        <v>1.0999999999999999E-2</v>
      </c>
    </row>
    <row r="57" spans="1:7">
      <c r="B57" s="273" t="s">
        <v>41</v>
      </c>
      <c r="C57" s="275">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61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17"/>
      <c r="C2" s="3617"/>
      <c r="D2" s="3617"/>
      <c r="E2" s="3617"/>
    </row>
    <row r="3" spans="1:5" ht="18">
      <c r="A3" s="3618" t="str">
        <f>IF(项目基本情况!B9="房地产市场价值","估价结果一览表（市场价值不需“结果表-1”）","估价结果一览表")</f>
        <v>估价结果一览表（市场价值不需“结果表-1”）</v>
      </c>
      <c r="B3" s="3618"/>
      <c r="C3" s="3618"/>
      <c r="D3" s="3618"/>
      <c r="E3" s="3618"/>
    </row>
    <row r="4" spans="1:5" ht="19.5" thickBot="1">
      <c r="A4" s="1493"/>
      <c r="B4" s="3616" t="s">
        <v>917</v>
      </c>
      <c r="C4" s="3616"/>
      <c r="D4" s="3616"/>
      <c r="E4" s="1493"/>
    </row>
    <row r="5" spans="1:5" ht="16.5" thickTop="1">
      <c r="A5" s="1491"/>
      <c r="B5" s="3614" t="s">
        <v>909</v>
      </c>
      <c r="C5" s="1494" t="s">
        <v>910</v>
      </c>
      <c r="D5" s="850" t="e">
        <f ca="1">结果表!H101</f>
        <v>#REF!</v>
      </c>
      <c r="E5" s="1491"/>
    </row>
    <row r="6" spans="1:5" ht="15.75">
      <c r="A6" s="1491"/>
      <c r="B6" s="3614"/>
      <c r="C6" s="1494" t="s">
        <v>911</v>
      </c>
      <c r="D6" s="850" t="e">
        <f ca="1">NUMBERSTRING(INT(D5*10000),2)&amp;"元整"</f>
        <v>#REF!</v>
      </c>
      <c r="E6" s="1491"/>
    </row>
    <row r="7" spans="1:5" ht="15.75">
      <c r="A7" s="1491"/>
      <c r="B7" s="3619"/>
      <c r="C7" s="1495" t="s">
        <v>912</v>
      </c>
      <c r="D7" s="851" t="e">
        <f ca="1">结果表!H102</f>
        <v>#REF!</v>
      </c>
      <c r="E7" s="1491"/>
    </row>
    <row r="8" spans="1:5" ht="15.75">
      <c r="A8" s="1491"/>
      <c r="B8" s="3620" t="str">
        <f>结果表!E103</f>
        <v>2.估价师知悉的法定优先受偿款</v>
      </c>
      <c r="C8" s="1496" t="s">
        <v>913</v>
      </c>
      <c r="D8" s="851">
        <f>结果表!H103</f>
        <v>0</v>
      </c>
      <c r="E8" s="1491"/>
    </row>
    <row r="9" spans="1:5" ht="15.75">
      <c r="A9" s="1491"/>
      <c r="B9" s="362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613" t="str">
        <f>结果表!E107</f>
        <v>3.房地产抵押价值</v>
      </c>
      <c r="C13" s="1499" t="s">
        <v>910</v>
      </c>
      <c r="D13" s="853" t="e">
        <f ca="1">结果表!H107</f>
        <v>#REF!</v>
      </c>
      <c r="E13" s="1491"/>
    </row>
    <row r="14" spans="1:5" ht="15.75">
      <c r="A14" s="1491"/>
      <c r="B14" s="3614"/>
      <c r="C14" s="1494" t="s">
        <v>911</v>
      </c>
      <c r="D14" s="850" t="e">
        <f ca="1">NUMBERSTRING(INT(D13*10000),2)&amp;"元整"</f>
        <v>#REF!</v>
      </c>
      <c r="E14" s="1491"/>
    </row>
    <row r="15" spans="1:5" ht="15">
      <c r="A15" s="1491"/>
      <c r="B15" s="3619"/>
      <c r="C15" s="1495" t="s">
        <v>921</v>
      </c>
      <c r="D15" s="859" t="e">
        <f ca="1">结果表!H108</f>
        <v>#REF!</v>
      </c>
      <c r="E15" s="1491"/>
    </row>
    <row r="16" spans="1:5" ht="15">
      <c r="A16" s="1491"/>
      <c r="B16" s="3620" t="str">
        <f>结果表!E109</f>
        <v>——</v>
      </c>
      <c r="C16" s="1499" t="s">
        <v>922</v>
      </c>
      <c r="D16" s="1500" t="str">
        <f>结果表!H109</f>
        <v>——</v>
      </c>
      <c r="E16" s="1491"/>
    </row>
    <row r="17" spans="1:5" ht="15.75">
      <c r="A17" s="1491"/>
      <c r="B17" s="3621"/>
      <c r="C17" s="1494" t="s">
        <v>923</v>
      </c>
      <c r="D17" s="850" t="e">
        <f>NUMBERSTRING(INT(D16*10000),2)&amp;"元整"</f>
        <v>#VALUE!</v>
      </c>
      <c r="E17" s="1491"/>
    </row>
    <row r="18" spans="1:5" ht="15">
      <c r="A18" s="1491"/>
      <c r="B18" s="3622"/>
      <c r="C18" s="1495" t="s">
        <v>912</v>
      </c>
      <c r="D18" s="859" t="str">
        <f>结果表!H110</f>
        <v>——</v>
      </c>
      <c r="E18" s="1491"/>
    </row>
    <row r="19" spans="1:5" ht="15.75">
      <c r="A19" s="1491"/>
      <c r="B19" s="3613" t="str">
        <f>结果表!E111</f>
        <v>——</v>
      </c>
      <c r="C19" s="1499" t="s">
        <v>910</v>
      </c>
      <c r="D19" s="851" t="str">
        <f>结果表!H111</f>
        <v>——</v>
      </c>
      <c r="E19" s="1491"/>
    </row>
    <row r="20" spans="1:5" ht="15.75">
      <c r="A20" s="1491"/>
      <c r="B20" s="3614"/>
      <c r="C20" s="1494" t="s">
        <v>923</v>
      </c>
      <c r="D20" s="850" t="e">
        <f>NUMBERSTRING(INT(D19*10000),2)&amp;"元整"</f>
        <v>#VALUE!</v>
      </c>
      <c r="E20" s="1491"/>
    </row>
    <row r="21" spans="1:5" ht="15.75" thickBot="1">
      <c r="A21" s="1491"/>
      <c r="B21" s="361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4001" t="s">
        <v>2842</v>
      </c>
      <c r="B1" s="4001"/>
      <c r="C1" s="4001"/>
      <c r="D1" s="4001"/>
      <c r="E1" s="4001"/>
      <c r="F1" s="4001"/>
      <c r="G1" s="4002"/>
      <c r="I1" s="3220" t="s">
        <v>2843</v>
      </c>
      <c r="J1" s="3221" t="s">
        <v>2844</v>
      </c>
      <c r="K1" s="3221" t="s">
        <v>2845</v>
      </c>
      <c r="L1" s="3221" t="s">
        <v>2846</v>
      </c>
      <c r="M1" s="3221" t="s">
        <v>2847</v>
      </c>
      <c r="N1" s="3221" t="s">
        <v>2848</v>
      </c>
      <c r="O1" s="3221" t="s">
        <v>2849</v>
      </c>
      <c r="P1" s="3221" t="s">
        <v>2850</v>
      </c>
      <c r="Q1" s="3221" t="s">
        <v>2851</v>
      </c>
      <c r="R1" s="3221" t="s">
        <v>2852</v>
      </c>
      <c r="S1" s="3221" t="s">
        <v>2853</v>
      </c>
      <c r="T1" s="3222" t="s">
        <v>2854</v>
      </c>
    </row>
    <row r="2" spans="1:20" ht="12" thickBot="1">
      <c r="A2" s="3224" t="s">
        <v>2855</v>
      </c>
      <c r="B2" s="3224"/>
      <c r="C2" s="3224"/>
      <c r="D2" s="3224"/>
      <c r="E2" s="3224"/>
      <c r="F2" s="3224"/>
      <c r="G2" s="3225" t="s">
        <v>2856</v>
      </c>
      <c r="I2" s="3226" t="s">
        <v>2857</v>
      </c>
      <c r="J2" s="3226" t="s">
        <v>2858</v>
      </c>
      <c r="K2" s="3226" t="s">
        <v>2859</v>
      </c>
      <c r="L2" s="3226" t="s">
        <v>2860</v>
      </c>
      <c r="M2" s="3226" t="s">
        <v>2861</v>
      </c>
      <c r="N2" s="3226" t="s">
        <v>2862</v>
      </c>
      <c r="O2" s="3226" t="s">
        <v>2863</v>
      </c>
      <c r="P2" s="3226" t="s">
        <v>2864</v>
      </c>
      <c r="Q2" s="3226" t="s">
        <v>2865</v>
      </c>
      <c r="R2" s="3226" t="s">
        <v>2866</v>
      </c>
      <c r="S2" s="3226" t="s">
        <v>2867</v>
      </c>
      <c r="T2" s="3226" t="s">
        <v>2868</v>
      </c>
    </row>
    <row r="3" spans="1:20" s="3232" customFormat="1">
      <c r="A3" s="3999" t="s">
        <v>2869</v>
      </c>
      <c r="B3" s="3227"/>
      <c r="C3" s="3228" t="s">
        <v>2810</v>
      </c>
      <c r="D3" s="3228" t="s">
        <v>2870</v>
      </c>
      <c r="E3" s="3228" t="s">
        <v>2812</v>
      </c>
      <c r="F3" s="3228" t="s">
        <v>2871</v>
      </c>
      <c r="G3" s="3228" t="s">
        <v>2630</v>
      </c>
      <c r="H3" s="3229"/>
      <c r="I3" s="3230" t="s">
        <v>2872</v>
      </c>
      <c r="J3" s="3231" t="s">
        <v>128</v>
      </c>
      <c r="K3" s="3231" t="s">
        <v>129</v>
      </c>
      <c r="L3" s="3230" t="s">
        <v>130</v>
      </c>
      <c r="M3" s="3230" t="s">
        <v>131</v>
      </c>
      <c r="N3" s="3230" t="s">
        <v>132</v>
      </c>
      <c r="O3" s="3230" t="s">
        <v>133</v>
      </c>
      <c r="P3" s="3230" t="s">
        <v>134</v>
      </c>
      <c r="Q3" s="3230" t="s">
        <v>135</v>
      </c>
      <c r="R3" s="3230" t="s">
        <v>136</v>
      </c>
      <c r="S3" s="3230" t="s">
        <v>2873</v>
      </c>
      <c r="T3" s="3230" t="s">
        <v>2874</v>
      </c>
    </row>
    <row r="4" spans="1:20" s="3232" customFormat="1" ht="12" thickBot="1">
      <c r="A4" s="4000"/>
      <c r="B4" s="3233" t="s">
        <v>2875</v>
      </c>
      <c r="C4" s="3233" t="s">
        <v>2876</v>
      </c>
      <c r="D4" s="3233" t="s">
        <v>2876</v>
      </c>
      <c r="E4" s="3233" t="s">
        <v>2876</v>
      </c>
      <c r="F4" s="3234" t="s">
        <v>2876</v>
      </c>
      <c r="G4" s="3234" t="s">
        <v>2876</v>
      </c>
      <c r="H4" s="3229"/>
      <c r="I4" s="3231" t="s">
        <v>137</v>
      </c>
      <c r="J4" s="3231" t="s">
        <v>111</v>
      </c>
      <c r="K4" s="3231" t="s">
        <v>138</v>
      </c>
      <c r="L4" s="3230" t="s">
        <v>139</v>
      </c>
      <c r="M4" s="3230" t="s">
        <v>140</v>
      </c>
      <c r="N4" s="3230" t="s">
        <v>141</v>
      </c>
      <c r="O4" s="3230" t="s">
        <v>142</v>
      </c>
      <c r="P4" s="3230" t="s">
        <v>143</v>
      </c>
      <c r="Q4" s="3230" t="s">
        <v>2877</v>
      </c>
      <c r="R4" s="3230" t="s">
        <v>2878</v>
      </c>
      <c r="S4" s="3230" t="s">
        <v>2879</v>
      </c>
      <c r="T4" s="3230" t="s">
        <v>2880</v>
      </c>
    </row>
    <row r="5" spans="1:20">
      <c r="A5" s="3235" t="s">
        <v>2843</v>
      </c>
      <c r="B5" s="3226" t="s">
        <v>2857</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2881</v>
      </c>
      <c r="R5" s="3230" t="s">
        <v>2882</v>
      </c>
      <c r="S5" s="3230" t="s">
        <v>153</v>
      </c>
      <c r="T5" s="3230" t="s">
        <v>2883</v>
      </c>
    </row>
    <row r="6" spans="1:20" ht="12" thickBot="1">
      <c r="A6" s="3230" t="s">
        <v>144</v>
      </c>
      <c r="B6" s="3230" t="s">
        <v>2872</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2884</v>
      </c>
      <c r="Q6" s="3230" t="s">
        <v>2885</v>
      </c>
      <c r="R6" s="3230" t="s">
        <v>161</v>
      </c>
      <c r="S6" s="3230" t="s">
        <v>2886</v>
      </c>
      <c r="T6" s="3230" t="s">
        <v>2887</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2888</v>
      </c>
      <c r="Q7" s="3230" t="s">
        <v>2889</v>
      </c>
      <c r="R7" s="3230" t="s">
        <v>2890</v>
      </c>
      <c r="S7" s="3230" t="s">
        <v>2891</v>
      </c>
      <c r="T7" s="3230" t="s">
        <v>2892</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2893</v>
      </c>
      <c r="Q8" s="3230" t="s">
        <v>174</v>
      </c>
      <c r="R8" s="3230" t="s">
        <v>2894</v>
      </c>
      <c r="S8" s="3230" t="s">
        <v>2895</v>
      </c>
      <c r="T8" s="3237" t="s">
        <v>2896</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2897</v>
      </c>
      <c r="Q9" s="3230" t="s">
        <v>182</v>
      </c>
      <c r="R9" s="3230" t="s">
        <v>183</v>
      </c>
      <c r="S9" s="3230" t="s">
        <v>200</v>
      </c>
    </row>
    <row r="10" spans="1:20">
      <c r="A10" s="3235" t="s">
        <v>184</v>
      </c>
      <c r="B10" s="3226" t="s">
        <v>2858</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2898</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2899</v>
      </c>
      <c r="P11" s="3230" t="s">
        <v>191</v>
      </c>
      <c r="Q11" s="3230" t="s">
        <v>199</v>
      </c>
      <c r="R11" s="3230" t="s">
        <v>2900</v>
      </c>
      <c r="S11" s="3230" t="s">
        <v>2901</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2902</v>
      </c>
      <c r="P12" s="3230" t="s">
        <v>2903</v>
      </c>
      <c r="Q12" s="3230" t="s">
        <v>2904</v>
      </c>
      <c r="R12" s="3230" t="s">
        <v>2905</v>
      </c>
      <c r="S12" s="3230" t="s">
        <v>2906</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2907</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2908</v>
      </c>
      <c r="K14" s="3231" t="s">
        <v>215</v>
      </c>
      <c r="L14" s="3230" t="s">
        <v>216</v>
      </c>
      <c r="M14" s="3230" t="s">
        <v>217</v>
      </c>
      <c r="N14" s="3230" t="s">
        <v>218</v>
      </c>
      <c r="O14" s="3230" t="s">
        <v>240</v>
      </c>
      <c r="P14" s="3230" t="s">
        <v>213</v>
      </c>
      <c r="Q14" s="3230" t="s">
        <v>2909</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2910</v>
      </c>
      <c r="P15" s="3230" t="s">
        <v>2911</v>
      </c>
      <c r="Q15" s="3230" t="s">
        <v>242</v>
      </c>
      <c r="R15" s="3230" t="s">
        <v>2912</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2913</v>
      </c>
      <c r="P16" s="3230" t="s">
        <v>227</v>
      </c>
      <c r="Q16" s="3230" t="s">
        <v>250</v>
      </c>
      <c r="R16" s="3230" t="s">
        <v>207</v>
      </c>
      <c r="S16" s="3230" t="s">
        <v>2914</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2915</v>
      </c>
      <c r="P17" s="3230" t="s">
        <v>2916</v>
      </c>
      <c r="Q17" s="3230" t="s">
        <v>256</v>
      </c>
      <c r="R17" s="3230" t="s">
        <v>2917</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2918</v>
      </c>
      <c r="P18" s="3230" t="s">
        <v>241</v>
      </c>
      <c r="Q18" s="3230" t="s">
        <v>2919</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2920</v>
      </c>
      <c r="P19" s="3230" t="s">
        <v>249</v>
      </c>
      <c r="Q19" s="3230" t="s">
        <v>2921</v>
      </c>
      <c r="R19" s="3230" t="s">
        <v>265</v>
      </c>
      <c r="S19" s="3230" t="s">
        <v>2922</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2923</v>
      </c>
      <c r="P20" s="3230" t="s">
        <v>2924</v>
      </c>
      <c r="Q20" s="3230" t="s">
        <v>290</v>
      </c>
      <c r="R20" s="3230" t="s">
        <v>2925</v>
      </c>
      <c r="S20" s="3230" t="s">
        <v>277</v>
      </c>
    </row>
    <row r="21" spans="1:19" ht="14.25" customHeight="1" thickBot="1">
      <c r="A21" s="3230" t="s">
        <v>184</v>
      </c>
      <c r="B21" s="3231" t="s">
        <v>208</v>
      </c>
      <c r="C21" s="3230">
        <v>32370</v>
      </c>
      <c r="D21" s="3230">
        <v>26730</v>
      </c>
      <c r="E21" s="3230">
        <v>26640</v>
      </c>
      <c r="F21" s="3230"/>
      <c r="G21" s="3230">
        <v>19440</v>
      </c>
      <c r="J21" s="3237" t="s">
        <v>2926</v>
      </c>
      <c r="K21" s="3231" t="s">
        <v>267</v>
      </c>
      <c r="L21" s="3230" t="s">
        <v>268</v>
      </c>
      <c r="M21" s="3230" t="s">
        <v>269</v>
      </c>
      <c r="N21" s="3230" t="s">
        <v>270</v>
      </c>
      <c r="O21" s="3230" t="s">
        <v>264</v>
      </c>
      <c r="P21" s="3230" t="s">
        <v>283</v>
      </c>
      <c r="Q21" s="3230" t="s">
        <v>293</v>
      </c>
      <c r="R21" s="3230" t="s">
        <v>2927</v>
      </c>
      <c r="S21" s="3237" t="s">
        <v>2928</v>
      </c>
    </row>
    <row r="22" spans="1:19" ht="14.25" customHeight="1">
      <c r="A22" s="3230" t="s">
        <v>184</v>
      </c>
      <c r="B22" s="3231" t="s">
        <v>2908</v>
      </c>
      <c r="C22" s="3230">
        <v>29830</v>
      </c>
      <c r="D22" s="3230">
        <v>27600</v>
      </c>
      <c r="E22" s="3230">
        <v>28150</v>
      </c>
      <c r="F22" s="3230"/>
      <c r="G22" s="3230">
        <v>20080</v>
      </c>
      <c r="K22" s="3231" t="s">
        <v>2929</v>
      </c>
      <c r="L22" s="3230" t="s">
        <v>272</v>
      </c>
      <c r="M22" s="3230" t="s">
        <v>273</v>
      </c>
      <c r="N22" s="3230" t="s">
        <v>274</v>
      </c>
      <c r="O22" s="3230" t="s">
        <v>2930</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2931</v>
      </c>
      <c r="L23" s="3230" t="s">
        <v>278</v>
      </c>
      <c r="M23" s="3230" t="s">
        <v>279</v>
      </c>
      <c r="N23" s="3230" t="s">
        <v>2932</v>
      </c>
      <c r="O23" s="3230" t="s">
        <v>2933</v>
      </c>
      <c r="P23" s="3230" t="s">
        <v>289</v>
      </c>
      <c r="Q23" s="3230" t="s">
        <v>298</v>
      </c>
      <c r="R23" s="3230" t="s">
        <v>2934</v>
      </c>
    </row>
    <row r="24" spans="1:19" ht="14.25" customHeight="1">
      <c r="A24" s="3230" t="s">
        <v>184</v>
      </c>
      <c r="B24" s="3231" t="s">
        <v>230</v>
      </c>
      <c r="C24" s="3230">
        <v>27930</v>
      </c>
      <c r="D24" s="3230">
        <v>32260</v>
      </c>
      <c r="E24" s="3230">
        <v>32120</v>
      </c>
      <c r="F24" s="3230"/>
      <c r="G24" s="3230">
        <v>23470</v>
      </c>
      <c r="K24" s="3231" t="s">
        <v>2935</v>
      </c>
      <c r="L24" s="3230" t="s">
        <v>281</v>
      </c>
      <c r="M24" s="3230" t="s">
        <v>282</v>
      </c>
      <c r="N24" s="3230" t="s">
        <v>2936</v>
      </c>
      <c r="O24" s="3230" t="s">
        <v>285</v>
      </c>
      <c r="P24" s="3230" t="s">
        <v>2937</v>
      </c>
      <c r="Q24" s="3239" t="s">
        <v>2938</v>
      </c>
      <c r="R24" s="3230" t="s">
        <v>2939</v>
      </c>
    </row>
    <row r="25" spans="1:19" ht="14.25" customHeight="1">
      <c r="A25" s="3230" t="s">
        <v>184</v>
      </c>
      <c r="B25" s="3231" t="s">
        <v>235</v>
      </c>
      <c r="C25" s="3230">
        <v>32230</v>
      </c>
      <c r="D25" s="3230">
        <v>29640</v>
      </c>
      <c r="E25" s="3230">
        <v>29510</v>
      </c>
      <c r="F25" s="3230"/>
      <c r="G25" s="3230">
        <v>21560</v>
      </c>
      <c r="K25" s="3231" t="s">
        <v>2940</v>
      </c>
      <c r="L25" s="3230" t="s">
        <v>2941</v>
      </c>
      <c r="M25" s="3230" t="s">
        <v>284</v>
      </c>
      <c r="N25" s="3230" t="s">
        <v>292</v>
      </c>
      <c r="O25" s="3230" t="s">
        <v>288</v>
      </c>
      <c r="P25" s="3230" t="s">
        <v>275</v>
      </c>
      <c r="Q25" s="3239" t="s">
        <v>271</v>
      </c>
      <c r="R25" s="3230" t="s">
        <v>2942</v>
      </c>
    </row>
    <row r="26" spans="1:19" ht="14.25" customHeight="1" thickBot="1">
      <c r="A26" s="3230" t="s">
        <v>184</v>
      </c>
      <c r="B26" s="3231" t="s">
        <v>244</v>
      </c>
      <c r="C26" s="3230">
        <v>31690</v>
      </c>
      <c r="D26" s="3230">
        <v>27650</v>
      </c>
      <c r="E26" s="3230">
        <v>28200</v>
      </c>
      <c r="F26" s="3230"/>
      <c r="G26" s="3230">
        <v>20110</v>
      </c>
      <c r="K26" s="3236" t="s">
        <v>2943</v>
      </c>
      <c r="L26" s="3230" t="s">
        <v>2944</v>
      </c>
      <c r="M26" s="3230" t="s">
        <v>287</v>
      </c>
      <c r="N26" s="3230" t="s">
        <v>294</v>
      </c>
      <c r="O26" s="3230" t="s">
        <v>2945</v>
      </c>
      <c r="P26" s="3230" t="s">
        <v>2946</v>
      </c>
      <c r="Q26" s="3239" t="s">
        <v>276</v>
      </c>
      <c r="R26" s="3230" t="s">
        <v>2947</v>
      </c>
    </row>
    <row r="27" spans="1:19" ht="14.25" customHeight="1">
      <c r="A27" s="3230" t="s">
        <v>184</v>
      </c>
      <c r="B27" s="3231" t="s">
        <v>251</v>
      </c>
      <c r="C27" s="3230">
        <v>29610</v>
      </c>
      <c r="D27" s="3230">
        <v>27770</v>
      </c>
      <c r="E27" s="3230">
        <v>28300</v>
      </c>
      <c r="F27" s="3230"/>
      <c r="G27" s="3230">
        <v>20210</v>
      </c>
      <c r="L27" s="3230" t="s">
        <v>2948</v>
      </c>
      <c r="M27" s="3230" t="s">
        <v>291</v>
      </c>
      <c r="N27" s="3230" t="s">
        <v>297</v>
      </c>
      <c r="O27" s="3230" t="s">
        <v>2949</v>
      </c>
      <c r="P27" s="3230" t="s">
        <v>2950</v>
      </c>
      <c r="Q27" s="3230" t="s">
        <v>2951</v>
      </c>
      <c r="R27" s="3230" t="s">
        <v>2952</v>
      </c>
    </row>
    <row r="28" spans="1:19" ht="14.25" customHeight="1">
      <c r="A28" s="3230" t="s">
        <v>184</v>
      </c>
      <c r="B28" s="3231" t="s">
        <v>259</v>
      </c>
      <c r="C28" s="3230"/>
      <c r="D28" s="3230">
        <v>31520</v>
      </c>
      <c r="E28" s="3230">
        <v>31410</v>
      </c>
      <c r="F28" s="3230"/>
      <c r="G28" s="3230">
        <v>22940</v>
      </c>
      <c r="L28" s="3230" t="s">
        <v>2953</v>
      </c>
      <c r="M28" s="3230" t="s">
        <v>2954</v>
      </c>
      <c r="N28" s="3230" t="s">
        <v>2955</v>
      </c>
      <c r="O28" s="3230" t="s">
        <v>2956</v>
      </c>
      <c r="P28" s="3230" t="s">
        <v>2957</v>
      </c>
      <c r="Q28" s="3230" t="s">
        <v>2958</v>
      </c>
      <c r="R28" s="3230" t="s">
        <v>2959</v>
      </c>
    </row>
    <row r="29" spans="1:19" ht="14.25" customHeight="1" thickBot="1">
      <c r="A29" s="3238" t="s">
        <v>184</v>
      </c>
      <c r="B29" s="3240" t="s">
        <v>2926</v>
      </c>
      <c r="C29" s="3241"/>
      <c r="D29" s="3241">
        <v>29460</v>
      </c>
      <c r="E29" s="3241">
        <v>28640</v>
      </c>
      <c r="F29" s="3241"/>
      <c r="G29" s="3241">
        <v>21430</v>
      </c>
      <c r="L29" s="3230" t="s">
        <v>2960</v>
      </c>
      <c r="M29" s="3230" t="s">
        <v>2961</v>
      </c>
      <c r="N29" s="3230" t="s">
        <v>2962</v>
      </c>
      <c r="O29" s="3230" t="s">
        <v>2963</v>
      </c>
      <c r="P29" s="3230" t="s">
        <v>2964</v>
      </c>
      <c r="Q29" s="3230" t="s">
        <v>2965</v>
      </c>
      <c r="R29" s="3230" t="s">
        <v>280</v>
      </c>
    </row>
    <row r="30" spans="1:19" ht="14.25" customHeight="1">
      <c r="A30" s="3235" t="s">
        <v>296</v>
      </c>
      <c r="B30" s="3226" t="s">
        <v>2859</v>
      </c>
      <c r="C30" s="3226">
        <v>26890</v>
      </c>
      <c r="D30" s="3226">
        <v>26770</v>
      </c>
      <c r="E30" s="3226">
        <v>25700</v>
      </c>
      <c r="F30" s="3226">
        <v>8180</v>
      </c>
      <c r="G30" s="3242">
        <v>18740</v>
      </c>
      <c r="L30" s="3230" t="s">
        <v>2966</v>
      </c>
      <c r="M30" s="3230" t="s">
        <v>2967</v>
      </c>
      <c r="N30" s="3230" t="s">
        <v>2968</v>
      </c>
      <c r="O30" s="3230" t="s">
        <v>2969</v>
      </c>
      <c r="P30" s="3230" t="s">
        <v>2970</v>
      </c>
      <c r="Q30" s="3230" t="s">
        <v>2971</v>
      </c>
      <c r="R30" s="3230" t="s">
        <v>2972</v>
      </c>
    </row>
    <row r="31" spans="1:19" ht="14.25" customHeight="1">
      <c r="A31" s="3230" t="s">
        <v>296</v>
      </c>
      <c r="B31" s="3231" t="s">
        <v>129</v>
      </c>
      <c r="C31" s="3230">
        <v>24550</v>
      </c>
      <c r="D31" s="3230">
        <v>23990</v>
      </c>
      <c r="E31" s="3230">
        <v>22930</v>
      </c>
      <c r="F31" s="3230">
        <v>7470</v>
      </c>
      <c r="G31" s="3243">
        <v>16790</v>
      </c>
      <c r="L31" s="3230" t="s">
        <v>2973</v>
      </c>
      <c r="M31" s="3230" t="s">
        <v>2974</v>
      </c>
      <c r="N31" s="3230" t="s">
        <v>2975</v>
      </c>
      <c r="O31" s="3230" t="s">
        <v>2976</v>
      </c>
      <c r="P31" s="3230" t="s">
        <v>2977</v>
      </c>
      <c r="Q31" s="3230" t="s">
        <v>2978</v>
      </c>
      <c r="R31" s="3230" t="s">
        <v>2979</v>
      </c>
    </row>
    <row r="32" spans="1:19" ht="14.25" customHeight="1" thickBot="1">
      <c r="A32" s="3230" t="s">
        <v>296</v>
      </c>
      <c r="B32" s="3231" t="s">
        <v>138</v>
      </c>
      <c r="C32" s="3230">
        <v>27210</v>
      </c>
      <c r="D32" s="3230">
        <v>23240</v>
      </c>
      <c r="E32" s="3230">
        <v>23260</v>
      </c>
      <c r="F32" s="3230">
        <v>7130</v>
      </c>
      <c r="G32" s="3243">
        <v>16270</v>
      </c>
      <c r="L32" s="3230" t="s">
        <v>2980</v>
      </c>
      <c r="M32" s="3230" t="s">
        <v>2981</v>
      </c>
      <c r="N32" s="3230" t="s">
        <v>300</v>
      </c>
      <c r="O32" s="3230" t="s">
        <v>2982</v>
      </c>
      <c r="P32" s="3230" t="s">
        <v>299</v>
      </c>
      <c r="Q32" s="3230" t="s">
        <v>2983</v>
      </c>
      <c r="R32" s="3237" t="s">
        <v>2984</v>
      </c>
    </row>
    <row r="33" spans="1:17" ht="14.25" customHeight="1" thickBot="1">
      <c r="A33" s="3230" t="s">
        <v>296</v>
      </c>
      <c r="B33" s="3231" t="s">
        <v>147</v>
      </c>
      <c r="C33" s="3230">
        <v>27300</v>
      </c>
      <c r="D33" s="3230">
        <v>22980</v>
      </c>
      <c r="E33" s="3230">
        <v>24260</v>
      </c>
      <c r="F33" s="3230">
        <v>5860</v>
      </c>
      <c r="G33" s="3243">
        <v>16090</v>
      </c>
      <c r="L33" s="3237" t="s">
        <v>2985</v>
      </c>
      <c r="M33" s="3230" t="s">
        <v>2986</v>
      </c>
      <c r="N33" s="3230" t="s">
        <v>301</v>
      </c>
      <c r="O33" s="3230" t="s">
        <v>2987</v>
      </c>
      <c r="P33" s="3230" t="s">
        <v>2988</v>
      </c>
      <c r="Q33" s="3230" t="s">
        <v>2989</v>
      </c>
    </row>
    <row r="34" spans="1:17" ht="14.25" customHeight="1">
      <c r="A34" s="3230" t="s">
        <v>296</v>
      </c>
      <c r="B34" s="3231" t="s">
        <v>156</v>
      </c>
      <c r="C34" s="3230">
        <v>23090</v>
      </c>
      <c r="D34" s="3230">
        <v>23390</v>
      </c>
      <c r="E34" s="3230">
        <v>23510</v>
      </c>
      <c r="F34" s="3230">
        <v>6700</v>
      </c>
      <c r="G34" s="3243">
        <v>16370</v>
      </c>
      <c r="M34" s="3230" t="s">
        <v>2990</v>
      </c>
      <c r="N34" s="3230" t="s">
        <v>302</v>
      </c>
      <c r="O34" s="3230" t="s">
        <v>2991</v>
      </c>
      <c r="P34" s="3230" t="s">
        <v>2992</v>
      </c>
      <c r="Q34" s="3230" t="s">
        <v>2993</v>
      </c>
    </row>
    <row r="35" spans="1:17" ht="14.25" customHeight="1">
      <c r="A35" s="3230" t="s">
        <v>296</v>
      </c>
      <c r="B35" s="3231" t="s">
        <v>163</v>
      </c>
      <c r="C35" s="3230">
        <v>27270</v>
      </c>
      <c r="D35" s="3230">
        <v>24270</v>
      </c>
      <c r="E35" s="3230">
        <v>24950</v>
      </c>
      <c r="F35" s="3230">
        <v>6600</v>
      </c>
      <c r="G35" s="3243">
        <v>16990</v>
      </c>
      <c r="M35" s="3230" t="s">
        <v>2994</v>
      </c>
      <c r="N35" s="3230" t="s">
        <v>2995</v>
      </c>
      <c r="O35" s="3230" t="s">
        <v>2996</v>
      </c>
      <c r="P35" s="3230" t="s">
        <v>2997</v>
      </c>
      <c r="Q35" s="3230" t="s">
        <v>2998</v>
      </c>
    </row>
    <row r="36" spans="1:17" ht="14.25" customHeight="1">
      <c r="A36" s="3230" t="s">
        <v>296</v>
      </c>
      <c r="B36" s="3231" t="s">
        <v>169</v>
      </c>
      <c r="C36" s="3230">
        <v>23490</v>
      </c>
      <c r="D36" s="3230">
        <v>23020</v>
      </c>
      <c r="E36" s="3230">
        <v>25230</v>
      </c>
      <c r="F36" s="3230">
        <v>6780</v>
      </c>
      <c r="G36" s="3243">
        <v>16120</v>
      </c>
      <c r="M36" s="3230" t="s">
        <v>2999</v>
      </c>
      <c r="N36" s="3230" t="s">
        <v>3000</v>
      </c>
      <c r="O36" s="3230" t="s">
        <v>3001</v>
      </c>
      <c r="P36" s="3230" t="s">
        <v>3002</v>
      </c>
      <c r="Q36" s="3230" t="s">
        <v>3003</v>
      </c>
    </row>
    <row r="37" spans="1:17" ht="14.25" customHeight="1">
      <c r="A37" s="3230" t="s">
        <v>296</v>
      </c>
      <c r="B37" s="3231" t="s">
        <v>176</v>
      </c>
      <c r="C37" s="3230">
        <v>24380</v>
      </c>
      <c r="D37" s="3230">
        <v>22240</v>
      </c>
      <c r="E37" s="3230">
        <v>25980</v>
      </c>
      <c r="F37" s="3230">
        <v>8160</v>
      </c>
      <c r="G37" s="3243">
        <v>15570</v>
      </c>
      <c r="M37" s="3230" t="s">
        <v>3004</v>
      </c>
      <c r="N37" s="3230" t="s">
        <v>3005</v>
      </c>
      <c r="O37" s="3230" t="s">
        <v>3006</v>
      </c>
      <c r="P37" s="3230" t="s">
        <v>3007</v>
      </c>
      <c r="Q37" s="3230" t="s">
        <v>3008</v>
      </c>
    </row>
    <row r="38" spans="1:17" ht="14.25" customHeight="1">
      <c r="A38" s="3230" t="s">
        <v>296</v>
      </c>
      <c r="B38" s="3231" t="s">
        <v>186</v>
      </c>
      <c r="C38" s="3230">
        <v>23120</v>
      </c>
      <c r="D38" s="3230">
        <v>24630</v>
      </c>
      <c r="E38" s="3230">
        <v>25030</v>
      </c>
      <c r="F38" s="3230">
        <v>7710</v>
      </c>
      <c r="G38" s="3243">
        <v>17240</v>
      </c>
      <c r="M38" s="3230" t="s">
        <v>3009</v>
      </c>
      <c r="N38" s="3230" t="s">
        <v>3010</v>
      </c>
      <c r="O38" s="3230" t="s">
        <v>3011</v>
      </c>
      <c r="P38" s="3230" t="s">
        <v>3012</v>
      </c>
      <c r="Q38" s="3230" t="s">
        <v>3013</v>
      </c>
    </row>
    <row r="39" spans="1:17" ht="14.25" customHeight="1">
      <c r="A39" s="3230" t="s">
        <v>296</v>
      </c>
      <c r="B39" s="3231" t="s">
        <v>195</v>
      </c>
      <c r="C39" s="3230">
        <v>22330</v>
      </c>
      <c r="D39" s="3230">
        <v>21140</v>
      </c>
      <c r="E39" s="3230">
        <v>23970</v>
      </c>
      <c r="F39" s="3230">
        <v>7940</v>
      </c>
      <c r="G39" s="3243">
        <v>14790</v>
      </c>
      <c r="M39" s="3230" t="s">
        <v>3014</v>
      </c>
      <c r="N39" s="3230" t="s">
        <v>3015</v>
      </c>
      <c r="O39" s="3230" t="s">
        <v>3016</v>
      </c>
      <c r="P39" s="3230" t="s">
        <v>3017</v>
      </c>
      <c r="Q39" s="3230" t="s">
        <v>3018</v>
      </c>
    </row>
    <row r="40" spans="1:17" ht="14.25" customHeight="1">
      <c r="A40" s="3230" t="s">
        <v>296</v>
      </c>
      <c r="B40" s="3231" t="s">
        <v>202</v>
      </c>
      <c r="C40" s="3230">
        <v>24740</v>
      </c>
      <c r="D40" s="3230">
        <v>24690</v>
      </c>
      <c r="E40" s="3230">
        <v>22610</v>
      </c>
      <c r="F40" s="3230"/>
      <c r="G40" s="3243">
        <v>17280</v>
      </c>
      <c r="M40" s="3230" t="s">
        <v>3019</v>
      </c>
      <c r="N40" s="3230" t="s">
        <v>3020</v>
      </c>
      <c r="O40" s="3230" t="s">
        <v>3021</v>
      </c>
      <c r="P40" s="3230" t="s">
        <v>3022</v>
      </c>
      <c r="Q40" s="3230" t="s">
        <v>3023</v>
      </c>
    </row>
    <row r="41" spans="1:17" ht="14.25" customHeight="1" thickBot="1">
      <c r="A41" s="3230" t="s">
        <v>296</v>
      </c>
      <c r="B41" s="3231" t="s">
        <v>209</v>
      </c>
      <c r="C41" s="3230">
        <v>21220</v>
      </c>
      <c r="D41" s="3230">
        <v>21120</v>
      </c>
      <c r="E41" s="3230">
        <v>22590</v>
      </c>
      <c r="F41" s="3230"/>
      <c r="G41" s="3243">
        <v>14780</v>
      </c>
      <c r="M41" s="3237" t="s">
        <v>3024</v>
      </c>
      <c r="N41" s="3230" t="s">
        <v>3025</v>
      </c>
      <c r="O41" s="3230" t="s">
        <v>3026</v>
      </c>
      <c r="P41" s="3230" t="s">
        <v>3027</v>
      </c>
      <c r="Q41" s="3230" t="s">
        <v>3028</v>
      </c>
    </row>
    <row r="42" spans="1:17" ht="14.25" customHeight="1">
      <c r="A42" s="3230" t="s">
        <v>296</v>
      </c>
      <c r="B42" s="3231" t="s">
        <v>215</v>
      </c>
      <c r="C42" s="3230">
        <v>24800</v>
      </c>
      <c r="D42" s="3230">
        <v>22280</v>
      </c>
      <c r="E42" s="3230">
        <v>24350</v>
      </c>
      <c r="F42" s="3230"/>
      <c r="G42" s="3243">
        <v>15590</v>
      </c>
      <c r="N42" s="3230" t="s">
        <v>3029</v>
      </c>
      <c r="O42" s="3230" t="s">
        <v>3030</v>
      </c>
      <c r="P42" s="3230" t="s">
        <v>3031</v>
      </c>
      <c r="Q42" s="3230" t="s">
        <v>3032</v>
      </c>
    </row>
    <row r="43" spans="1:17" ht="14.25" customHeight="1">
      <c r="A43" s="3230" t="s">
        <v>3033</v>
      </c>
      <c r="B43" s="3231" t="s">
        <v>223</v>
      </c>
      <c r="C43" s="3230">
        <v>21210</v>
      </c>
      <c r="D43" s="3230">
        <v>21160</v>
      </c>
      <c r="E43" s="3230">
        <v>22650</v>
      </c>
      <c r="F43" s="3230"/>
      <c r="G43" s="3243">
        <v>14800</v>
      </c>
      <c r="N43" s="3230" t="s">
        <v>3034</v>
      </c>
      <c r="O43" s="3230" t="s">
        <v>3035</v>
      </c>
      <c r="P43" s="3230" t="s">
        <v>3036</v>
      </c>
      <c r="Q43" s="3230" t="s">
        <v>3037</v>
      </c>
    </row>
    <row r="44" spans="1:17" ht="14.25" customHeight="1" thickBot="1">
      <c r="A44" s="3230" t="s">
        <v>296</v>
      </c>
      <c r="B44" s="3231" t="s">
        <v>231</v>
      </c>
      <c r="C44" s="3230">
        <v>22370</v>
      </c>
      <c r="D44" s="3230">
        <v>23140</v>
      </c>
      <c r="E44" s="3230">
        <v>25090</v>
      </c>
      <c r="F44" s="3230"/>
      <c r="G44" s="3243">
        <v>16190</v>
      </c>
      <c r="N44" s="3230" t="s">
        <v>3038</v>
      </c>
      <c r="O44" s="3230" t="s">
        <v>3039</v>
      </c>
      <c r="P44" s="3237" t="s">
        <v>3040</v>
      </c>
      <c r="Q44" s="3230" t="s">
        <v>3041</v>
      </c>
    </row>
    <row r="45" spans="1:17" ht="14.25" customHeight="1" thickBot="1">
      <c r="A45" s="3230" t="s">
        <v>296</v>
      </c>
      <c r="B45" s="3231" t="s">
        <v>236</v>
      </c>
      <c r="C45" s="3230">
        <v>21240</v>
      </c>
      <c r="D45" s="3230">
        <v>27050</v>
      </c>
      <c r="E45" s="3230">
        <v>28000</v>
      </c>
      <c r="F45" s="3230"/>
      <c r="G45" s="3243">
        <v>18940</v>
      </c>
      <c r="N45" s="3230" t="s">
        <v>3042</v>
      </c>
      <c r="O45" s="3237" t="s">
        <v>3043</v>
      </c>
      <c r="Q45" s="3230" t="s">
        <v>3044</v>
      </c>
    </row>
    <row r="46" spans="1:17" ht="14.25" customHeight="1">
      <c r="A46" s="3230" t="s">
        <v>296</v>
      </c>
      <c r="B46" s="3231" t="s">
        <v>245</v>
      </c>
      <c r="C46" s="3230">
        <v>23240</v>
      </c>
      <c r="D46" s="3230">
        <v>23000</v>
      </c>
      <c r="E46" s="3230">
        <v>24980</v>
      </c>
      <c r="F46" s="3230"/>
      <c r="G46" s="3243">
        <v>16100</v>
      </c>
      <c r="N46" s="3230" t="s">
        <v>3045</v>
      </c>
      <c r="Q46" s="3230" t="s">
        <v>3046</v>
      </c>
    </row>
    <row r="47" spans="1:17" ht="14.25" customHeight="1">
      <c r="A47" s="3230" t="s">
        <v>296</v>
      </c>
      <c r="B47" s="3231" t="s">
        <v>252</v>
      </c>
      <c r="C47" s="3230">
        <v>27150</v>
      </c>
      <c r="D47" s="3230">
        <v>23310</v>
      </c>
      <c r="E47" s="3230">
        <v>25150</v>
      </c>
      <c r="F47" s="3230"/>
      <c r="G47" s="3243">
        <v>16310</v>
      </c>
      <c r="N47" s="3230" t="s">
        <v>3047</v>
      </c>
      <c r="Q47" s="3230" t="s">
        <v>3048</v>
      </c>
    </row>
    <row r="48" spans="1:17" ht="14.25" customHeight="1">
      <c r="A48" s="3230" t="s">
        <v>296</v>
      </c>
      <c r="B48" s="3231" t="s">
        <v>260</v>
      </c>
      <c r="C48" s="3230">
        <v>23100</v>
      </c>
      <c r="D48" s="3230">
        <v>21110</v>
      </c>
      <c r="E48" s="3230">
        <v>23080</v>
      </c>
      <c r="F48" s="3230"/>
      <c r="G48" s="3243">
        <v>14780</v>
      </c>
      <c r="N48" s="3230" t="s">
        <v>3049</v>
      </c>
      <c r="Q48" s="3230" t="s">
        <v>3050</v>
      </c>
    </row>
    <row r="49" spans="1:17" ht="14.25" customHeight="1">
      <c r="A49" s="3230" t="s">
        <v>296</v>
      </c>
      <c r="B49" s="3231" t="s">
        <v>267</v>
      </c>
      <c r="C49" s="3230">
        <v>23400</v>
      </c>
      <c r="D49" s="3230">
        <v>22920</v>
      </c>
      <c r="E49" s="3230">
        <v>24900</v>
      </c>
      <c r="F49" s="3230"/>
      <c r="G49" s="3243">
        <v>16040</v>
      </c>
      <c r="N49" s="3230" t="s">
        <v>3051</v>
      </c>
      <c r="Q49" s="3230" t="s">
        <v>3052</v>
      </c>
    </row>
    <row r="50" spans="1:17" ht="14.25" customHeight="1">
      <c r="A50" s="3230" t="s">
        <v>296</v>
      </c>
      <c r="B50" s="3231" t="s">
        <v>2929</v>
      </c>
      <c r="C50" s="3230">
        <v>21200</v>
      </c>
      <c r="D50" s="3230">
        <v>26540</v>
      </c>
      <c r="E50" s="3230">
        <v>23200</v>
      </c>
      <c r="F50" s="3230"/>
      <c r="G50" s="3243">
        <v>18580</v>
      </c>
      <c r="N50" s="3230" t="s">
        <v>3053</v>
      </c>
      <c r="Q50" s="3231" t="s">
        <v>3054</v>
      </c>
    </row>
    <row r="51" spans="1:17" ht="14.25" customHeight="1" thickBot="1">
      <c r="A51" s="3230" t="s">
        <v>296</v>
      </c>
      <c r="B51" s="3231" t="s">
        <v>2931</v>
      </c>
      <c r="C51" s="3230">
        <v>23000</v>
      </c>
      <c r="D51" s="3230">
        <v>23460</v>
      </c>
      <c r="E51" s="3230">
        <v>25290</v>
      </c>
      <c r="F51" s="3230"/>
      <c r="G51" s="3243">
        <v>16420</v>
      </c>
      <c r="N51" s="3230" t="s">
        <v>3055</v>
      </c>
      <c r="Q51" s="3237" t="s">
        <v>3056</v>
      </c>
    </row>
    <row r="52" spans="1:17" ht="14.25" customHeight="1">
      <c r="A52" s="3230" t="s">
        <v>296</v>
      </c>
      <c r="B52" s="3231" t="s">
        <v>2935</v>
      </c>
      <c r="C52" s="3230">
        <v>26660</v>
      </c>
      <c r="D52" s="3230">
        <v>22350</v>
      </c>
      <c r="E52" s="3230">
        <v>22920</v>
      </c>
      <c r="F52" s="3230"/>
      <c r="G52" s="3243">
        <v>15640</v>
      </c>
      <c r="N52" s="3230" t="s">
        <v>3057</v>
      </c>
    </row>
    <row r="53" spans="1:17" ht="14.25" customHeight="1">
      <c r="A53" s="3230" t="s">
        <v>296</v>
      </c>
      <c r="B53" s="3231" t="s">
        <v>2940</v>
      </c>
      <c r="C53" s="3230">
        <v>23580</v>
      </c>
      <c r="D53" s="3230"/>
      <c r="E53" s="3230">
        <v>24280</v>
      </c>
      <c r="F53" s="3230"/>
      <c r="G53" s="3243"/>
      <c r="N53" s="3230" t="s">
        <v>3058</v>
      </c>
    </row>
    <row r="54" spans="1:17" ht="14.25" customHeight="1" thickBot="1">
      <c r="A54" s="3244" t="s">
        <v>296</v>
      </c>
      <c r="B54" s="3236" t="s">
        <v>2943</v>
      </c>
      <c r="C54" s="3237">
        <v>22460</v>
      </c>
      <c r="D54" s="3237"/>
      <c r="E54" s="3237"/>
      <c r="F54" s="3237"/>
      <c r="G54" s="3245"/>
      <c r="N54" s="3230" t="s">
        <v>3059</v>
      </c>
    </row>
    <row r="55" spans="1:17" ht="14.25" customHeight="1">
      <c r="A55" s="3235" t="s">
        <v>110</v>
      </c>
      <c r="B55" s="3226" t="s">
        <v>3060</v>
      </c>
      <c r="C55" s="3230">
        <v>21970</v>
      </c>
      <c r="D55" s="3230">
        <v>20370</v>
      </c>
      <c r="E55" s="3230">
        <v>20180</v>
      </c>
      <c r="F55" s="3230">
        <v>5730</v>
      </c>
      <c r="G55" s="3230">
        <v>13820</v>
      </c>
      <c r="N55" s="3230" t="s">
        <v>3061</v>
      </c>
    </row>
    <row r="56" spans="1:17" ht="14.25" customHeight="1">
      <c r="A56" s="3230" t="s">
        <v>110</v>
      </c>
      <c r="B56" s="3230" t="s">
        <v>130</v>
      </c>
      <c r="C56" s="3230">
        <v>20470</v>
      </c>
      <c r="D56" s="3230">
        <v>20700</v>
      </c>
      <c r="E56" s="3230">
        <v>20380</v>
      </c>
      <c r="F56" s="3230">
        <v>4760</v>
      </c>
      <c r="G56" s="3230">
        <v>14050</v>
      </c>
      <c r="N56" s="3230" t="s">
        <v>3062</v>
      </c>
    </row>
    <row r="57" spans="1:17" ht="14.25" customHeight="1">
      <c r="A57" s="3230" t="s">
        <v>110</v>
      </c>
      <c r="B57" s="3230" t="s">
        <v>139</v>
      </c>
      <c r="C57" s="3230">
        <v>20790</v>
      </c>
      <c r="D57" s="3230">
        <v>21370</v>
      </c>
      <c r="E57" s="3230">
        <v>20890</v>
      </c>
      <c r="F57" s="3230">
        <v>4910</v>
      </c>
      <c r="G57" s="3230">
        <v>14510</v>
      </c>
      <c r="N57" s="3230" t="s">
        <v>3063</v>
      </c>
    </row>
    <row r="58" spans="1:17" ht="14.25" customHeight="1">
      <c r="A58" s="3230" t="s">
        <v>110</v>
      </c>
      <c r="B58" s="3230" t="s">
        <v>148</v>
      </c>
      <c r="C58" s="3230">
        <v>21460</v>
      </c>
      <c r="D58" s="3230">
        <v>20920</v>
      </c>
      <c r="E58" s="3230">
        <v>23410</v>
      </c>
      <c r="F58" s="3230">
        <v>5100</v>
      </c>
      <c r="G58" s="3230">
        <v>14200</v>
      </c>
      <c r="N58" s="3230" t="s">
        <v>3064</v>
      </c>
    </row>
    <row r="59" spans="1:17" ht="14.25" customHeight="1">
      <c r="A59" s="3230" t="s">
        <v>110</v>
      </c>
      <c r="B59" s="3230" t="s">
        <v>157</v>
      </c>
      <c r="C59" s="3230">
        <v>21000</v>
      </c>
      <c r="D59" s="3230">
        <v>21550</v>
      </c>
      <c r="E59" s="3230">
        <v>21150</v>
      </c>
      <c r="F59" s="3230">
        <v>5250</v>
      </c>
      <c r="G59" s="3230">
        <v>14630</v>
      </c>
      <c r="N59" s="3230" t="s">
        <v>3065</v>
      </c>
    </row>
    <row r="60" spans="1:17" ht="14.25" customHeight="1">
      <c r="A60" s="3230" t="s">
        <v>110</v>
      </c>
      <c r="B60" s="3230" t="s">
        <v>164</v>
      </c>
      <c r="C60" s="3230">
        <v>21640</v>
      </c>
      <c r="D60" s="3230">
        <v>21260</v>
      </c>
      <c r="E60" s="3230">
        <v>24040</v>
      </c>
      <c r="F60" s="3230">
        <v>4470</v>
      </c>
      <c r="G60" s="3230">
        <v>14430</v>
      </c>
      <c r="N60" s="3230" t="s">
        <v>3066</v>
      </c>
    </row>
    <row r="61" spans="1:17" ht="14.25" customHeight="1">
      <c r="A61" s="3230" t="s">
        <v>110</v>
      </c>
      <c r="B61" s="3230" t="s">
        <v>170</v>
      </c>
      <c r="C61" s="3230">
        <v>21330</v>
      </c>
      <c r="D61" s="3230">
        <v>18640</v>
      </c>
      <c r="E61" s="3230">
        <v>21190</v>
      </c>
      <c r="F61" s="3230">
        <v>4180</v>
      </c>
      <c r="G61" s="3230">
        <v>12650</v>
      </c>
      <c r="N61" s="3230" t="s">
        <v>3067</v>
      </c>
    </row>
    <row r="62" spans="1:17" ht="14.25" customHeight="1">
      <c r="A62" s="3230" t="s">
        <v>110</v>
      </c>
      <c r="B62" s="3230" t="s">
        <v>177</v>
      </c>
      <c r="C62" s="3230">
        <v>18710</v>
      </c>
      <c r="D62" s="3230">
        <v>19400</v>
      </c>
      <c r="E62" s="3230">
        <v>23750</v>
      </c>
      <c r="F62" s="3230">
        <v>4860</v>
      </c>
      <c r="G62" s="3230">
        <v>13170</v>
      </c>
      <c r="N62" s="3230" t="s">
        <v>3068</v>
      </c>
    </row>
    <row r="63" spans="1:17" ht="14.25" customHeight="1">
      <c r="A63" s="3230" t="s">
        <v>110</v>
      </c>
      <c r="B63" s="3230" t="s">
        <v>187</v>
      </c>
      <c r="C63" s="3230">
        <v>19480</v>
      </c>
      <c r="D63" s="3230">
        <v>16830</v>
      </c>
      <c r="E63" s="3230">
        <v>21590</v>
      </c>
      <c r="F63" s="3230">
        <v>4560</v>
      </c>
      <c r="G63" s="3230">
        <v>11420</v>
      </c>
      <c r="N63" s="3230" t="s">
        <v>3069</v>
      </c>
    </row>
    <row r="64" spans="1:17" ht="14.25" customHeight="1" thickBot="1">
      <c r="A64" s="3230" t="s">
        <v>110</v>
      </c>
      <c r="B64" s="3230" t="s">
        <v>196</v>
      </c>
      <c r="C64" s="3230">
        <v>16920</v>
      </c>
      <c r="D64" s="3230">
        <v>19190</v>
      </c>
      <c r="E64" s="3230">
        <v>22200</v>
      </c>
      <c r="F64" s="3230">
        <v>4390</v>
      </c>
      <c r="G64" s="3230">
        <v>13030</v>
      </c>
      <c r="N64" s="3237" t="s">
        <v>3070</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2941</v>
      </c>
      <c r="C78" s="3230">
        <v>19820</v>
      </c>
      <c r="D78" s="3230">
        <v>19780</v>
      </c>
      <c r="E78" s="3230">
        <v>18560</v>
      </c>
      <c r="F78" s="3230"/>
      <c r="G78" s="3230">
        <v>13430</v>
      </c>
    </row>
    <row r="79" spans="1:7" s="3219" customFormat="1" ht="14.25" customHeight="1">
      <c r="A79" s="3230" t="s">
        <v>110</v>
      </c>
      <c r="B79" s="3230" t="s">
        <v>2944</v>
      </c>
      <c r="C79" s="3230">
        <v>21660</v>
      </c>
      <c r="D79" s="3230">
        <v>18000</v>
      </c>
      <c r="E79" s="3230">
        <v>22570</v>
      </c>
      <c r="F79" s="3230"/>
      <c r="G79" s="3230">
        <v>12220</v>
      </c>
    </row>
    <row r="80" spans="1:7" s="3219" customFormat="1" ht="14.25" customHeight="1">
      <c r="A80" s="3230" t="s">
        <v>110</v>
      </c>
      <c r="B80" s="3230" t="s">
        <v>2948</v>
      </c>
      <c r="C80" s="3230">
        <v>19850</v>
      </c>
      <c r="D80" s="3230"/>
      <c r="E80" s="3230">
        <v>21700</v>
      </c>
      <c r="F80" s="3230"/>
      <c r="G80" s="3230"/>
    </row>
    <row r="81" spans="1:7" s="3219" customFormat="1" ht="14.25" customHeight="1">
      <c r="A81" s="3230" t="s">
        <v>110</v>
      </c>
      <c r="B81" s="3230" t="s">
        <v>2953</v>
      </c>
      <c r="C81" s="3230">
        <v>18080</v>
      </c>
      <c r="D81" s="3230"/>
      <c r="E81" s="3230">
        <v>20900</v>
      </c>
      <c r="F81" s="3230"/>
      <c r="G81" s="3230"/>
    </row>
    <row r="82" spans="1:7" s="3219" customFormat="1" ht="14.25" customHeight="1">
      <c r="A82" s="3230" t="s">
        <v>110</v>
      </c>
      <c r="B82" s="3230" t="s">
        <v>2960</v>
      </c>
      <c r="C82" s="3230"/>
      <c r="D82" s="3230"/>
      <c r="E82" s="3230">
        <v>20840</v>
      </c>
      <c r="F82" s="3230"/>
      <c r="G82" s="3230"/>
    </row>
    <row r="83" spans="1:7" s="3219" customFormat="1" ht="14.25" customHeight="1">
      <c r="A83" s="3230" t="s">
        <v>110</v>
      </c>
      <c r="B83" s="3230" t="s">
        <v>3071</v>
      </c>
      <c r="C83" s="3230"/>
      <c r="D83" s="3230"/>
      <c r="E83" s="3230"/>
      <c r="F83" s="3230">
        <v>4770</v>
      </c>
      <c r="G83" s="3230"/>
    </row>
    <row r="84" spans="1:7" s="3219" customFormat="1" ht="14.25" customHeight="1">
      <c r="A84" s="3230" t="s">
        <v>110</v>
      </c>
      <c r="B84" s="3230" t="s">
        <v>3072</v>
      </c>
      <c r="C84" s="3230"/>
      <c r="D84" s="3230"/>
      <c r="E84" s="3230"/>
      <c r="F84" s="3230">
        <v>4600</v>
      </c>
      <c r="G84" s="3230"/>
    </row>
    <row r="85" spans="1:7" s="3219" customFormat="1" ht="14.25" customHeight="1">
      <c r="A85" s="3230" t="s">
        <v>110</v>
      </c>
      <c r="B85" s="3230" t="s">
        <v>3073</v>
      </c>
      <c r="C85" s="3230"/>
      <c r="D85" s="3230"/>
      <c r="E85" s="3230"/>
      <c r="F85" s="3230">
        <v>4680</v>
      </c>
      <c r="G85" s="3230"/>
    </row>
    <row r="86" spans="1:7" s="3219" customFormat="1" ht="14.25" customHeight="1" thickBot="1">
      <c r="A86" s="3238" t="s">
        <v>110</v>
      </c>
      <c r="B86" s="3240" t="s">
        <v>3074</v>
      </c>
      <c r="C86" s="3241">
        <v>16610</v>
      </c>
      <c r="D86" s="3241">
        <v>16540</v>
      </c>
      <c r="E86" s="3241">
        <v>18850</v>
      </c>
      <c r="F86" s="3241"/>
      <c r="G86" s="3241">
        <v>11220</v>
      </c>
    </row>
    <row r="87" spans="1:7" s="3219" customFormat="1" ht="14.25" customHeight="1">
      <c r="A87" s="3235" t="s">
        <v>303</v>
      </c>
      <c r="B87" s="3226" t="s">
        <v>3075</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2954</v>
      </c>
      <c r="C113" s="3230">
        <v>15520</v>
      </c>
      <c r="D113" s="3230">
        <v>15450</v>
      </c>
      <c r="E113" s="3230"/>
      <c r="F113" s="3230"/>
      <c r="G113" s="3243">
        <v>10210</v>
      </c>
    </row>
    <row r="114" spans="1:7" s="3219" customFormat="1" ht="14.25" customHeight="1">
      <c r="A114" s="3230" t="s">
        <v>303</v>
      </c>
      <c r="B114" s="3230" t="s">
        <v>2961</v>
      </c>
      <c r="C114" s="3230">
        <v>13110</v>
      </c>
      <c r="D114" s="3230">
        <v>13050</v>
      </c>
      <c r="E114" s="3230"/>
      <c r="F114" s="3230"/>
      <c r="G114" s="3243">
        <v>8620</v>
      </c>
    </row>
    <row r="115" spans="1:7" s="3219" customFormat="1" ht="14.25" customHeight="1">
      <c r="A115" s="3230" t="s">
        <v>303</v>
      </c>
      <c r="B115" s="3230" t="s">
        <v>2967</v>
      </c>
      <c r="C115" s="3230">
        <v>12460</v>
      </c>
      <c r="D115" s="3230">
        <v>12390</v>
      </c>
      <c r="E115" s="3230"/>
      <c r="F115" s="3230"/>
      <c r="G115" s="3243">
        <v>8190</v>
      </c>
    </row>
    <row r="116" spans="1:7" s="3219" customFormat="1" ht="14.25" customHeight="1">
      <c r="A116" s="3230" t="s">
        <v>303</v>
      </c>
      <c r="B116" s="3230" t="s">
        <v>2974</v>
      </c>
      <c r="C116" s="3230">
        <v>13580</v>
      </c>
      <c r="D116" s="3230">
        <v>13520</v>
      </c>
      <c r="E116" s="3230"/>
      <c r="F116" s="3230"/>
      <c r="G116" s="3243">
        <v>8930</v>
      </c>
    </row>
    <row r="117" spans="1:7" s="3219" customFormat="1" ht="14.25" customHeight="1">
      <c r="A117" s="3230" t="s">
        <v>303</v>
      </c>
      <c r="B117" s="3230" t="s">
        <v>2981</v>
      </c>
      <c r="C117" s="3230">
        <v>17120</v>
      </c>
      <c r="D117" s="3230">
        <v>17040</v>
      </c>
      <c r="E117" s="3230"/>
      <c r="F117" s="3230"/>
      <c r="G117" s="3243">
        <v>11260</v>
      </c>
    </row>
    <row r="118" spans="1:7" s="3219" customFormat="1" ht="14.25" customHeight="1">
      <c r="A118" s="3230" t="s">
        <v>303</v>
      </c>
      <c r="B118" s="3230" t="s">
        <v>2986</v>
      </c>
      <c r="C118" s="3230">
        <v>14860</v>
      </c>
      <c r="D118" s="3230">
        <v>14790</v>
      </c>
      <c r="E118" s="3230"/>
      <c r="F118" s="3230"/>
      <c r="G118" s="3243">
        <v>9780</v>
      </c>
    </row>
    <row r="119" spans="1:7" s="3219" customFormat="1" ht="14.25" customHeight="1">
      <c r="A119" s="3230" t="s">
        <v>303</v>
      </c>
      <c r="B119" s="3230" t="s">
        <v>2990</v>
      </c>
      <c r="C119" s="3230">
        <v>16470</v>
      </c>
      <c r="D119" s="3230">
        <v>16400</v>
      </c>
      <c r="E119" s="3230"/>
      <c r="F119" s="3230"/>
      <c r="G119" s="3243">
        <v>10840</v>
      </c>
    </row>
    <row r="120" spans="1:7" s="3219" customFormat="1" ht="14.25" customHeight="1">
      <c r="A120" s="3230" t="s">
        <v>303</v>
      </c>
      <c r="B120" s="3230" t="s">
        <v>3076</v>
      </c>
      <c r="C120" s="3230"/>
      <c r="D120" s="3230"/>
      <c r="E120" s="3230"/>
      <c r="F120" s="3230">
        <v>4160</v>
      </c>
      <c r="G120" s="3243"/>
    </row>
    <row r="121" spans="1:7" s="3219" customFormat="1" ht="14.25" customHeight="1">
      <c r="A121" s="3230" t="s">
        <v>303</v>
      </c>
      <c r="B121" s="3230" t="s">
        <v>3077</v>
      </c>
      <c r="C121" s="3230"/>
      <c r="D121" s="3230"/>
      <c r="E121" s="3230"/>
      <c r="F121" s="3230">
        <v>3880</v>
      </c>
      <c r="G121" s="3243"/>
    </row>
    <row r="122" spans="1:7" s="3219" customFormat="1" ht="14.25" customHeight="1">
      <c r="A122" s="3230" t="s">
        <v>303</v>
      </c>
      <c r="B122" s="3230" t="s">
        <v>3078</v>
      </c>
      <c r="C122" s="3230">
        <v>13750</v>
      </c>
      <c r="D122" s="3230">
        <v>13680</v>
      </c>
      <c r="E122" s="3230">
        <v>16460</v>
      </c>
      <c r="F122" s="3230">
        <v>2880</v>
      </c>
      <c r="G122" s="3243">
        <v>9040</v>
      </c>
    </row>
    <row r="123" spans="1:7" s="3219" customFormat="1" ht="14.25" customHeight="1">
      <c r="A123" s="3230" t="s">
        <v>303</v>
      </c>
      <c r="B123" s="3230" t="s">
        <v>3009</v>
      </c>
      <c r="C123" s="3230">
        <v>13590</v>
      </c>
      <c r="D123" s="3230">
        <v>13520</v>
      </c>
      <c r="E123" s="3230">
        <v>16290</v>
      </c>
      <c r="F123" s="3230">
        <v>2790</v>
      </c>
      <c r="G123" s="3243">
        <v>8930</v>
      </c>
    </row>
    <row r="124" spans="1:7" s="3219" customFormat="1" ht="14.25" customHeight="1">
      <c r="A124" s="3230" t="s">
        <v>303</v>
      </c>
      <c r="B124" s="3230" t="s">
        <v>3014</v>
      </c>
      <c r="C124" s="3230">
        <v>13400</v>
      </c>
      <c r="D124" s="3230">
        <v>13320</v>
      </c>
      <c r="E124" s="3230">
        <v>16100</v>
      </c>
      <c r="F124" s="3230">
        <v>2320</v>
      </c>
      <c r="G124" s="3243">
        <v>8800</v>
      </c>
    </row>
    <row r="125" spans="1:7" s="3219" customFormat="1" ht="14.25" customHeight="1">
      <c r="A125" s="3230" t="s">
        <v>303</v>
      </c>
      <c r="B125" s="3230" t="s">
        <v>3019</v>
      </c>
      <c r="C125" s="3230">
        <v>12860</v>
      </c>
      <c r="D125" s="3230">
        <v>12790</v>
      </c>
      <c r="E125" s="3230">
        <v>15370</v>
      </c>
      <c r="F125" s="3230">
        <v>2280</v>
      </c>
      <c r="G125" s="3243">
        <v>8450</v>
      </c>
    </row>
    <row r="126" spans="1:7" s="3219" customFormat="1" ht="14.25" customHeight="1" thickBot="1">
      <c r="A126" s="3244" t="s">
        <v>303</v>
      </c>
      <c r="B126" s="3237" t="s">
        <v>3024</v>
      </c>
      <c r="C126" s="3237">
        <v>12960</v>
      </c>
      <c r="D126" s="3237">
        <v>12890</v>
      </c>
      <c r="E126" s="3237">
        <v>15530</v>
      </c>
      <c r="F126" s="3237">
        <v>2910</v>
      </c>
      <c r="G126" s="3245">
        <v>8520</v>
      </c>
    </row>
    <row r="127" spans="1:7" s="3219" customFormat="1" ht="14.25" customHeight="1">
      <c r="A127" s="3235" t="s">
        <v>29</v>
      </c>
      <c r="B127" s="3226" t="s">
        <v>3079</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3080</v>
      </c>
      <c r="C148" s="3230">
        <v>10370</v>
      </c>
      <c r="D148" s="3230">
        <v>10310</v>
      </c>
      <c r="E148" s="3230">
        <v>12970</v>
      </c>
      <c r="F148" s="3230"/>
      <c r="G148" s="3230">
        <v>6630</v>
      </c>
    </row>
    <row r="149" spans="1:7" s="3219" customFormat="1" ht="14.25" customHeight="1">
      <c r="A149" s="3230" t="s">
        <v>29</v>
      </c>
      <c r="B149" s="3230" t="s">
        <v>3081</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2955</v>
      </c>
      <c r="C153" s="3230">
        <v>10880</v>
      </c>
      <c r="D153" s="3230">
        <v>10820</v>
      </c>
      <c r="E153" s="3230">
        <v>13660</v>
      </c>
      <c r="F153" s="3230">
        <v>2260</v>
      </c>
      <c r="G153" s="3230">
        <v>6970</v>
      </c>
    </row>
    <row r="154" spans="1:7" s="3219" customFormat="1" ht="14.25" customHeight="1">
      <c r="A154" s="3230" t="s">
        <v>29</v>
      </c>
      <c r="B154" s="3230" t="s">
        <v>3082</v>
      </c>
      <c r="C154" s="3230">
        <v>11220</v>
      </c>
      <c r="D154" s="3230">
        <v>11160</v>
      </c>
      <c r="E154" s="3230">
        <v>14130</v>
      </c>
      <c r="F154" s="3230">
        <v>2230</v>
      </c>
      <c r="G154" s="3230">
        <v>7180</v>
      </c>
    </row>
    <row r="155" spans="1:7" s="3219" customFormat="1" ht="14.25" customHeight="1">
      <c r="A155" s="3230" t="s">
        <v>29</v>
      </c>
      <c r="B155" s="3230" t="s">
        <v>2968</v>
      </c>
      <c r="C155" s="3230">
        <v>10430</v>
      </c>
      <c r="D155" s="3230">
        <v>10380</v>
      </c>
      <c r="E155" s="3230">
        <v>13140</v>
      </c>
      <c r="F155" s="3230">
        <v>2080</v>
      </c>
      <c r="G155" s="3230">
        <v>6650</v>
      </c>
    </row>
    <row r="156" spans="1:7" s="3219" customFormat="1" ht="14.25" customHeight="1">
      <c r="A156" s="3230" t="s">
        <v>29</v>
      </c>
      <c r="B156" s="3230" t="s">
        <v>3083</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3084</v>
      </c>
      <c r="C160" s="3230">
        <v>11180</v>
      </c>
      <c r="D160" s="3230">
        <v>11140</v>
      </c>
      <c r="E160" s="3230">
        <v>14050</v>
      </c>
      <c r="F160" s="3230">
        <v>2270</v>
      </c>
      <c r="G160" s="3230">
        <v>7170</v>
      </c>
    </row>
    <row r="161" spans="1:7" s="3219" customFormat="1" ht="14.25" customHeight="1">
      <c r="A161" s="3230" t="s">
        <v>29</v>
      </c>
      <c r="B161" s="3230" t="s">
        <v>3000</v>
      </c>
      <c r="C161" s="3230">
        <v>11160</v>
      </c>
      <c r="D161" s="3230">
        <v>11120</v>
      </c>
      <c r="E161" s="3230">
        <v>14020</v>
      </c>
      <c r="F161" s="3230">
        <v>2150</v>
      </c>
      <c r="G161" s="3230">
        <v>7160</v>
      </c>
    </row>
    <row r="162" spans="1:7" s="3219" customFormat="1" ht="14.25" customHeight="1">
      <c r="A162" s="3230" t="s">
        <v>29</v>
      </c>
      <c r="B162" s="3230" t="s">
        <v>3005</v>
      </c>
      <c r="C162" s="3230">
        <v>9620</v>
      </c>
      <c r="D162" s="3230">
        <v>9570</v>
      </c>
      <c r="E162" s="3230">
        <v>12320</v>
      </c>
      <c r="F162" s="3230">
        <v>2010</v>
      </c>
      <c r="G162" s="3230">
        <v>6160</v>
      </c>
    </row>
    <row r="163" spans="1:7" s="3219" customFormat="1" ht="14.25" customHeight="1">
      <c r="A163" s="3230" t="s">
        <v>29</v>
      </c>
      <c r="B163" s="3230" t="s">
        <v>3010</v>
      </c>
      <c r="C163" s="3230">
        <v>9320</v>
      </c>
      <c r="D163" s="3230">
        <v>9270</v>
      </c>
      <c r="E163" s="3230">
        <v>11790</v>
      </c>
      <c r="F163" s="3230">
        <v>1920</v>
      </c>
      <c r="G163" s="3230">
        <v>5960</v>
      </c>
    </row>
    <row r="164" spans="1:7" s="3219" customFormat="1" ht="14.25" customHeight="1">
      <c r="A164" s="3230" t="s">
        <v>29</v>
      </c>
      <c r="B164" s="3230" t="s">
        <v>3015</v>
      </c>
      <c r="C164" s="3230"/>
      <c r="D164" s="3230"/>
      <c r="E164" s="3230"/>
      <c r="F164" s="3230">
        <v>1980</v>
      </c>
      <c r="G164" s="3230"/>
    </row>
    <row r="165" spans="1:7" s="3219" customFormat="1" ht="14.25" customHeight="1">
      <c r="A165" s="3230" t="s">
        <v>29</v>
      </c>
      <c r="B165" s="3230" t="s">
        <v>3085</v>
      </c>
      <c r="C165" s="3230">
        <v>11060</v>
      </c>
      <c r="D165" s="3230">
        <v>11030</v>
      </c>
      <c r="E165" s="3230">
        <v>13850</v>
      </c>
      <c r="F165" s="3230">
        <v>2170</v>
      </c>
      <c r="G165" s="3230">
        <v>7090</v>
      </c>
    </row>
    <row r="166" spans="1:7" s="3219" customFormat="1" ht="14.25" customHeight="1">
      <c r="A166" s="3230" t="s">
        <v>29</v>
      </c>
      <c r="B166" s="3230" t="s">
        <v>3025</v>
      </c>
      <c r="C166" s="3230">
        <v>11050</v>
      </c>
      <c r="D166" s="3230">
        <v>11010</v>
      </c>
      <c r="E166" s="3230">
        <v>13920</v>
      </c>
      <c r="F166" s="3230">
        <v>2140</v>
      </c>
      <c r="G166" s="3230">
        <v>7080</v>
      </c>
    </row>
    <row r="167" spans="1:7" s="3219" customFormat="1" ht="14.25" customHeight="1">
      <c r="A167" s="3230" t="s">
        <v>29</v>
      </c>
      <c r="B167" s="3230" t="s">
        <v>3029</v>
      </c>
      <c r="C167" s="3230">
        <v>10930</v>
      </c>
      <c r="D167" s="3230">
        <v>10890</v>
      </c>
      <c r="E167" s="3230">
        <v>13790</v>
      </c>
      <c r="F167" s="3230">
        <v>2010</v>
      </c>
      <c r="G167" s="3230">
        <v>7000</v>
      </c>
    </row>
    <row r="168" spans="1:7" s="3219" customFormat="1" ht="14.25" customHeight="1">
      <c r="A168" s="3230" t="s">
        <v>29</v>
      </c>
      <c r="B168" s="3230" t="s">
        <v>3034</v>
      </c>
      <c r="C168" s="3230">
        <v>9420</v>
      </c>
      <c r="D168" s="3230">
        <v>9380</v>
      </c>
      <c r="E168" s="3230">
        <v>11970</v>
      </c>
      <c r="F168" s="3230"/>
      <c r="G168" s="3230">
        <v>6040</v>
      </c>
    </row>
    <row r="169" spans="1:7" s="3219" customFormat="1" ht="14.25" customHeight="1">
      <c r="A169" s="3230" t="s">
        <v>29</v>
      </c>
      <c r="B169" s="3230" t="s">
        <v>3086</v>
      </c>
      <c r="C169" s="3230"/>
      <c r="D169" s="3230"/>
      <c r="E169" s="3230"/>
      <c r="F169" s="3230">
        <v>2880</v>
      </c>
      <c r="G169" s="3230"/>
    </row>
    <row r="170" spans="1:7" s="3219" customFormat="1" ht="14.25" customHeight="1">
      <c r="A170" s="3230" t="s">
        <v>29</v>
      </c>
      <c r="B170" s="3230" t="s">
        <v>3042</v>
      </c>
      <c r="C170" s="3230"/>
      <c r="D170" s="3230"/>
      <c r="E170" s="3230"/>
      <c r="F170" s="3230">
        <v>2880</v>
      </c>
      <c r="G170" s="3230"/>
    </row>
    <row r="171" spans="1:7" s="3219" customFormat="1" ht="14.25" customHeight="1">
      <c r="A171" s="3230" t="s">
        <v>29</v>
      </c>
      <c r="B171" s="3230" t="s">
        <v>3045</v>
      </c>
      <c r="C171" s="3230"/>
      <c r="D171" s="3230"/>
      <c r="E171" s="3230"/>
      <c r="F171" s="3230">
        <v>2880</v>
      </c>
      <c r="G171" s="3230"/>
    </row>
    <row r="172" spans="1:7" s="3219" customFormat="1" ht="14.25" customHeight="1">
      <c r="A172" s="3230" t="s">
        <v>29</v>
      </c>
      <c r="B172" s="3230" t="s">
        <v>3047</v>
      </c>
      <c r="C172" s="3230"/>
      <c r="D172" s="3230"/>
      <c r="E172" s="3230"/>
      <c r="F172" s="3230">
        <v>2880</v>
      </c>
      <c r="G172" s="3230"/>
    </row>
    <row r="173" spans="1:7" s="3219" customFormat="1" ht="14.25" customHeight="1">
      <c r="A173" s="3230" t="s">
        <v>29</v>
      </c>
      <c r="B173" s="3230" t="s">
        <v>3049</v>
      </c>
      <c r="C173" s="3230"/>
      <c r="D173" s="3230"/>
      <c r="E173" s="3230"/>
      <c r="F173" s="3230">
        <v>2150</v>
      </c>
      <c r="G173" s="3230"/>
    </row>
    <row r="174" spans="1:7" s="3219" customFormat="1" ht="14.25" customHeight="1">
      <c r="A174" s="3230" t="s">
        <v>29</v>
      </c>
      <c r="B174" s="3230" t="s">
        <v>3051</v>
      </c>
      <c r="C174" s="3230"/>
      <c r="D174" s="3230"/>
      <c r="E174" s="3230"/>
      <c r="F174" s="3230">
        <v>2030</v>
      </c>
      <c r="G174" s="3230"/>
    </row>
    <row r="175" spans="1:7" s="3219" customFormat="1" ht="14.25" customHeight="1">
      <c r="A175" s="3230" t="s">
        <v>29</v>
      </c>
      <c r="B175" s="3230" t="s">
        <v>3053</v>
      </c>
      <c r="C175" s="3230"/>
      <c r="D175" s="3230"/>
      <c r="E175" s="3230"/>
      <c r="F175" s="3230">
        <v>2780</v>
      </c>
      <c r="G175" s="3230"/>
    </row>
    <row r="176" spans="1:7" s="3219" customFormat="1" ht="14.25" customHeight="1">
      <c r="A176" s="3230" t="s">
        <v>29</v>
      </c>
      <c r="B176" s="3230" t="s">
        <v>3055</v>
      </c>
      <c r="C176" s="3230"/>
      <c r="D176" s="3230"/>
      <c r="E176" s="3230"/>
      <c r="F176" s="3230">
        <v>2780</v>
      </c>
      <c r="G176" s="3230"/>
    </row>
    <row r="177" spans="1:7" s="3219" customFormat="1" ht="14.25" customHeight="1">
      <c r="A177" s="3230" t="s">
        <v>29</v>
      </c>
      <c r="B177" s="3230" t="s">
        <v>3087</v>
      </c>
      <c r="C177" s="3230"/>
      <c r="D177" s="3230"/>
      <c r="E177" s="3230"/>
      <c r="F177" s="3230">
        <v>2780</v>
      </c>
      <c r="G177" s="3230"/>
    </row>
    <row r="178" spans="1:7" s="3219" customFormat="1" ht="14.25" customHeight="1">
      <c r="A178" s="3230" t="s">
        <v>29</v>
      </c>
      <c r="B178" s="3230" t="s">
        <v>3088</v>
      </c>
      <c r="C178" s="3230"/>
      <c r="D178" s="3230"/>
      <c r="E178" s="3230"/>
      <c r="F178" s="3230">
        <v>2060</v>
      </c>
      <c r="G178" s="3230"/>
    </row>
    <row r="179" spans="1:7" s="3219" customFormat="1" ht="14.25" customHeight="1">
      <c r="A179" s="3230" t="s">
        <v>29</v>
      </c>
      <c r="B179" s="3230" t="s">
        <v>3089</v>
      </c>
      <c r="C179" s="3230"/>
      <c r="D179" s="3230"/>
      <c r="E179" s="3230"/>
      <c r="F179" s="3230">
        <v>2120</v>
      </c>
      <c r="G179" s="3230"/>
    </row>
    <row r="180" spans="1:7" s="3219" customFormat="1" ht="14.25" customHeight="1">
      <c r="A180" s="3230" t="s">
        <v>29</v>
      </c>
      <c r="B180" s="3230" t="s">
        <v>3061</v>
      </c>
      <c r="C180" s="3230"/>
      <c r="D180" s="3230"/>
      <c r="E180" s="3230"/>
      <c r="F180" s="3230">
        <v>2340</v>
      </c>
      <c r="G180" s="3230"/>
    </row>
    <row r="181" spans="1:7" s="3219" customFormat="1" ht="14.25" customHeight="1">
      <c r="A181" s="3230" t="s">
        <v>29</v>
      </c>
      <c r="B181" s="3230" t="s">
        <v>3062</v>
      </c>
      <c r="C181" s="3230"/>
      <c r="D181" s="3230"/>
      <c r="E181" s="3230"/>
      <c r="F181" s="3230">
        <v>2340</v>
      </c>
      <c r="G181" s="3230"/>
    </row>
    <row r="182" spans="1:7" s="3219" customFormat="1" ht="14.25" customHeight="1">
      <c r="A182" s="3230" t="s">
        <v>29</v>
      </c>
      <c r="B182" s="3230" t="s">
        <v>3063</v>
      </c>
      <c r="C182" s="3230"/>
      <c r="D182" s="3230"/>
      <c r="E182" s="3230"/>
      <c r="F182" s="3230">
        <v>2340</v>
      </c>
      <c r="G182" s="3230"/>
    </row>
    <row r="183" spans="1:7" s="3219" customFormat="1" ht="14.25" customHeight="1">
      <c r="A183" s="3230" t="s">
        <v>29</v>
      </c>
      <c r="B183" s="3230" t="s">
        <v>3064</v>
      </c>
      <c r="C183" s="3230"/>
      <c r="D183" s="3230"/>
      <c r="E183" s="3230"/>
      <c r="F183" s="3230">
        <v>2340</v>
      </c>
      <c r="G183" s="3230"/>
    </row>
    <row r="184" spans="1:7" s="3219" customFormat="1" ht="14.25" customHeight="1">
      <c r="A184" s="3230" t="s">
        <v>29</v>
      </c>
      <c r="B184" s="3230" t="s">
        <v>3065</v>
      </c>
      <c r="C184" s="3230"/>
      <c r="D184" s="3230"/>
      <c r="E184" s="3230"/>
      <c r="F184" s="3230">
        <v>2340</v>
      </c>
      <c r="G184" s="3230"/>
    </row>
    <row r="185" spans="1:7" s="3219" customFormat="1" ht="14.25" customHeight="1">
      <c r="A185" s="3230" t="s">
        <v>29</v>
      </c>
      <c r="B185" s="3230" t="s">
        <v>3066</v>
      </c>
      <c r="C185" s="3230"/>
      <c r="D185" s="3230"/>
      <c r="E185" s="3230"/>
      <c r="F185" s="3230">
        <v>2530</v>
      </c>
      <c r="G185" s="3230"/>
    </row>
    <row r="186" spans="1:7" s="3219" customFormat="1" ht="14.25" customHeight="1">
      <c r="A186" s="3230" t="s">
        <v>29</v>
      </c>
      <c r="B186" s="3230" t="s">
        <v>3067</v>
      </c>
      <c r="C186" s="3230"/>
      <c r="D186" s="3230"/>
      <c r="E186" s="3230"/>
      <c r="F186" s="3230">
        <v>2550</v>
      </c>
      <c r="G186" s="3230"/>
    </row>
    <row r="187" spans="1:7" s="3219" customFormat="1" ht="14.25" customHeight="1">
      <c r="A187" s="3230" t="s">
        <v>29</v>
      </c>
      <c r="B187" s="3230" t="s">
        <v>3068</v>
      </c>
      <c r="C187" s="3230"/>
      <c r="D187" s="3230"/>
      <c r="E187" s="3230"/>
      <c r="F187" s="3230">
        <v>2070</v>
      </c>
      <c r="G187" s="3230"/>
    </row>
    <row r="188" spans="1:7" s="3219" customFormat="1" ht="14.25" customHeight="1">
      <c r="A188" s="3230" t="s">
        <v>29</v>
      </c>
      <c r="B188" s="3230" t="s">
        <v>3069</v>
      </c>
      <c r="C188" s="3230"/>
      <c r="D188" s="3230"/>
      <c r="E188" s="3230"/>
      <c r="F188" s="3230">
        <v>2340</v>
      </c>
      <c r="G188" s="3230"/>
    </row>
    <row r="189" spans="1:7" s="3219" customFormat="1" ht="14.25" customHeight="1" thickBot="1">
      <c r="A189" s="3238" t="s">
        <v>29</v>
      </c>
      <c r="B189" s="3241" t="s">
        <v>3070</v>
      </c>
      <c r="C189" s="3241"/>
      <c r="D189" s="3241"/>
      <c r="E189" s="3241"/>
      <c r="F189" s="3241">
        <v>2050</v>
      </c>
      <c r="G189" s="3241"/>
    </row>
    <row r="190" spans="1:7" s="3219" customFormat="1" ht="14.25" customHeight="1">
      <c r="A190" s="3235" t="s">
        <v>304</v>
      </c>
      <c r="B190" s="3226" t="s">
        <v>3090</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3091</v>
      </c>
      <c r="C199" s="3230">
        <v>8690</v>
      </c>
      <c r="D199" s="3230">
        <v>8630</v>
      </c>
      <c r="E199" s="3230">
        <v>11350</v>
      </c>
      <c r="F199" s="3230">
        <v>1600</v>
      </c>
      <c r="G199" s="3243">
        <v>5450</v>
      </c>
    </row>
    <row r="200" spans="1:7" s="3219" customFormat="1" ht="14.25" customHeight="1">
      <c r="A200" s="3230" t="s">
        <v>304</v>
      </c>
      <c r="B200" s="3230" t="s">
        <v>2902</v>
      </c>
      <c r="C200" s="3230"/>
      <c r="D200" s="3230"/>
      <c r="E200" s="3230"/>
      <c r="F200" s="3230">
        <v>1510</v>
      </c>
      <c r="G200" s="3243"/>
    </row>
    <row r="201" spans="1:7" s="3219" customFormat="1" ht="14.25" customHeight="1">
      <c r="A201" s="3230" t="s">
        <v>304</v>
      </c>
      <c r="B201" s="3230" t="s">
        <v>3092</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3093</v>
      </c>
      <c r="C203" s="3230">
        <v>8130</v>
      </c>
      <c r="D203" s="3230">
        <v>8070</v>
      </c>
      <c r="E203" s="3230">
        <v>10820</v>
      </c>
      <c r="F203" s="3230">
        <v>1690</v>
      </c>
      <c r="G203" s="3243">
        <v>5100</v>
      </c>
    </row>
    <row r="204" spans="1:7" s="3219" customFormat="1" ht="14.25" customHeight="1">
      <c r="A204" s="3230" t="s">
        <v>304</v>
      </c>
      <c r="B204" s="3230" t="s">
        <v>2913</v>
      </c>
      <c r="C204" s="3230">
        <v>8350</v>
      </c>
      <c r="D204" s="3230">
        <v>8290</v>
      </c>
      <c r="E204" s="3230">
        <v>11080</v>
      </c>
      <c r="F204" s="3230">
        <v>1450</v>
      </c>
      <c r="G204" s="3243">
        <v>5240</v>
      </c>
    </row>
    <row r="205" spans="1:7" s="3219" customFormat="1" ht="14.25" customHeight="1">
      <c r="A205" s="3230" t="s">
        <v>304</v>
      </c>
      <c r="B205" s="3230" t="s">
        <v>2915</v>
      </c>
      <c r="C205" s="3230">
        <v>7190</v>
      </c>
      <c r="D205" s="3230">
        <v>7130</v>
      </c>
      <c r="E205" s="3230">
        <v>9490</v>
      </c>
      <c r="F205" s="3230">
        <v>1470</v>
      </c>
      <c r="G205" s="3243">
        <v>4510</v>
      </c>
    </row>
    <row r="206" spans="1:7" s="3219" customFormat="1" ht="14.25" customHeight="1">
      <c r="A206" s="3230" t="s">
        <v>304</v>
      </c>
      <c r="B206" s="3230" t="s">
        <v>2918</v>
      </c>
      <c r="C206" s="3230">
        <v>7000</v>
      </c>
      <c r="D206" s="3230">
        <v>6950</v>
      </c>
      <c r="E206" s="3230">
        <v>9170</v>
      </c>
      <c r="F206" s="3230">
        <v>1400</v>
      </c>
      <c r="G206" s="3243">
        <v>4380</v>
      </c>
    </row>
    <row r="207" spans="1:7" s="3219" customFormat="1" ht="14.25" customHeight="1">
      <c r="A207" s="3230" t="s">
        <v>304</v>
      </c>
      <c r="B207" s="3230" t="s">
        <v>2920</v>
      </c>
      <c r="C207" s="3230">
        <v>6950</v>
      </c>
      <c r="D207" s="3230">
        <v>6900</v>
      </c>
      <c r="E207" s="3230">
        <v>9110</v>
      </c>
      <c r="F207" s="3230">
        <v>1790</v>
      </c>
      <c r="G207" s="3243">
        <v>4360</v>
      </c>
    </row>
    <row r="208" spans="1:7" s="3219" customFormat="1" ht="14.25" customHeight="1">
      <c r="A208" s="3230" t="s">
        <v>304</v>
      </c>
      <c r="B208" s="3230" t="s">
        <v>3094</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2930</v>
      </c>
      <c r="C210" s="3230">
        <v>8710</v>
      </c>
      <c r="D210" s="3230">
        <v>8660</v>
      </c>
      <c r="E210" s="3230">
        <v>11440</v>
      </c>
      <c r="F210" s="3230">
        <v>1740</v>
      </c>
      <c r="G210" s="3243">
        <v>5470</v>
      </c>
    </row>
    <row r="211" spans="1:7" s="3219" customFormat="1" ht="14.25" customHeight="1">
      <c r="A211" s="3230" t="s">
        <v>304</v>
      </c>
      <c r="B211" s="3230" t="s">
        <v>3095</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3096</v>
      </c>
      <c r="C214" s="3230">
        <v>8090</v>
      </c>
      <c r="D214" s="3230">
        <v>8030</v>
      </c>
      <c r="E214" s="3230">
        <v>10780</v>
      </c>
      <c r="F214" s="3230">
        <v>1570</v>
      </c>
      <c r="G214" s="3243">
        <v>5070</v>
      </c>
    </row>
    <row r="215" spans="1:7" s="3219" customFormat="1" ht="14.25" customHeight="1">
      <c r="A215" s="3230" t="s">
        <v>304</v>
      </c>
      <c r="B215" s="3230" t="s">
        <v>3097</v>
      </c>
      <c r="C215" s="3230">
        <v>7950</v>
      </c>
      <c r="D215" s="3230">
        <v>7900</v>
      </c>
      <c r="E215" s="3230">
        <v>10560</v>
      </c>
      <c r="F215" s="3230">
        <v>1630</v>
      </c>
      <c r="G215" s="3243">
        <v>4990</v>
      </c>
    </row>
    <row r="216" spans="1:7" s="3219" customFormat="1" ht="14.25" customHeight="1">
      <c r="A216" s="3230" t="s">
        <v>304</v>
      </c>
      <c r="B216" s="3230" t="s">
        <v>3098</v>
      </c>
      <c r="C216" s="3230">
        <v>8490</v>
      </c>
      <c r="D216" s="3230">
        <v>8440</v>
      </c>
      <c r="E216" s="3230">
        <v>11260</v>
      </c>
      <c r="F216" s="3230">
        <v>1690</v>
      </c>
      <c r="G216" s="3243">
        <v>5330</v>
      </c>
    </row>
    <row r="217" spans="1:7" s="3219" customFormat="1" ht="14.25" customHeight="1">
      <c r="A217" s="3230" t="s">
        <v>304</v>
      </c>
      <c r="B217" s="3230" t="s">
        <v>2963</v>
      </c>
      <c r="C217" s="3230">
        <v>8200</v>
      </c>
      <c r="D217" s="3230">
        <v>8150</v>
      </c>
      <c r="E217" s="3230">
        <v>10910</v>
      </c>
      <c r="F217" s="3230">
        <v>1670</v>
      </c>
      <c r="G217" s="3243">
        <v>5150</v>
      </c>
    </row>
    <row r="218" spans="1:7" s="3219" customFormat="1" ht="14.25" customHeight="1">
      <c r="A218" s="3230" t="s">
        <v>304</v>
      </c>
      <c r="B218" s="3230" t="s">
        <v>3099</v>
      </c>
      <c r="C218" s="3230"/>
      <c r="D218" s="3230"/>
      <c r="E218" s="3230"/>
      <c r="F218" s="3230">
        <v>2040</v>
      </c>
      <c r="G218" s="3243"/>
    </row>
    <row r="219" spans="1:7" s="3219" customFormat="1" ht="14.25" customHeight="1">
      <c r="A219" s="3230" t="s">
        <v>304</v>
      </c>
      <c r="B219" s="3230" t="s">
        <v>3100</v>
      </c>
      <c r="C219" s="3230"/>
      <c r="D219" s="3230"/>
      <c r="E219" s="3230"/>
      <c r="F219" s="3230">
        <v>2040</v>
      </c>
      <c r="G219" s="3243"/>
    </row>
    <row r="220" spans="1:7" s="3219" customFormat="1" ht="14.25" customHeight="1">
      <c r="A220" s="3230" t="s">
        <v>304</v>
      </c>
      <c r="B220" s="3230" t="s">
        <v>3101</v>
      </c>
      <c r="C220" s="3230"/>
      <c r="D220" s="3230"/>
      <c r="E220" s="3230"/>
      <c r="F220" s="3230">
        <v>2040</v>
      </c>
      <c r="G220" s="3243"/>
    </row>
    <row r="221" spans="1:7" s="3219" customFormat="1" ht="14.25" customHeight="1">
      <c r="A221" s="3230" t="s">
        <v>304</v>
      </c>
      <c r="B221" s="3230" t="s">
        <v>3102</v>
      </c>
      <c r="C221" s="3230"/>
      <c r="D221" s="3230"/>
      <c r="E221" s="3230"/>
      <c r="F221" s="3230">
        <v>2040</v>
      </c>
      <c r="G221" s="3243"/>
    </row>
    <row r="222" spans="1:7" s="3219" customFormat="1" ht="14.25" customHeight="1">
      <c r="A222" s="3230" t="s">
        <v>304</v>
      </c>
      <c r="B222" s="3230" t="s">
        <v>3103</v>
      </c>
      <c r="C222" s="3230"/>
      <c r="D222" s="3230"/>
      <c r="E222" s="3230"/>
      <c r="F222" s="3230">
        <v>2040</v>
      </c>
      <c r="G222" s="3243"/>
    </row>
    <row r="223" spans="1:7" s="3219" customFormat="1" ht="14.25" customHeight="1">
      <c r="A223" s="3230" t="s">
        <v>304</v>
      </c>
      <c r="B223" s="3230" t="s">
        <v>3104</v>
      </c>
      <c r="C223" s="3230"/>
      <c r="D223" s="3230"/>
      <c r="E223" s="3230"/>
      <c r="F223" s="3230">
        <v>1930</v>
      </c>
      <c r="G223" s="3243"/>
    </row>
    <row r="224" spans="1:7" s="3219" customFormat="1" ht="14.25" customHeight="1">
      <c r="A224" s="3230" t="s">
        <v>304</v>
      </c>
      <c r="B224" s="3230" t="s">
        <v>3105</v>
      </c>
      <c r="C224" s="3230"/>
      <c r="D224" s="3230"/>
      <c r="E224" s="3230"/>
      <c r="F224" s="3230">
        <v>1930</v>
      </c>
      <c r="G224" s="3243"/>
    </row>
    <row r="225" spans="1:7" s="3219" customFormat="1" ht="14.25" customHeight="1">
      <c r="A225" s="3230" t="s">
        <v>304</v>
      </c>
      <c r="B225" s="3230" t="s">
        <v>3106</v>
      </c>
      <c r="C225" s="3230"/>
      <c r="D225" s="3230"/>
      <c r="E225" s="3230"/>
      <c r="F225" s="3230">
        <v>1930</v>
      </c>
      <c r="G225" s="3243"/>
    </row>
    <row r="226" spans="1:7" s="3219" customFormat="1" ht="14.25" customHeight="1">
      <c r="A226" s="3230" t="s">
        <v>304</v>
      </c>
      <c r="B226" s="3230" t="s">
        <v>3107</v>
      </c>
      <c r="C226" s="3230"/>
      <c r="D226" s="3230"/>
      <c r="E226" s="3230"/>
      <c r="F226" s="3230">
        <v>1700</v>
      </c>
      <c r="G226" s="3243"/>
    </row>
    <row r="227" spans="1:7" s="3219" customFormat="1" ht="14.25" customHeight="1">
      <c r="A227" s="3230" t="s">
        <v>304</v>
      </c>
      <c r="B227" s="3230" t="s">
        <v>3108</v>
      </c>
      <c r="C227" s="3230"/>
      <c r="D227" s="3230"/>
      <c r="E227" s="3230"/>
      <c r="F227" s="3230">
        <v>1520</v>
      </c>
      <c r="G227" s="3243"/>
    </row>
    <row r="228" spans="1:7" s="3219" customFormat="1" ht="14.25" customHeight="1">
      <c r="A228" s="3230" t="s">
        <v>304</v>
      </c>
      <c r="B228" s="3230" t="s">
        <v>3109</v>
      </c>
      <c r="C228" s="3230"/>
      <c r="D228" s="3230"/>
      <c r="E228" s="3230"/>
      <c r="F228" s="3230">
        <v>1520</v>
      </c>
      <c r="G228" s="3243"/>
    </row>
    <row r="229" spans="1:7" s="3219" customFormat="1" ht="14.25" customHeight="1">
      <c r="A229" s="3230" t="s">
        <v>304</v>
      </c>
      <c r="B229" s="3230" t="s">
        <v>3026</v>
      </c>
      <c r="C229" s="3230"/>
      <c r="D229" s="3230"/>
      <c r="E229" s="3230"/>
      <c r="F229" s="3230">
        <v>1520</v>
      </c>
      <c r="G229" s="3243"/>
    </row>
    <row r="230" spans="1:7" s="3219" customFormat="1" ht="14.25" customHeight="1">
      <c r="A230" s="3230" t="s">
        <v>304</v>
      </c>
      <c r="B230" s="3230" t="s">
        <v>3110</v>
      </c>
      <c r="C230" s="3230"/>
      <c r="D230" s="3230"/>
      <c r="E230" s="3230"/>
      <c r="F230" s="3230">
        <v>1820</v>
      </c>
      <c r="G230" s="3243"/>
    </row>
    <row r="231" spans="1:7" s="3219" customFormat="1" ht="14.25" customHeight="1">
      <c r="A231" s="3230" t="s">
        <v>304</v>
      </c>
      <c r="B231" s="3230" t="s">
        <v>3111</v>
      </c>
      <c r="C231" s="3230"/>
      <c r="D231" s="3230"/>
      <c r="E231" s="3230"/>
      <c r="F231" s="3230">
        <v>1760</v>
      </c>
      <c r="G231" s="3243"/>
    </row>
    <row r="232" spans="1:7" s="3219" customFormat="1" ht="14.25" customHeight="1">
      <c r="A232" s="3230" t="s">
        <v>304</v>
      </c>
      <c r="B232" s="3230" t="s">
        <v>3112</v>
      </c>
      <c r="C232" s="3230"/>
      <c r="D232" s="3230"/>
      <c r="E232" s="3230"/>
      <c r="F232" s="3230">
        <v>1840</v>
      </c>
      <c r="G232" s="3243"/>
    </row>
    <row r="233" spans="1:7" s="3219" customFormat="1" ht="14.25" customHeight="1" thickBot="1">
      <c r="A233" s="3244" t="s">
        <v>304</v>
      </c>
      <c r="B233" s="3237" t="s">
        <v>3043</v>
      </c>
      <c r="C233" s="3237"/>
      <c r="D233" s="3237"/>
      <c r="E233" s="3237"/>
      <c r="F233" s="3237">
        <v>1770</v>
      </c>
      <c r="G233" s="3245"/>
    </row>
    <row r="234" spans="1:7" s="3219" customFormat="1" ht="14.25" customHeight="1">
      <c r="A234" s="3235" t="s">
        <v>305</v>
      </c>
      <c r="B234" s="3226" t="s">
        <v>3113</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2884</v>
      </c>
      <c r="C238" s="3230">
        <v>6920</v>
      </c>
      <c r="D238" s="3230">
        <v>6890</v>
      </c>
      <c r="E238" s="3230">
        <v>8640</v>
      </c>
      <c r="F238" s="3230">
        <v>1310</v>
      </c>
      <c r="G238" s="3230">
        <v>4230</v>
      </c>
    </row>
    <row r="239" spans="1:7" s="3219" customFormat="1" ht="14.25" customHeight="1">
      <c r="A239" s="3230" t="s">
        <v>305</v>
      </c>
      <c r="B239" s="3230" t="s">
        <v>3114</v>
      </c>
      <c r="C239" s="3230">
        <v>6780</v>
      </c>
      <c r="D239" s="3230">
        <v>6750</v>
      </c>
      <c r="E239" s="3230">
        <v>8440</v>
      </c>
      <c r="F239" s="3230">
        <v>1160</v>
      </c>
      <c r="G239" s="3230">
        <v>4140</v>
      </c>
    </row>
    <row r="240" spans="1:7" s="3219" customFormat="1" ht="14.25" customHeight="1">
      <c r="A240" s="3230" t="s">
        <v>305</v>
      </c>
      <c r="B240" s="3230" t="s">
        <v>3115</v>
      </c>
      <c r="C240" s="3230">
        <v>5420</v>
      </c>
      <c r="D240" s="3230">
        <v>5380</v>
      </c>
      <c r="E240" s="3230">
        <v>6640</v>
      </c>
      <c r="F240" s="3230">
        <v>1020</v>
      </c>
      <c r="G240" s="3230">
        <v>3300</v>
      </c>
    </row>
    <row r="241" spans="1:7" s="3219" customFormat="1" ht="14.25" customHeight="1">
      <c r="A241" s="3230" t="s">
        <v>305</v>
      </c>
      <c r="B241" s="3230" t="s">
        <v>3116</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3117</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3118</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3119</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3120</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3121</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2946</v>
      </c>
      <c r="C258" s="3230">
        <v>6190</v>
      </c>
      <c r="D258" s="3230">
        <v>6160</v>
      </c>
      <c r="E258" s="3230">
        <v>7680</v>
      </c>
      <c r="F258" s="3230">
        <v>1170</v>
      </c>
      <c r="G258" s="3230">
        <v>3780</v>
      </c>
    </row>
    <row r="259" spans="1:7" s="3219" customFormat="1" ht="14.25" customHeight="1">
      <c r="A259" s="3230" t="s">
        <v>305</v>
      </c>
      <c r="B259" s="3230" t="s">
        <v>3122</v>
      </c>
      <c r="C259" s="3230">
        <v>7610</v>
      </c>
      <c r="D259" s="3230">
        <v>7570</v>
      </c>
      <c r="E259" s="3230">
        <v>9350</v>
      </c>
      <c r="F259" s="3230">
        <v>1350</v>
      </c>
      <c r="G259" s="3230">
        <v>4650</v>
      </c>
    </row>
    <row r="260" spans="1:7" s="3219" customFormat="1" ht="14.25" customHeight="1">
      <c r="A260" s="3230" t="s">
        <v>305</v>
      </c>
      <c r="B260" s="3230" t="s">
        <v>3123</v>
      </c>
      <c r="C260" s="3230">
        <v>6920</v>
      </c>
      <c r="D260" s="3230">
        <v>6880</v>
      </c>
      <c r="E260" s="3230">
        <v>8380</v>
      </c>
      <c r="F260" s="3230">
        <v>1160</v>
      </c>
      <c r="G260" s="3230">
        <v>4220</v>
      </c>
    </row>
    <row r="261" spans="1:7" s="3219" customFormat="1" ht="14.25" customHeight="1">
      <c r="A261" s="3230" t="s">
        <v>305</v>
      </c>
      <c r="B261" s="3230" t="s">
        <v>3124</v>
      </c>
      <c r="C261" s="3230">
        <v>6850</v>
      </c>
      <c r="D261" s="3230">
        <v>6810</v>
      </c>
      <c r="E261" s="3230">
        <v>8290</v>
      </c>
      <c r="F261" s="3230">
        <v>1130</v>
      </c>
      <c r="G261" s="3230">
        <v>4180</v>
      </c>
    </row>
    <row r="262" spans="1:7" s="3219" customFormat="1" ht="14.25" customHeight="1">
      <c r="A262" s="3230" t="s">
        <v>305</v>
      </c>
      <c r="B262" s="3230" t="s">
        <v>3125</v>
      </c>
      <c r="C262" s="3230">
        <v>5860</v>
      </c>
      <c r="D262" s="3230">
        <v>5820</v>
      </c>
      <c r="E262" s="3230">
        <v>7640</v>
      </c>
      <c r="F262" s="3230">
        <v>1070</v>
      </c>
      <c r="G262" s="3230">
        <v>3570</v>
      </c>
    </row>
    <row r="263" spans="1:7" s="3219" customFormat="1" ht="14.25" customHeight="1">
      <c r="A263" s="3230" t="s">
        <v>305</v>
      </c>
      <c r="B263" s="3230" t="s">
        <v>3126</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3127</v>
      </c>
      <c r="C265" s="3230"/>
      <c r="D265" s="3230"/>
      <c r="E265" s="3230"/>
      <c r="F265" s="3230">
        <v>1500</v>
      </c>
      <c r="G265" s="3230"/>
    </row>
    <row r="266" spans="1:7" s="3219" customFormat="1" ht="14.25" customHeight="1">
      <c r="A266" s="3230" t="s">
        <v>305</v>
      </c>
      <c r="B266" s="3230" t="s">
        <v>3128</v>
      </c>
      <c r="C266" s="3230"/>
      <c r="D266" s="3230"/>
      <c r="E266" s="3230"/>
      <c r="F266" s="3230">
        <v>1500</v>
      </c>
      <c r="G266" s="3230"/>
    </row>
    <row r="267" spans="1:7" s="3219" customFormat="1" ht="14.25" customHeight="1">
      <c r="A267" s="3230" t="s">
        <v>305</v>
      </c>
      <c r="B267" s="3230" t="s">
        <v>3129</v>
      </c>
      <c r="C267" s="3230"/>
      <c r="D267" s="3230"/>
      <c r="E267" s="3230"/>
      <c r="F267" s="3230">
        <v>1500</v>
      </c>
      <c r="G267" s="3230"/>
    </row>
    <row r="268" spans="1:7" s="3219" customFormat="1" ht="14.25" customHeight="1">
      <c r="A268" s="3230" t="s">
        <v>305</v>
      </c>
      <c r="B268" s="3230" t="s">
        <v>3130</v>
      </c>
      <c r="C268" s="3230"/>
      <c r="D268" s="3230"/>
      <c r="E268" s="3230"/>
      <c r="F268" s="3230">
        <v>1290</v>
      </c>
      <c r="G268" s="3230"/>
    </row>
    <row r="269" spans="1:7" s="3219" customFormat="1" ht="14.25" customHeight="1">
      <c r="A269" s="3230" t="s">
        <v>305</v>
      </c>
      <c r="B269" s="3230" t="s">
        <v>3131</v>
      </c>
      <c r="C269" s="3230"/>
      <c r="D269" s="3230"/>
      <c r="E269" s="3230"/>
      <c r="F269" s="3230">
        <v>1150</v>
      </c>
      <c r="G269" s="3230"/>
    </row>
    <row r="270" spans="1:7" s="3219" customFormat="1" ht="14.25" customHeight="1">
      <c r="A270" s="3230" t="s">
        <v>305</v>
      </c>
      <c r="B270" s="3230" t="s">
        <v>3132</v>
      </c>
      <c r="C270" s="3230"/>
      <c r="D270" s="3230"/>
      <c r="E270" s="3230"/>
      <c r="F270" s="3230">
        <v>1380</v>
      </c>
      <c r="G270" s="3230"/>
    </row>
    <row r="271" spans="1:7" s="3219" customFormat="1" ht="14.25" customHeight="1">
      <c r="A271" s="3230" t="s">
        <v>305</v>
      </c>
      <c r="B271" s="3230" t="s">
        <v>3133</v>
      </c>
      <c r="C271" s="3230"/>
      <c r="D271" s="3230"/>
      <c r="E271" s="3230"/>
      <c r="F271" s="3230">
        <v>1460</v>
      </c>
      <c r="G271" s="3230"/>
    </row>
    <row r="272" spans="1:7" s="3219" customFormat="1" ht="14.25" customHeight="1">
      <c r="A272" s="3230" t="s">
        <v>305</v>
      </c>
      <c r="B272" s="3230" t="s">
        <v>3134</v>
      </c>
      <c r="C272" s="3230"/>
      <c r="D272" s="3230"/>
      <c r="E272" s="3230"/>
      <c r="F272" s="3230">
        <v>1460</v>
      </c>
      <c r="G272" s="3230"/>
    </row>
    <row r="273" spans="1:7" s="3219" customFormat="1" ht="14.25" customHeight="1">
      <c r="A273" s="3230" t="s">
        <v>305</v>
      </c>
      <c r="B273" s="3230" t="s">
        <v>3027</v>
      </c>
      <c r="C273" s="3230"/>
      <c r="D273" s="3230"/>
      <c r="E273" s="3230"/>
      <c r="F273" s="3230">
        <v>1490</v>
      </c>
      <c r="G273" s="3230"/>
    </row>
    <row r="274" spans="1:7" s="3219" customFormat="1" ht="14.25" customHeight="1">
      <c r="A274" s="3230" t="s">
        <v>305</v>
      </c>
      <c r="B274" s="3230" t="s">
        <v>3135</v>
      </c>
      <c r="C274" s="3230"/>
      <c r="D274" s="3230"/>
      <c r="E274" s="3230"/>
      <c r="F274" s="3230">
        <v>1490</v>
      </c>
      <c r="G274" s="3230"/>
    </row>
    <row r="275" spans="1:7" s="3219" customFormat="1" ht="14.25" customHeight="1">
      <c r="A275" s="3230" t="s">
        <v>305</v>
      </c>
      <c r="B275" s="3230" t="s">
        <v>3136</v>
      </c>
      <c r="C275" s="3230"/>
      <c r="D275" s="3230"/>
      <c r="E275" s="3230"/>
      <c r="F275" s="3230">
        <v>1220</v>
      </c>
      <c r="G275" s="3230"/>
    </row>
    <row r="276" spans="1:7" s="3219" customFormat="1" ht="14.25" customHeight="1" thickBot="1">
      <c r="A276" s="3238" t="s">
        <v>305</v>
      </c>
      <c r="B276" s="3240" t="s">
        <v>3137</v>
      </c>
      <c r="C276" s="3241"/>
      <c r="D276" s="3241"/>
      <c r="E276" s="3241"/>
      <c r="F276" s="3241">
        <v>1380</v>
      </c>
      <c r="G276" s="3241"/>
    </row>
    <row r="277" spans="1:7" s="3219" customFormat="1" ht="14.25" customHeight="1">
      <c r="A277" s="3235" t="s">
        <v>306</v>
      </c>
      <c r="B277" s="3226" t="s">
        <v>3138</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3139</v>
      </c>
      <c r="C279" s="3230">
        <v>4760</v>
      </c>
      <c r="D279" s="3230">
        <v>4720</v>
      </c>
      <c r="E279" s="3230">
        <v>5540</v>
      </c>
      <c r="F279" s="3230">
        <v>810</v>
      </c>
      <c r="G279" s="3243">
        <v>2850</v>
      </c>
    </row>
    <row r="280" spans="1:7" s="3219" customFormat="1" ht="14.25" customHeight="1">
      <c r="A280" s="3230" t="s">
        <v>306</v>
      </c>
      <c r="B280" s="3230" t="s">
        <v>3140</v>
      </c>
      <c r="C280" s="3230">
        <v>4010</v>
      </c>
      <c r="D280" s="3230">
        <v>3950</v>
      </c>
      <c r="E280" s="3230">
        <v>4710</v>
      </c>
      <c r="F280" s="3230">
        <v>800</v>
      </c>
      <c r="G280" s="3243">
        <v>2390</v>
      </c>
    </row>
    <row r="281" spans="1:7" s="3219" customFormat="1" ht="14.25" customHeight="1">
      <c r="A281" s="3230" t="s">
        <v>306</v>
      </c>
      <c r="B281" s="3230" t="s">
        <v>3141</v>
      </c>
      <c r="C281" s="3230">
        <v>4480</v>
      </c>
      <c r="D281" s="3230">
        <v>4420</v>
      </c>
      <c r="E281" s="3230">
        <v>5230</v>
      </c>
      <c r="F281" s="3230">
        <v>870</v>
      </c>
      <c r="G281" s="3243">
        <v>2660</v>
      </c>
    </row>
    <row r="282" spans="1:7" s="3219" customFormat="1" ht="14.25" customHeight="1">
      <c r="A282" s="3230" t="s">
        <v>306</v>
      </c>
      <c r="B282" s="3230" t="s">
        <v>3142</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3143</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3144</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2919</v>
      </c>
      <c r="C293" s="3230">
        <v>5320</v>
      </c>
      <c r="D293" s="3230">
        <v>5270</v>
      </c>
      <c r="E293" s="3230">
        <v>6160</v>
      </c>
      <c r="F293" s="3230">
        <v>990</v>
      </c>
      <c r="G293" s="3243">
        <v>3170</v>
      </c>
    </row>
    <row r="294" spans="1:7" s="3219" customFormat="1" ht="14.25" customHeight="1">
      <c r="A294" s="3230" t="s">
        <v>306</v>
      </c>
      <c r="B294" s="3230" t="s">
        <v>3145</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2938</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3146</v>
      </c>
      <c r="C302" s="3230">
        <v>5520</v>
      </c>
      <c r="D302" s="3230">
        <v>5470</v>
      </c>
      <c r="E302" s="3230">
        <v>6410</v>
      </c>
      <c r="F302" s="3230">
        <v>950</v>
      </c>
      <c r="G302" s="3243">
        <v>3300</v>
      </c>
    </row>
    <row r="303" spans="1:7" s="3219" customFormat="1" ht="14.25" customHeight="1">
      <c r="A303" s="3230" t="s">
        <v>306</v>
      </c>
      <c r="B303" s="3230" t="s">
        <v>2958</v>
      </c>
      <c r="C303" s="3230">
        <v>5630</v>
      </c>
      <c r="D303" s="3230">
        <v>5590</v>
      </c>
      <c r="E303" s="3230">
        <v>6550</v>
      </c>
      <c r="F303" s="3230">
        <v>1010</v>
      </c>
      <c r="G303" s="3243">
        <v>3370</v>
      </c>
    </row>
    <row r="304" spans="1:7" s="3219" customFormat="1" ht="14.25" customHeight="1">
      <c r="A304" s="3230" t="s">
        <v>306</v>
      </c>
      <c r="B304" s="3230" t="s">
        <v>2965</v>
      </c>
      <c r="C304" s="3230">
        <v>5680</v>
      </c>
      <c r="D304" s="3230">
        <v>5620</v>
      </c>
      <c r="E304" s="3230">
        <v>6620</v>
      </c>
      <c r="F304" s="3230">
        <v>1050</v>
      </c>
      <c r="G304" s="3243">
        <v>3390</v>
      </c>
    </row>
    <row r="305" spans="1:7" s="3219" customFormat="1" ht="14.25" customHeight="1">
      <c r="A305" s="3230" t="s">
        <v>306</v>
      </c>
      <c r="B305" s="3230" t="s">
        <v>2971</v>
      </c>
      <c r="C305" s="3230">
        <v>5590</v>
      </c>
      <c r="D305" s="3230">
        <v>5530</v>
      </c>
      <c r="E305" s="3230">
        <v>6460</v>
      </c>
      <c r="F305" s="3230">
        <v>900</v>
      </c>
      <c r="G305" s="3243">
        <v>3340</v>
      </c>
    </row>
    <row r="306" spans="1:7" s="3219" customFormat="1" ht="14.25" customHeight="1">
      <c r="A306" s="3230" t="s">
        <v>306</v>
      </c>
      <c r="B306" s="3230" t="s">
        <v>3147</v>
      </c>
      <c r="C306" s="3230">
        <v>5560</v>
      </c>
      <c r="D306" s="3230">
        <v>5510</v>
      </c>
      <c r="E306" s="3230">
        <v>6440</v>
      </c>
      <c r="F306" s="3230">
        <v>900</v>
      </c>
      <c r="G306" s="3243">
        <v>3320</v>
      </c>
    </row>
    <row r="307" spans="1:7" s="3219" customFormat="1" ht="14.25" customHeight="1">
      <c r="A307" s="3230" t="s">
        <v>306</v>
      </c>
      <c r="B307" s="3230" t="s">
        <v>2983</v>
      </c>
      <c r="C307" s="3230">
        <v>5650</v>
      </c>
      <c r="D307" s="3230">
        <v>5600</v>
      </c>
      <c r="E307" s="3230">
        <v>6590</v>
      </c>
      <c r="F307" s="3230">
        <v>930</v>
      </c>
      <c r="G307" s="3243">
        <v>3380</v>
      </c>
    </row>
    <row r="308" spans="1:7" s="3219" customFormat="1" ht="14.25" customHeight="1">
      <c r="A308" s="3230" t="s">
        <v>306</v>
      </c>
      <c r="B308" s="3230" t="s">
        <v>3148</v>
      </c>
      <c r="C308" s="3230">
        <v>5620</v>
      </c>
      <c r="D308" s="3230">
        <v>5580</v>
      </c>
      <c r="E308" s="3230">
        <v>6540</v>
      </c>
      <c r="F308" s="3230">
        <v>910</v>
      </c>
      <c r="G308" s="3243">
        <v>3370</v>
      </c>
    </row>
    <row r="309" spans="1:7" s="3219" customFormat="1" ht="14.25" customHeight="1">
      <c r="A309" s="3230" t="s">
        <v>306</v>
      </c>
      <c r="B309" s="3230" t="s">
        <v>3149</v>
      </c>
      <c r="C309" s="3230">
        <v>5060</v>
      </c>
      <c r="D309" s="3230">
        <v>5020</v>
      </c>
      <c r="E309" s="3230">
        <v>6370</v>
      </c>
      <c r="F309" s="3230">
        <v>800</v>
      </c>
      <c r="G309" s="3243">
        <v>3020</v>
      </c>
    </row>
    <row r="310" spans="1:7" s="3219" customFormat="1" ht="14.25" customHeight="1">
      <c r="A310" s="3230" t="s">
        <v>306</v>
      </c>
      <c r="B310" s="3230" t="s">
        <v>2998</v>
      </c>
      <c r="C310" s="3230">
        <v>5150</v>
      </c>
      <c r="D310" s="3230">
        <v>5110</v>
      </c>
      <c r="E310" s="3230">
        <v>6500</v>
      </c>
      <c r="F310" s="3230">
        <v>880</v>
      </c>
      <c r="G310" s="3243">
        <v>3080</v>
      </c>
    </row>
    <row r="311" spans="1:7" s="3219" customFormat="1" ht="14.25" customHeight="1">
      <c r="A311" s="3230" t="s">
        <v>306</v>
      </c>
      <c r="B311" s="3230" t="s">
        <v>3150</v>
      </c>
      <c r="C311" s="3230">
        <v>4750</v>
      </c>
      <c r="D311" s="3230">
        <v>4710</v>
      </c>
      <c r="E311" s="3230">
        <v>5510</v>
      </c>
      <c r="F311" s="3230">
        <v>880</v>
      </c>
      <c r="G311" s="3243">
        <v>2840</v>
      </c>
    </row>
    <row r="312" spans="1:7" s="3219" customFormat="1" ht="14.25" customHeight="1">
      <c r="A312" s="3230" t="s">
        <v>306</v>
      </c>
      <c r="B312" s="3230" t="s">
        <v>3008</v>
      </c>
      <c r="C312" s="3230">
        <v>4690</v>
      </c>
      <c r="D312" s="3230">
        <v>4640</v>
      </c>
      <c r="E312" s="3230">
        <v>5420</v>
      </c>
      <c r="F312" s="3230">
        <v>800</v>
      </c>
      <c r="G312" s="3243">
        <v>2800</v>
      </c>
    </row>
    <row r="313" spans="1:7" s="3219" customFormat="1" ht="14.25" customHeight="1">
      <c r="A313" s="3230" t="s">
        <v>306</v>
      </c>
      <c r="B313" s="3230" t="s">
        <v>3013</v>
      </c>
      <c r="C313" s="3230">
        <v>4810</v>
      </c>
      <c r="D313" s="3230">
        <v>4760</v>
      </c>
      <c r="E313" s="3230">
        <v>5550</v>
      </c>
      <c r="F313" s="3230">
        <v>920</v>
      </c>
      <c r="G313" s="3243">
        <v>2870</v>
      </c>
    </row>
    <row r="314" spans="1:7" s="3219" customFormat="1" ht="14.25" customHeight="1">
      <c r="A314" s="3230" t="s">
        <v>306</v>
      </c>
      <c r="B314" s="3230" t="s">
        <v>3151</v>
      </c>
      <c r="C314" s="3230"/>
      <c r="D314" s="3230"/>
      <c r="E314" s="3230"/>
      <c r="F314" s="3230">
        <v>1020</v>
      </c>
      <c r="G314" s="3243"/>
    </row>
    <row r="315" spans="1:7" s="3219" customFormat="1" ht="14.25" customHeight="1">
      <c r="A315" s="3230" t="s">
        <v>306</v>
      </c>
      <c r="B315" s="3230" t="s">
        <v>3152</v>
      </c>
      <c r="C315" s="3230"/>
      <c r="D315" s="3230"/>
      <c r="E315" s="3230"/>
      <c r="F315" s="3230">
        <v>1050</v>
      </c>
      <c r="G315" s="3243"/>
    </row>
    <row r="316" spans="1:7" s="3219" customFormat="1" ht="14.25" customHeight="1">
      <c r="A316" s="3230" t="s">
        <v>306</v>
      </c>
      <c r="B316" s="3230" t="s">
        <v>3028</v>
      </c>
      <c r="C316" s="3230"/>
      <c r="D316" s="3230"/>
      <c r="E316" s="3230"/>
      <c r="F316" s="3230">
        <v>900</v>
      </c>
      <c r="G316" s="3243"/>
    </row>
    <row r="317" spans="1:7" s="3219" customFormat="1" ht="14.25" customHeight="1">
      <c r="A317" s="3230" t="s">
        <v>306</v>
      </c>
      <c r="B317" s="3230" t="s">
        <v>3153</v>
      </c>
      <c r="C317" s="3230"/>
      <c r="D317" s="3230"/>
      <c r="E317" s="3230"/>
      <c r="F317" s="3230">
        <v>920</v>
      </c>
      <c r="G317" s="3243"/>
    </row>
    <row r="318" spans="1:7" s="3219" customFormat="1" ht="14.25" customHeight="1">
      <c r="A318" s="3230" t="s">
        <v>306</v>
      </c>
      <c r="B318" s="3230" t="s">
        <v>3154</v>
      </c>
      <c r="C318" s="3230"/>
      <c r="D318" s="3230"/>
      <c r="E318" s="3230"/>
      <c r="F318" s="3230">
        <v>1080</v>
      </c>
      <c r="G318" s="3243"/>
    </row>
    <row r="319" spans="1:7" s="3219" customFormat="1" ht="14.25" customHeight="1">
      <c r="A319" s="3230" t="s">
        <v>306</v>
      </c>
      <c r="B319" s="3230" t="s">
        <v>3041</v>
      </c>
      <c r="C319" s="3230"/>
      <c r="D319" s="3230"/>
      <c r="E319" s="3230"/>
      <c r="F319" s="3230">
        <v>1020</v>
      </c>
      <c r="G319" s="3243"/>
    </row>
    <row r="320" spans="1:7" s="3219" customFormat="1" ht="14.25" customHeight="1">
      <c r="A320" s="3230" t="s">
        <v>306</v>
      </c>
      <c r="B320" s="3230" t="s">
        <v>3044</v>
      </c>
      <c r="C320" s="3230"/>
      <c r="D320" s="3230"/>
      <c r="E320" s="3230"/>
      <c r="F320" s="3230">
        <v>1050</v>
      </c>
      <c r="G320" s="3243"/>
    </row>
    <row r="321" spans="1:7" s="3219" customFormat="1" ht="14.25" customHeight="1">
      <c r="A321" s="3230" t="s">
        <v>306</v>
      </c>
      <c r="B321" s="3230" t="s">
        <v>3046</v>
      </c>
      <c r="C321" s="3230"/>
      <c r="D321" s="3230"/>
      <c r="E321" s="3230"/>
      <c r="F321" s="3230">
        <v>960</v>
      </c>
      <c r="G321" s="3243"/>
    </row>
    <row r="322" spans="1:7" s="3219" customFormat="1" ht="14.25" customHeight="1">
      <c r="A322" s="3230" t="s">
        <v>306</v>
      </c>
      <c r="B322" s="3230" t="s">
        <v>3048</v>
      </c>
      <c r="C322" s="3230"/>
      <c r="D322" s="3230"/>
      <c r="E322" s="3230"/>
      <c r="F322" s="3230">
        <v>960</v>
      </c>
      <c r="G322" s="3243"/>
    </row>
    <row r="323" spans="1:7" s="3219" customFormat="1" ht="14.25" customHeight="1">
      <c r="A323" s="3230" t="s">
        <v>306</v>
      </c>
      <c r="B323" s="3230" t="s">
        <v>3050</v>
      </c>
      <c r="C323" s="3230"/>
      <c r="D323" s="3230"/>
      <c r="E323" s="3230"/>
      <c r="F323" s="3230">
        <v>880</v>
      </c>
      <c r="G323" s="3243"/>
    </row>
    <row r="324" spans="1:7" s="3219" customFormat="1" ht="14.25" customHeight="1">
      <c r="A324" s="3230" t="s">
        <v>306</v>
      </c>
      <c r="B324" s="3230" t="s">
        <v>3052</v>
      </c>
      <c r="C324" s="3230"/>
      <c r="D324" s="3230"/>
      <c r="E324" s="3230"/>
      <c r="F324" s="3230">
        <v>930</v>
      </c>
      <c r="G324" s="3243"/>
    </row>
    <row r="325" spans="1:7" s="3219" customFormat="1" ht="14.25" customHeight="1">
      <c r="A325" s="3230" t="s">
        <v>306</v>
      </c>
      <c r="B325" s="3231" t="s">
        <v>3054</v>
      </c>
      <c r="C325" s="3230"/>
      <c r="D325" s="3230"/>
      <c r="E325" s="3230"/>
      <c r="F325" s="3230">
        <v>900</v>
      </c>
      <c r="G325" s="3243"/>
    </row>
    <row r="326" spans="1:7" s="3219" customFormat="1" ht="14.25" customHeight="1" thickBot="1">
      <c r="A326" s="3244" t="s">
        <v>306</v>
      </c>
      <c r="B326" s="3237" t="s">
        <v>3056</v>
      </c>
      <c r="C326" s="3237"/>
      <c r="D326" s="3237"/>
      <c r="E326" s="3237"/>
      <c r="F326" s="3237">
        <v>790</v>
      </c>
      <c r="G326" s="3245"/>
    </row>
    <row r="327" spans="1:7" s="3219" customFormat="1" ht="14.25" customHeight="1">
      <c r="A327" s="3235" t="s">
        <v>307</v>
      </c>
      <c r="B327" s="3226" t="s">
        <v>3155</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3156</v>
      </c>
      <c r="C329" s="3230">
        <v>2730</v>
      </c>
      <c r="D329" s="3230">
        <v>2690</v>
      </c>
      <c r="E329" s="3230">
        <v>3100</v>
      </c>
      <c r="F329" s="3230">
        <v>660</v>
      </c>
      <c r="G329" s="3230">
        <v>1610</v>
      </c>
    </row>
    <row r="330" spans="1:7" s="3219" customFormat="1" ht="14.25" customHeight="1">
      <c r="A330" s="3230" t="s">
        <v>307</v>
      </c>
      <c r="B330" s="3230" t="s">
        <v>3157</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2890</v>
      </c>
      <c r="C332" s="3230">
        <v>3520</v>
      </c>
      <c r="D332" s="3230">
        <v>3480</v>
      </c>
      <c r="E332" s="3230">
        <v>3830</v>
      </c>
      <c r="F332" s="3230">
        <v>720</v>
      </c>
      <c r="G332" s="3230">
        <v>2090</v>
      </c>
    </row>
    <row r="333" spans="1:7" s="3219" customFormat="1" ht="14.25" customHeight="1">
      <c r="A333" s="3230" t="s">
        <v>307</v>
      </c>
      <c r="B333" s="3230" t="s">
        <v>3158</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2900</v>
      </c>
      <c r="C336" s="3230">
        <v>3570</v>
      </c>
      <c r="D336" s="3230">
        <v>3530</v>
      </c>
      <c r="E336" s="3230">
        <v>3880</v>
      </c>
      <c r="F336" s="3230">
        <v>770</v>
      </c>
      <c r="G336" s="3230">
        <v>2110</v>
      </c>
    </row>
    <row r="337" spans="1:10" s="3219" customFormat="1" ht="14.25" customHeight="1">
      <c r="A337" s="3230" t="s">
        <v>307</v>
      </c>
      <c r="B337" s="3230" t="s">
        <v>3159</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3160</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3161</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2925</v>
      </c>
      <c r="C345" s="3230">
        <v>3190</v>
      </c>
      <c r="D345" s="3230">
        <v>3140</v>
      </c>
      <c r="E345" s="3230">
        <v>3450</v>
      </c>
      <c r="F345" s="3230">
        <v>720</v>
      </c>
      <c r="G345" s="3230">
        <v>1880</v>
      </c>
      <c r="J345" s="3219"/>
    </row>
    <row r="346" spans="1:10">
      <c r="A346" s="3230" t="s">
        <v>307</v>
      </c>
      <c r="B346" s="3230" t="s">
        <v>3162</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2934</v>
      </c>
      <c r="C348" s="3230">
        <v>4000</v>
      </c>
      <c r="D348" s="3230">
        <v>3950</v>
      </c>
      <c r="E348" s="3230">
        <v>4430</v>
      </c>
      <c r="F348" s="3230">
        <v>760</v>
      </c>
      <c r="G348" s="3230">
        <v>2360</v>
      </c>
      <c r="J348" s="3219"/>
    </row>
    <row r="349" spans="1:10">
      <c r="A349" s="3230" t="s">
        <v>307</v>
      </c>
      <c r="B349" s="3230" t="s">
        <v>2939</v>
      </c>
      <c r="C349" s="3230">
        <v>3820</v>
      </c>
      <c r="D349" s="3230">
        <v>3780</v>
      </c>
      <c r="E349" s="3230">
        <v>4170</v>
      </c>
      <c r="F349" s="3230">
        <v>710</v>
      </c>
      <c r="G349" s="3230">
        <v>2260</v>
      </c>
      <c r="J349" s="3219"/>
    </row>
    <row r="350" spans="1:10">
      <c r="A350" s="3230" t="s">
        <v>307</v>
      </c>
      <c r="B350" s="3230" t="s">
        <v>3163</v>
      </c>
      <c r="C350" s="3230">
        <v>3760</v>
      </c>
      <c r="D350" s="3230">
        <v>3730</v>
      </c>
      <c r="E350" s="3230">
        <v>4100</v>
      </c>
      <c r="F350" s="3230">
        <v>800</v>
      </c>
      <c r="G350" s="3230">
        <v>2230</v>
      </c>
      <c r="J350" s="3219"/>
    </row>
    <row r="351" spans="1:10">
      <c r="A351" s="3230" t="s">
        <v>307</v>
      </c>
      <c r="B351" s="3230" t="s">
        <v>2947</v>
      </c>
      <c r="C351" s="3230">
        <v>3610</v>
      </c>
      <c r="D351" s="3230">
        <v>3580</v>
      </c>
      <c r="E351" s="3230">
        <v>3930</v>
      </c>
      <c r="F351" s="3230">
        <v>700</v>
      </c>
      <c r="G351" s="3230">
        <v>2140</v>
      </c>
      <c r="J351" s="3219"/>
    </row>
    <row r="352" spans="1:10">
      <c r="A352" s="3230" t="s">
        <v>307</v>
      </c>
      <c r="B352" s="3230" t="s">
        <v>2952</v>
      </c>
      <c r="C352" s="3230">
        <v>3670</v>
      </c>
      <c r="D352" s="3230">
        <v>3630</v>
      </c>
      <c r="E352" s="3230">
        <v>4000</v>
      </c>
      <c r="F352" s="3230">
        <v>750</v>
      </c>
      <c r="G352" s="3230">
        <v>2180</v>
      </c>
    </row>
    <row r="353" spans="1:7" s="3223" customFormat="1">
      <c r="A353" s="3230" t="s">
        <v>307</v>
      </c>
      <c r="B353" s="3230" t="s">
        <v>3164</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2972</v>
      </c>
      <c r="C355" s="3230">
        <v>3650</v>
      </c>
      <c r="D355" s="3230">
        <v>3610</v>
      </c>
      <c r="E355" s="3230">
        <v>4200</v>
      </c>
      <c r="F355" s="3230">
        <v>640</v>
      </c>
      <c r="G355" s="3230">
        <v>2160</v>
      </c>
    </row>
    <row r="356" spans="1:7" s="3223" customFormat="1">
      <c r="A356" s="3230" t="s">
        <v>307</v>
      </c>
      <c r="B356" s="3230" t="s">
        <v>2979</v>
      </c>
      <c r="C356" s="3230">
        <v>3260</v>
      </c>
      <c r="D356" s="3230">
        <v>3230</v>
      </c>
      <c r="E356" s="3230">
        <v>3740</v>
      </c>
      <c r="F356" s="3230">
        <v>600</v>
      </c>
      <c r="G356" s="3230">
        <v>1930</v>
      </c>
    </row>
    <row r="357" spans="1:7" s="3223" customFormat="1" ht="12" thickBot="1">
      <c r="A357" s="3238" t="s">
        <v>307</v>
      </c>
      <c r="B357" s="3241" t="s">
        <v>3165</v>
      </c>
      <c r="C357" s="3241">
        <v>3690</v>
      </c>
      <c r="D357" s="3241">
        <v>3650</v>
      </c>
      <c r="E357" s="3241">
        <v>4020</v>
      </c>
      <c r="F357" s="3241">
        <v>700</v>
      </c>
      <c r="G357" s="3241">
        <v>2190</v>
      </c>
    </row>
    <row r="358" spans="1:7" s="3223" customFormat="1">
      <c r="A358" s="3235" t="s">
        <v>3166</v>
      </c>
      <c r="B358" s="3226" t="s">
        <v>3167</v>
      </c>
      <c r="C358" s="3226">
        <v>2080</v>
      </c>
      <c r="D358" s="3226">
        <v>2040</v>
      </c>
      <c r="E358" s="3226">
        <v>2010</v>
      </c>
      <c r="F358" s="3226">
        <v>530</v>
      </c>
      <c r="G358" s="3242">
        <v>1230</v>
      </c>
    </row>
    <row r="359" spans="1:7" s="3223" customFormat="1">
      <c r="A359" s="3230" t="s">
        <v>3166</v>
      </c>
      <c r="B359" s="3230" t="s">
        <v>3168</v>
      </c>
      <c r="C359" s="3230">
        <v>1850</v>
      </c>
      <c r="D359" s="3230">
        <v>1820</v>
      </c>
      <c r="E359" s="3230">
        <v>1780</v>
      </c>
      <c r="F359" s="3230">
        <v>520</v>
      </c>
      <c r="G359" s="3243">
        <v>1100</v>
      </c>
    </row>
    <row r="360" spans="1:7" s="3223" customFormat="1">
      <c r="A360" s="3230" t="s">
        <v>3166</v>
      </c>
      <c r="B360" s="3230" t="s">
        <v>3169</v>
      </c>
      <c r="C360" s="3230">
        <v>2020</v>
      </c>
      <c r="D360" s="3230">
        <v>1990</v>
      </c>
      <c r="E360" s="3230">
        <v>1950</v>
      </c>
      <c r="F360" s="3230">
        <v>500</v>
      </c>
      <c r="G360" s="3243">
        <v>1200</v>
      </c>
    </row>
    <row r="361" spans="1:7" s="3223" customFormat="1">
      <c r="A361" s="3230" t="s">
        <v>3166</v>
      </c>
      <c r="B361" s="3230" t="s">
        <v>153</v>
      </c>
      <c r="C361" s="3230">
        <v>2260</v>
      </c>
      <c r="D361" s="3230">
        <v>2220</v>
      </c>
      <c r="E361" s="3230">
        <v>2180</v>
      </c>
      <c r="F361" s="3230">
        <v>580</v>
      </c>
      <c r="G361" s="3243">
        <v>1340</v>
      </c>
    </row>
    <row r="362" spans="1:7" s="3223" customFormat="1">
      <c r="A362" s="3230" t="s">
        <v>3166</v>
      </c>
      <c r="B362" s="3230" t="s">
        <v>3170</v>
      </c>
      <c r="C362" s="3230">
        <v>2650</v>
      </c>
      <c r="D362" s="3230">
        <v>2610</v>
      </c>
      <c r="E362" s="3230">
        <v>2570</v>
      </c>
      <c r="F362" s="3230">
        <v>630</v>
      </c>
      <c r="G362" s="3243">
        <v>1570</v>
      </c>
    </row>
    <row r="363" spans="1:7" s="3223" customFormat="1">
      <c r="A363" s="3230" t="s">
        <v>3166</v>
      </c>
      <c r="B363" s="3230" t="s">
        <v>2891</v>
      </c>
      <c r="C363" s="3230">
        <v>2390</v>
      </c>
      <c r="D363" s="3230">
        <v>2360</v>
      </c>
      <c r="E363" s="3230">
        <v>2320</v>
      </c>
      <c r="F363" s="3230">
        <v>600</v>
      </c>
      <c r="G363" s="3243">
        <v>1420</v>
      </c>
    </row>
    <row r="364" spans="1:7" s="3223" customFormat="1">
      <c r="A364" s="3230" t="s">
        <v>3166</v>
      </c>
      <c r="B364" s="3230" t="s">
        <v>3171</v>
      </c>
      <c r="C364" s="3230">
        <v>2050</v>
      </c>
      <c r="D364" s="3230">
        <v>2030</v>
      </c>
      <c r="E364" s="3230">
        <v>1990</v>
      </c>
      <c r="F364" s="3230">
        <v>550</v>
      </c>
      <c r="G364" s="3243">
        <v>1220</v>
      </c>
    </row>
    <row r="365" spans="1:7" s="3223" customFormat="1">
      <c r="A365" s="3230" t="s">
        <v>3166</v>
      </c>
      <c r="B365" s="3230" t="s">
        <v>200</v>
      </c>
      <c r="C365" s="3230">
        <v>2140</v>
      </c>
      <c r="D365" s="3230">
        <v>2100</v>
      </c>
      <c r="E365" s="3230">
        <v>2060</v>
      </c>
      <c r="F365" s="3230">
        <v>540</v>
      </c>
      <c r="G365" s="3243">
        <v>1270</v>
      </c>
    </row>
    <row r="366" spans="1:7" s="3223" customFormat="1">
      <c r="A366" s="3230" t="s">
        <v>3166</v>
      </c>
      <c r="B366" s="3230" t="s">
        <v>2898</v>
      </c>
      <c r="C366" s="3230">
        <v>2410</v>
      </c>
      <c r="D366" s="3230">
        <v>2370</v>
      </c>
      <c r="E366" s="3230">
        <v>2330</v>
      </c>
      <c r="F366" s="3230">
        <v>570</v>
      </c>
      <c r="G366" s="3243">
        <v>1440</v>
      </c>
    </row>
    <row r="367" spans="1:7" s="3223" customFormat="1">
      <c r="A367" s="3230" t="s">
        <v>3166</v>
      </c>
      <c r="B367" s="3230" t="s">
        <v>3172</v>
      </c>
      <c r="C367" s="3230">
        <v>2300</v>
      </c>
      <c r="D367" s="3230">
        <v>2260</v>
      </c>
      <c r="E367" s="3230">
        <v>2220</v>
      </c>
      <c r="F367" s="3230">
        <v>560</v>
      </c>
      <c r="G367" s="3243">
        <v>1370</v>
      </c>
    </row>
    <row r="368" spans="1:7" s="3223" customFormat="1">
      <c r="A368" s="3230" t="s">
        <v>3166</v>
      </c>
      <c r="B368" s="3230" t="s">
        <v>3173</v>
      </c>
      <c r="C368" s="3230">
        <v>2430</v>
      </c>
      <c r="D368" s="3230">
        <v>2390</v>
      </c>
      <c r="E368" s="3230">
        <v>2350</v>
      </c>
      <c r="F368" s="3230">
        <v>570</v>
      </c>
      <c r="G368" s="3243">
        <v>1450</v>
      </c>
    </row>
    <row r="369" spans="1:7" s="3223" customFormat="1">
      <c r="A369" s="3230" t="s">
        <v>3166</v>
      </c>
      <c r="B369" s="3230" t="s">
        <v>214</v>
      </c>
      <c r="C369" s="3230">
        <v>2320</v>
      </c>
      <c r="D369" s="3230">
        <v>2290</v>
      </c>
      <c r="E369" s="3230">
        <v>2250</v>
      </c>
      <c r="F369" s="3230">
        <v>550</v>
      </c>
      <c r="G369" s="3243">
        <v>1380</v>
      </c>
    </row>
    <row r="370" spans="1:7" s="3223" customFormat="1">
      <c r="A370" s="3230" t="s">
        <v>3166</v>
      </c>
      <c r="B370" s="3230" t="s">
        <v>221</v>
      </c>
      <c r="C370" s="3230">
        <v>2190</v>
      </c>
      <c r="D370" s="3230">
        <v>2170</v>
      </c>
      <c r="E370" s="3230">
        <v>2130</v>
      </c>
      <c r="F370" s="3230">
        <v>530</v>
      </c>
      <c r="G370" s="3243">
        <v>1310</v>
      </c>
    </row>
    <row r="371" spans="1:7" s="3223" customFormat="1">
      <c r="A371" s="3230" t="s">
        <v>3166</v>
      </c>
      <c r="B371" s="3230" t="s">
        <v>229</v>
      </c>
      <c r="C371" s="3230">
        <v>2460</v>
      </c>
      <c r="D371" s="3230">
        <v>2420</v>
      </c>
      <c r="E371" s="3230">
        <v>2370</v>
      </c>
      <c r="F371" s="3230">
        <v>560</v>
      </c>
      <c r="G371" s="3243">
        <v>1470</v>
      </c>
    </row>
    <row r="372" spans="1:7" s="3223" customFormat="1">
      <c r="A372" s="3230" t="s">
        <v>3166</v>
      </c>
      <c r="B372" s="3230" t="s">
        <v>3174</v>
      </c>
      <c r="C372" s="3230">
        <v>2250</v>
      </c>
      <c r="D372" s="3230">
        <v>2210</v>
      </c>
      <c r="E372" s="3230">
        <v>2180</v>
      </c>
      <c r="F372" s="3230">
        <v>550</v>
      </c>
      <c r="G372" s="3243">
        <v>1340</v>
      </c>
    </row>
    <row r="373" spans="1:7" s="3223" customFormat="1">
      <c r="A373" s="3230" t="s">
        <v>3166</v>
      </c>
      <c r="B373" s="3230" t="s">
        <v>258</v>
      </c>
      <c r="C373" s="3230">
        <v>2210</v>
      </c>
      <c r="D373" s="3230">
        <v>2190</v>
      </c>
      <c r="E373" s="3230">
        <v>2150</v>
      </c>
      <c r="F373" s="3230">
        <v>530</v>
      </c>
      <c r="G373" s="3243">
        <v>1320</v>
      </c>
    </row>
    <row r="374" spans="1:7" s="3223" customFormat="1">
      <c r="A374" s="3230" t="s">
        <v>3166</v>
      </c>
      <c r="B374" s="3230" t="s">
        <v>266</v>
      </c>
      <c r="C374" s="3230">
        <v>2320</v>
      </c>
      <c r="D374" s="3230">
        <v>2280</v>
      </c>
      <c r="E374" s="3230">
        <v>2230</v>
      </c>
      <c r="F374" s="3230">
        <v>580</v>
      </c>
      <c r="G374" s="3243">
        <v>1380</v>
      </c>
    </row>
    <row r="375" spans="1:7" s="3223" customFormat="1">
      <c r="A375" s="3230" t="s">
        <v>3166</v>
      </c>
      <c r="B375" s="3230" t="s">
        <v>3175</v>
      </c>
      <c r="C375" s="3230">
        <v>2090</v>
      </c>
      <c r="D375" s="3230">
        <v>2050</v>
      </c>
      <c r="E375" s="3230">
        <v>2020</v>
      </c>
      <c r="F375" s="3230">
        <v>520</v>
      </c>
      <c r="G375" s="3243">
        <v>1240</v>
      </c>
    </row>
    <row r="376" spans="1:7" s="3223" customFormat="1">
      <c r="A376" s="3230" t="s">
        <v>3166</v>
      </c>
      <c r="B376" s="3230" t="s">
        <v>277</v>
      </c>
      <c r="C376" s="3230">
        <v>2010</v>
      </c>
      <c r="D376" s="3230">
        <v>1980</v>
      </c>
      <c r="E376" s="3230">
        <v>1940</v>
      </c>
      <c r="F376" s="3230">
        <v>540</v>
      </c>
      <c r="G376" s="3243">
        <v>1190</v>
      </c>
    </row>
    <row r="377" spans="1:7" s="3223" customFormat="1" ht="12" thickBot="1">
      <c r="A377" s="3238" t="s">
        <v>3166</v>
      </c>
      <c r="B377" s="3241" t="s">
        <v>2928</v>
      </c>
      <c r="C377" s="3241">
        <v>1930</v>
      </c>
      <c r="D377" s="3241">
        <v>1890</v>
      </c>
      <c r="E377" s="3241">
        <v>1860</v>
      </c>
      <c r="F377" s="3241">
        <v>530</v>
      </c>
      <c r="G377" s="3246">
        <v>1150</v>
      </c>
    </row>
    <row r="378" spans="1:7" s="3223" customFormat="1">
      <c r="A378" s="3247" t="s">
        <v>3176</v>
      </c>
      <c r="B378" s="3226" t="s">
        <v>3177</v>
      </c>
      <c r="C378" s="3226">
        <v>1520</v>
      </c>
      <c r="D378" s="3226">
        <v>1490</v>
      </c>
      <c r="E378" s="3226">
        <v>1460</v>
      </c>
      <c r="F378" s="3226">
        <v>460</v>
      </c>
      <c r="G378" s="3242">
        <v>940</v>
      </c>
    </row>
    <row r="379" spans="1:7" s="3223" customFormat="1">
      <c r="A379" s="3248" t="s">
        <v>3176</v>
      </c>
      <c r="B379" s="3230" t="s">
        <v>3178</v>
      </c>
      <c r="C379" s="3230">
        <v>1500</v>
      </c>
      <c r="D379" s="3230">
        <v>1470</v>
      </c>
      <c r="E379" s="3230">
        <v>1430</v>
      </c>
      <c r="F379" s="3230">
        <v>460</v>
      </c>
      <c r="G379" s="3243">
        <v>920</v>
      </c>
    </row>
    <row r="380" spans="1:7" s="3223" customFormat="1">
      <c r="A380" s="3248" t="s">
        <v>3176</v>
      </c>
      <c r="B380" s="3230" t="s">
        <v>3179</v>
      </c>
      <c r="C380" s="3230">
        <v>1620</v>
      </c>
      <c r="D380" s="3230">
        <v>1590</v>
      </c>
      <c r="E380" s="3230">
        <v>1560</v>
      </c>
      <c r="F380" s="3230">
        <v>480</v>
      </c>
      <c r="G380" s="3243">
        <v>1000</v>
      </c>
    </row>
    <row r="381" spans="1:7" s="3223" customFormat="1">
      <c r="A381" s="3248" t="s">
        <v>3176</v>
      </c>
      <c r="B381" s="3230" t="s">
        <v>3180</v>
      </c>
      <c r="C381" s="3230">
        <v>1460</v>
      </c>
      <c r="D381" s="3230">
        <v>1430</v>
      </c>
      <c r="E381" s="3230">
        <v>1390</v>
      </c>
      <c r="F381" s="3230">
        <v>450</v>
      </c>
      <c r="G381" s="3243">
        <v>900</v>
      </c>
    </row>
    <row r="382" spans="1:7" s="3223" customFormat="1">
      <c r="A382" s="3248" t="s">
        <v>3176</v>
      </c>
      <c r="B382" s="3230" t="s">
        <v>3181</v>
      </c>
      <c r="C382" s="3230">
        <v>1310</v>
      </c>
      <c r="D382" s="3230">
        <v>1280</v>
      </c>
      <c r="E382" s="3230">
        <v>1250</v>
      </c>
      <c r="F382" s="3230">
        <v>440</v>
      </c>
      <c r="G382" s="3243">
        <v>800</v>
      </c>
    </row>
    <row r="383" spans="1:7" s="3223" customFormat="1">
      <c r="A383" s="3248" t="s">
        <v>3176</v>
      </c>
      <c r="B383" s="3230" t="s">
        <v>3182</v>
      </c>
      <c r="C383" s="3230">
        <v>1260</v>
      </c>
      <c r="D383" s="3230">
        <v>1230</v>
      </c>
      <c r="E383" s="3230">
        <v>1200</v>
      </c>
      <c r="F383" s="3230">
        <v>420</v>
      </c>
      <c r="G383" s="3243">
        <v>770</v>
      </c>
    </row>
    <row r="384" spans="1:7" s="3223" customFormat="1" ht="12" thickBot="1">
      <c r="A384" s="3249" t="s">
        <v>3176</v>
      </c>
      <c r="B384" s="3237" t="s">
        <v>3183</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4003" t="s">
        <v>3184</v>
      </c>
      <c r="B1" s="4003"/>
    </row>
    <row r="2" spans="1:7" ht="14.25" thickBot="1">
      <c r="A2" s="3252"/>
      <c r="B2" s="3252"/>
    </row>
    <row r="3" spans="1:7" ht="14.25" thickBot="1">
      <c r="A3" s="3252"/>
      <c r="B3" s="3252"/>
      <c r="C3" s="3253" t="s">
        <v>2810</v>
      </c>
      <c r="D3" s="3253" t="s">
        <v>2870</v>
      </c>
      <c r="E3" s="3253" t="s">
        <v>2812</v>
      </c>
      <c r="F3" s="3253" t="s">
        <v>2871</v>
      </c>
      <c r="G3" s="3253" t="s">
        <v>2630</v>
      </c>
    </row>
    <row r="4" spans="1:7" ht="14.25" thickBot="1">
      <c r="A4" s="3254" t="s">
        <v>2869</v>
      </c>
      <c r="B4" s="3255" t="s">
        <v>2875</v>
      </c>
      <c r="C4" s="3253"/>
      <c r="D4" s="3253"/>
      <c r="E4" s="3253"/>
      <c r="F4" s="3253"/>
      <c r="G4" s="3253"/>
    </row>
    <row r="5" spans="1:7">
      <c r="A5" s="3256" t="s">
        <v>2843</v>
      </c>
      <c r="B5" s="3257" t="s">
        <v>2857</v>
      </c>
      <c r="C5" s="3258">
        <v>9.8000000000000004E-2</v>
      </c>
      <c r="D5" s="3258">
        <v>8.6999999999999994E-2</v>
      </c>
      <c r="E5" s="3258">
        <v>8.6999999999999994E-2</v>
      </c>
      <c r="F5" s="3258">
        <v>9.8000000000000004E-2</v>
      </c>
      <c r="G5" s="3259">
        <v>9.5000000000000001E-2</v>
      </c>
    </row>
    <row r="6" spans="1:7">
      <c r="A6" s="3260" t="s">
        <v>144</v>
      </c>
      <c r="B6" s="3261" t="s">
        <v>2872</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2858</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2908</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2926</v>
      </c>
      <c r="C29" s="3270"/>
      <c r="D29" s="3266">
        <v>5.1999999999999998E-2</v>
      </c>
      <c r="E29" s="3266">
        <v>7.0000000000000007E-2</v>
      </c>
      <c r="F29" s="3270"/>
      <c r="G29" s="3268">
        <v>7.0999999999999994E-2</v>
      </c>
    </row>
    <row r="30" spans="1:7">
      <c r="A30" s="3271" t="s">
        <v>296</v>
      </c>
      <c r="B30" s="3257" t="s">
        <v>2859</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2845</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2929</v>
      </c>
      <c r="C50" s="3262">
        <v>9.8000000000000004E-2</v>
      </c>
      <c r="D50" s="3262">
        <v>7.2999999999999995E-2</v>
      </c>
      <c r="E50" s="3262">
        <v>7.0999999999999994E-2</v>
      </c>
      <c r="F50" s="3273"/>
      <c r="G50" s="3263">
        <v>7.2999999999999995E-2</v>
      </c>
    </row>
    <row r="51" spans="1:7">
      <c r="A51" s="3272" t="s">
        <v>296</v>
      </c>
      <c r="B51" s="3261" t="s">
        <v>2931</v>
      </c>
      <c r="C51" s="3262">
        <v>9.9000000000000005E-2</v>
      </c>
      <c r="D51" s="3262">
        <v>8.5000000000000006E-2</v>
      </c>
      <c r="E51" s="3262">
        <v>6.3E-2</v>
      </c>
      <c r="F51" s="3273"/>
      <c r="G51" s="3263">
        <v>9.6000000000000002E-2</v>
      </c>
    </row>
    <row r="52" spans="1:7">
      <c r="A52" s="3272" t="s">
        <v>296</v>
      </c>
      <c r="B52" s="3261" t="s">
        <v>2935</v>
      </c>
      <c r="C52" s="3262">
        <v>7.3999999999999996E-2</v>
      </c>
      <c r="D52" s="3262">
        <v>9.6000000000000002E-2</v>
      </c>
      <c r="E52" s="3262">
        <v>0.05</v>
      </c>
      <c r="F52" s="3273"/>
      <c r="G52" s="3263">
        <v>9.8000000000000004E-2</v>
      </c>
    </row>
    <row r="53" spans="1:7">
      <c r="A53" s="3272" t="s">
        <v>296</v>
      </c>
      <c r="B53" s="3261" t="s">
        <v>2940</v>
      </c>
      <c r="C53" s="3262">
        <v>8.5999999999999993E-2</v>
      </c>
      <c r="D53" s="3273"/>
      <c r="E53" s="3262">
        <v>9.1999999999999998E-2</v>
      </c>
      <c r="F53" s="3273"/>
      <c r="G53" s="3274"/>
    </row>
    <row r="54" spans="1:7" ht="14.25" thickBot="1">
      <c r="A54" s="3275" t="s">
        <v>296</v>
      </c>
      <c r="B54" s="3265" t="s">
        <v>2943</v>
      </c>
      <c r="C54" s="3266">
        <v>9.6000000000000002E-2</v>
      </c>
      <c r="D54" s="3267"/>
      <c r="E54" s="3276"/>
      <c r="F54" s="3267"/>
      <c r="G54" s="3277"/>
    </row>
    <row r="55" spans="1:7">
      <c r="A55" s="3271" t="s">
        <v>110</v>
      </c>
      <c r="B55" s="3257" t="s">
        <v>2860</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2941</v>
      </c>
      <c r="C78" s="3262">
        <v>0.1</v>
      </c>
      <c r="D78" s="3262">
        <v>8.5000000000000006E-2</v>
      </c>
      <c r="E78" s="3262">
        <v>9.6000000000000002E-2</v>
      </c>
      <c r="F78" s="3273"/>
      <c r="G78" s="3263">
        <v>9.6000000000000002E-2</v>
      </c>
    </row>
    <row r="79" spans="1:7">
      <c r="A79" s="3272" t="s">
        <v>110</v>
      </c>
      <c r="B79" s="3261" t="s">
        <v>2944</v>
      </c>
      <c r="C79" s="3262">
        <v>0.05</v>
      </c>
      <c r="D79" s="3262">
        <v>9.6000000000000002E-2</v>
      </c>
      <c r="E79" s="3262">
        <v>9.5000000000000001E-2</v>
      </c>
      <c r="F79" s="3273"/>
      <c r="G79" s="3263">
        <v>9.8000000000000004E-2</v>
      </c>
    </row>
    <row r="80" spans="1:7">
      <c r="A80" s="3272" t="s">
        <v>110</v>
      </c>
      <c r="B80" s="3261" t="s">
        <v>2948</v>
      </c>
      <c r="C80" s="3262">
        <v>8.5999999999999993E-2</v>
      </c>
      <c r="D80" s="3278"/>
      <c r="E80" s="3262">
        <v>0.1</v>
      </c>
      <c r="F80" s="3273"/>
      <c r="G80" s="3274"/>
    </row>
    <row r="81" spans="1:7">
      <c r="A81" s="3272" t="s">
        <v>110</v>
      </c>
      <c r="B81" s="3261" t="s">
        <v>2953</v>
      </c>
      <c r="C81" s="3262">
        <v>9.6000000000000002E-2</v>
      </c>
      <c r="D81" s="3273"/>
      <c r="E81" s="3262">
        <v>9.8000000000000004E-2</v>
      </c>
      <c r="F81" s="3273"/>
      <c r="G81" s="3274"/>
    </row>
    <row r="82" spans="1:7">
      <c r="A82" s="3272" t="s">
        <v>110</v>
      </c>
      <c r="B82" s="3261" t="s">
        <v>2960</v>
      </c>
      <c r="C82" s="3278"/>
      <c r="D82" s="3273"/>
      <c r="E82" s="3262">
        <v>7.6999999999999999E-2</v>
      </c>
      <c r="F82" s="3273"/>
      <c r="G82" s="3274"/>
    </row>
    <row r="83" spans="1:7">
      <c r="A83" s="3272" t="s">
        <v>110</v>
      </c>
      <c r="B83" s="3261" t="s">
        <v>2966</v>
      </c>
      <c r="C83" s="3273"/>
      <c r="D83" s="3273"/>
      <c r="E83" s="3273"/>
      <c r="F83" s="3262">
        <v>0.1</v>
      </c>
      <c r="G83" s="3279"/>
    </row>
    <row r="84" spans="1:7">
      <c r="A84" s="3272" t="s">
        <v>110</v>
      </c>
      <c r="B84" s="3261" t="s">
        <v>2973</v>
      </c>
      <c r="C84" s="3273"/>
      <c r="D84" s="3273"/>
      <c r="E84" s="3273"/>
      <c r="F84" s="3262">
        <v>0.1</v>
      </c>
      <c r="G84" s="3279"/>
    </row>
    <row r="85" spans="1:7">
      <c r="A85" s="3272" t="s">
        <v>110</v>
      </c>
      <c r="B85" s="3261" t="s">
        <v>2980</v>
      </c>
      <c r="C85" s="3273"/>
      <c r="D85" s="3273"/>
      <c r="E85" s="3273"/>
      <c r="F85" s="3262">
        <v>0.1</v>
      </c>
      <c r="G85" s="3279"/>
    </row>
    <row r="86" spans="1:7" ht="14.25" thickBot="1">
      <c r="A86" s="3275" t="s">
        <v>110</v>
      </c>
      <c r="B86" s="3265" t="s">
        <v>2985</v>
      </c>
      <c r="C86" s="3266">
        <v>9.8000000000000004E-2</v>
      </c>
      <c r="D86" s="3266">
        <v>9.8000000000000004E-2</v>
      </c>
      <c r="E86" s="3266">
        <v>9.6000000000000002E-2</v>
      </c>
      <c r="F86" s="3276"/>
      <c r="G86" s="3268">
        <v>0.1</v>
      </c>
    </row>
    <row r="87" spans="1:7">
      <c r="A87" s="3271" t="s">
        <v>303</v>
      </c>
      <c r="B87" s="3257" t="s">
        <v>2861</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2954</v>
      </c>
      <c r="C113" s="3262">
        <v>0.1</v>
      </c>
      <c r="D113" s="3262">
        <v>0.1</v>
      </c>
      <c r="E113" s="3273"/>
      <c r="F113" s="3273"/>
      <c r="G113" s="3263">
        <v>0.1</v>
      </c>
    </row>
    <row r="114" spans="1:7">
      <c r="A114" s="3272" t="s">
        <v>303</v>
      </c>
      <c r="B114" s="3261" t="s">
        <v>2961</v>
      </c>
      <c r="C114" s="3262">
        <v>9.7000000000000003E-2</v>
      </c>
      <c r="D114" s="3262">
        <v>9.7000000000000003E-2</v>
      </c>
      <c r="E114" s="3273"/>
      <c r="F114" s="3273"/>
      <c r="G114" s="3263">
        <v>9.9000000000000005E-2</v>
      </c>
    </row>
    <row r="115" spans="1:7">
      <c r="A115" s="3272" t="s">
        <v>303</v>
      </c>
      <c r="B115" s="3261" t="s">
        <v>2967</v>
      </c>
      <c r="C115" s="3262">
        <v>0.1</v>
      </c>
      <c r="D115" s="3262">
        <v>0.1</v>
      </c>
      <c r="E115" s="3273"/>
      <c r="F115" s="3273"/>
      <c r="G115" s="3263">
        <v>0.1</v>
      </c>
    </row>
    <row r="116" spans="1:7">
      <c r="A116" s="3272" t="s">
        <v>303</v>
      </c>
      <c r="B116" s="3261" t="s">
        <v>2974</v>
      </c>
      <c r="C116" s="3262">
        <v>0.1</v>
      </c>
      <c r="D116" s="3262">
        <v>0.1</v>
      </c>
      <c r="E116" s="3273"/>
      <c r="F116" s="3273"/>
      <c r="G116" s="3263">
        <v>0.1</v>
      </c>
    </row>
    <row r="117" spans="1:7">
      <c r="A117" s="3272" t="s">
        <v>303</v>
      </c>
      <c r="B117" s="3261" t="s">
        <v>2981</v>
      </c>
      <c r="C117" s="3262">
        <v>9.7000000000000003E-2</v>
      </c>
      <c r="D117" s="3262">
        <v>9.7000000000000003E-2</v>
      </c>
      <c r="E117" s="3273"/>
      <c r="F117" s="3273"/>
      <c r="G117" s="3263">
        <v>9.7000000000000003E-2</v>
      </c>
    </row>
    <row r="118" spans="1:7">
      <c r="A118" s="3272" t="s">
        <v>303</v>
      </c>
      <c r="B118" s="3261" t="s">
        <v>2986</v>
      </c>
      <c r="C118" s="3262">
        <v>0.1</v>
      </c>
      <c r="D118" s="3262">
        <v>0.1</v>
      </c>
      <c r="E118" s="3273"/>
      <c r="F118" s="3273"/>
      <c r="G118" s="3263">
        <v>0.1</v>
      </c>
    </row>
    <row r="119" spans="1:7">
      <c r="A119" s="3272" t="s">
        <v>303</v>
      </c>
      <c r="B119" s="3261" t="s">
        <v>2990</v>
      </c>
      <c r="C119" s="3262">
        <v>5.0999999999999997E-2</v>
      </c>
      <c r="D119" s="3262">
        <v>5.1999999999999998E-2</v>
      </c>
      <c r="E119" s="3273"/>
      <c r="F119" s="3278"/>
      <c r="G119" s="3263">
        <v>0.06</v>
      </c>
    </row>
    <row r="120" spans="1:7">
      <c r="A120" s="3272" t="s">
        <v>303</v>
      </c>
      <c r="B120" s="3261" t="s">
        <v>2994</v>
      </c>
      <c r="C120" s="3273"/>
      <c r="D120" s="3273"/>
      <c r="E120" s="3273"/>
      <c r="F120" s="3262">
        <v>0.1</v>
      </c>
      <c r="G120" s="3279"/>
    </row>
    <row r="121" spans="1:7">
      <c r="A121" s="3272" t="s">
        <v>303</v>
      </c>
      <c r="B121" s="3261" t="s">
        <v>2999</v>
      </c>
      <c r="C121" s="3273"/>
      <c r="D121" s="3273"/>
      <c r="E121" s="3273"/>
      <c r="F121" s="3262">
        <v>0.1</v>
      </c>
      <c r="G121" s="3279"/>
    </row>
    <row r="122" spans="1:7">
      <c r="A122" s="3272" t="s">
        <v>303</v>
      </c>
      <c r="B122" s="3261" t="s">
        <v>3004</v>
      </c>
      <c r="C122" s="3262">
        <v>0.1</v>
      </c>
      <c r="D122" s="3262">
        <v>0.1</v>
      </c>
      <c r="E122" s="3262">
        <v>9.8000000000000004E-2</v>
      </c>
      <c r="F122" s="3262">
        <v>0.1</v>
      </c>
      <c r="G122" s="3263">
        <v>0.1</v>
      </c>
    </row>
    <row r="123" spans="1:7">
      <c r="A123" s="3272" t="s">
        <v>303</v>
      </c>
      <c r="B123" s="3261" t="s">
        <v>3009</v>
      </c>
      <c r="C123" s="3262">
        <v>0.1</v>
      </c>
      <c r="D123" s="3262">
        <v>0.1</v>
      </c>
      <c r="E123" s="3262">
        <v>9.8000000000000004E-2</v>
      </c>
      <c r="F123" s="3262">
        <v>0.1</v>
      </c>
      <c r="G123" s="3263">
        <v>0.1</v>
      </c>
    </row>
    <row r="124" spans="1:7">
      <c r="A124" s="3272" t="s">
        <v>303</v>
      </c>
      <c r="B124" s="3261" t="s">
        <v>3014</v>
      </c>
      <c r="C124" s="3262">
        <v>0.1</v>
      </c>
      <c r="D124" s="3262">
        <v>0.1</v>
      </c>
      <c r="E124" s="3262">
        <v>9.8000000000000004E-2</v>
      </c>
      <c r="F124" s="3278"/>
      <c r="G124" s="3263">
        <v>0.1</v>
      </c>
    </row>
    <row r="125" spans="1:7">
      <c r="A125" s="3272" t="s">
        <v>303</v>
      </c>
      <c r="B125" s="3261" t="s">
        <v>3019</v>
      </c>
      <c r="C125" s="3262">
        <v>9.8000000000000004E-2</v>
      </c>
      <c r="D125" s="3262">
        <v>9.8000000000000004E-2</v>
      </c>
      <c r="E125" s="3262">
        <v>9.6000000000000002E-2</v>
      </c>
      <c r="F125" s="3278"/>
      <c r="G125" s="3263">
        <v>0.1</v>
      </c>
    </row>
    <row r="126" spans="1:7" ht="14.25" thickBot="1">
      <c r="A126" s="3275" t="s">
        <v>303</v>
      </c>
      <c r="B126" s="3265" t="s">
        <v>3185</v>
      </c>
      <c r="C126" s="3266">
        <v>0.1</v>
      </c>
      <c r="D126" s="3266">
        <v>0.1</v>
      </c>
      <c r="E126" s="3266">
        <v>9.8000000000000004E-2</v>
      </c>
      <c r="F126" s="3266">
        <v>0.1</v>
      </c>
      <c r="G126" s="3268">
        <v>0.1</v>
      </c>
    </row>
    <row r="127" spans="1:7">
      <c r="A127" s="3271" t="s">
        <v>29</v>
      </c>
      <c r="B127" s="3257" t="s">
        <v>2862</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2932</v>
      </c>
      <c r="C148" s="3262">
        <v>0.13</v>
      </c>
      <c r="D148" s="3262">
        <v>0.13</v>
      </c>
      <c r="E148" s="3262">
        <v>0.13</v>
      </c>
      <c r="F148" s="3273"/>
      <c r="G148" s="3263">
        <v>0.13</v>
      </c>
    </row>
    <row r="149" spans="1:7">
      <c r="A149" s="3272" t="s">
        <v>29</v>
      </c>
      <c r="B149" s="3261" t="s">
        <v>2936</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2955</v>
      </c>
      <c r="C153" s="3262">
        <v>0.13</v>
      </c>
      <c r="D153" s="3262">
        <v>0.13</v>
      </c>
      <c r="E153" s="3262">
        <v>0.13</v>
      </c>
      <c r="F153" s="3262">
        <v>0.13</v>
      </c>
      <c r="G153" s="3263">
        <v>0.13</v>
      </c>
    </row>
    <row r="154" spans="1:7">
      <c r="A154" s="3272" t="s">
        <v>29</v>
      </c>
      <c r="B154" s="3261" t="s">
        <v>2962</v>
      </c>
      <c r="C154" s="3262">
        <v>0.121</v>
      </c>
      <c r="D154" s="3262">
        <v>0.121</v>
      </c>
      <c r="E154" s="3262">
        <v>0.105</v>
      </c>
      <c r="F154" s="3262">
        <v>0.121</v>
      </c>
      <c r="G154" s="3263">
        <v>0.123</v>
      </c>
    </row>
    <row r="155" spans="1:7">
      <c r="A155" s="3272" t="s">
        <v>29</v>
      </c>
      <c r="B155" s="3261" t="s">
        <v>2968</v>
      </c>
      <c r="C155" s="3262">
        <v>0.1</v>
      </c>
      <c r="D155" s="3262">
        <v>0.1</v>
      </c>
      <c r="E155" s="3262">
        <v>0.1</v>
      </c>
      <c r="F155" s="3262">
        <v>0.1</v>
      </c>
      <c r="G155" s="3263">
        <v>0.1</v>
      </c>
    </row>
    <row r="156" spans="1:7">
      <c r="A156" s="3272" t="s">
        <v>29</v>
      </c>
      <c r="B156" s="3261" t="s">
        <v>2975</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2995</v>
      </c>
      <c r="C160" s="3262">
        <v>0.13</v>
      </c>
      <c r="D160" s="3262">
        <v>0.13</v>
      </c>
      <c r="E160" s="3262">
        <v>0.124</v>
      </c>
      <c r="F160" s="3262">
        <v>0.126</v>
      </c>
      <c r="G160" s="3263">
        <v>0.13</v>
      </c>
    </row>
    <row r="161" spans="1:7">
      <c r="A161" s="3272" t="s">
        <v>29</v>
      </c>
      <c r="B161" s="3261" t="s">
        <v>3000</v>
      </c>
      <c r="C161" s="3262">
        <v>0.13</v>
      </c>
      <c r="D161" s="3262">
        <v>0.13</v>
      </c>
      <c r="E161" s="3262">
        <v>0.124</v>
      </c>
      <c r="F161" s="3262">
        <v>0.127</v>
      </c>
      <c r="G161" s="3263">
        <v>0.13</v>
      </c>
    </row>
    <row r="162" spans="1:7">
      <c r="A162" s="3272" t="s">
        <v>29</v>
      </c>
      <c r="B162" s="3261" t="s">
        <v>3005</v>
      </c>
      <c r="C162" s="3262">
        <v>0.1</v>
      </c>
      <c r="D162" s="3262">
        <v>0.1</v>
      </c>
      <c r="E162" s="3262">
        <v>0.1</v>
      </c>
      <c r="F162" s="3262">
        <v>0.121</v>
      </c>
      <c r="G162" s="3263">
        <v>0.105</v>
      </c>
    </row>
    <row r="163" spans="1:7">
      <c r="A163" s="3272" t="s">
        <v>29</v>
      </c>
      <c r="B163" s="3261" t="s">
        <v>3010</v>
      </c>
      <c r="C163" s="3262">
        <v>0.1</v>
      </c>
      <c r="D163" s="3262">
        <v>0.1</v>
      </c>
      <c r="E163" s="3262">
        <v>0.1</v>
      </c>
      <c r="F163" s="3262">
        <v>0.1</v>
      </c>
      <c r="G163" s="3263">
        <v>0.1</v>
      </c>
    </row>
    <row r="164" spans="1:7">
      <c r="A164" s="3272" t="s">
        <v>29</v>
      </c>
      <c r="B164" s="3261" t="s">
        <v>3015</v>
      </c>
      <c r="C164" s="3278"/>
      <c r="D164" s="3278"/>
      <c r="E164" s="3278"/>
      <c r="F164" s="3262">
        <v>0.1</v>
      </c>
      <c r="G164" s="3274"/>
    </row>
    <row r="165" spans="1:7">
      <c r="A165" s="3272" t="s">
        <v>29</v>
      </c>
      <c r="B165" s="3261" t="s">
        <v>3186</v>
      </c>
      <c r="C165" s="3262">
        <v>0.126</v>
      </c>
      <c r="D165" s="3262">
        <v>0.126</v>
      </c>
      <c r="E165" s="3262">
        <v>0.11899999999999999</v>
      </c>
      <c r="F165" s="3262">
        <v>0.13</v>
      </c>
      <c r="G165" s="3263">
        <v>0.128</v>
      </c>
    </row>
    <row r="166" spans="1:7">
      <c r="A166" s="3272" t="s">
        <v>29</v>
      </c>
      <c r="B166" s="3261" t="s">
        <v>3025</v>
      </c>
      <c r="C166" s="3262">
        <v>0.129</v>
      </c>
      <c r="D166" s="3262">
        <v>0.129</v>
      </c>
      <c r="E166" s="3262">
        <v>0.123</v>
      </c>
      <c r="F166" s="3262">
        <v>0.128</v>
      </c>
      <c r="G166" s="3263">
        <v>0.13</v>
      </c>
    </row>
    <row r="167" spans="1:7">
      <c r="A167" s="3272" t="s">
        <v>29</v>
      </c>
      <c r="B167" s="3261" t="s">
        <v>3029</v>
      </c>
      <c r="C167" s="3262">
        <v>0.125</v>
      </c>
      <c r="D167" s="3262">
        <v>0.125</v>
      </c>
      <c r="E167" s="3262">
        <v>0.11700000000000001</v>
      </c>
      <c r="F167" s="3262">
        <v>0.13</v>
      </c>
      <c r="G167" s="3263">
        <v>0.126</v>
      </c>
    </row>
    <row r="168" spans="1:7">
      <c r="A168" s="3272" t="s">
        <v>29</v>
      </c>
      <c r="B168" s="3261" t="s">
        <v>3034</v>
      </c>
      <c r="C168" s="3262">
        <v>0.128</v>
      </c>
      <c r="D168" s="3262">
        <v>0.128</v>
      </c>
      <c r="E168" s="3262">
        <v>0.123</v>
      </c>
      <c r="F168" s="3273"/>
      <c r="G168" s="3263">
        <v>0.13</v>
      </c>
    </row>
    <row r="169" spans="1:7">
      <c r="A169" s="3272" t="s">
        <v>29</v>
      </c>
      <c r="B169" s="3261" t="s">
        <v>3187</v>
      </c>
      <c r="C169" s="3278"/>
      <c r="D169" s="3278"/>
      <c r="E169" s="3278"/>
      <c r="F169" s="3262">
        <v>0.05</v>
      </c>
      <c r="G169" s="3274"/>
    </row>
    <row r="170" spans="1:7">
      <c r="A170" s="3272" t="s">
        <v>29</v>
      </c>
      <c r="B170" s="3261" t="s">
        <v>3188</v>
      </c>
      <c r="C170" s="3278"/>
      <c r="D170" s="3278"/>
      <c r="E170" s="3278"/>
      <c r="F170" s="3262">
        <v>0.05</v>
      </c>
      <c r="G170" s="3274"/>
    </row>
    <row r="171" spans="1:7">
      <c r="A171" s="3272" t="s">
        <v>29</v>
      </c>
      <c r="B171" s="3261" t="s">
        <v>3189</v>
      </c>
      <c r="C171" s="3278"/>
      <c r="D171" s="3278"/>
      <c r="E171" s="3278"/>
      <c r="F171" s="3262">
        <v>0.05</v>
      </c>
      <c r="G171" s="3279"/>
    </row>
    <row r="172" spans="1:7">
      <c r="A172" s="3272" t="s">
        <v>29</v>
      </c>
      <c r="B172" s="3261" t="s">
        <v>3190</v>
      </c>
      <c r="C172" s="3278"/>
      <c r="D172" s="3278"/>
      <c r="E172" s="3278"/>
      <c r="F172" s="3262">
        <v>0.05</v>
      </c>
      <c r="G172" s="3279"/>
    </row>
    <row r="173" spans="1:7">
      <c r="A173" s="3272" t="s">
        <v>29</v>
      </c>
      <c r="B173" s="3261" t="s">
        <v>3191</v>
      </c>
      <c r="C173" s="3278"/>
      <c r="D173" s="3278"/>
      <c r="E173" s="3278"/>
      <c r="F173" s="3262">
        <v>0.05</v>
      </c>
      <c r="G173" s="3274"/>
    </row>
    <row r="174" spans="1:7">
      <c r="A174" s="3272" t="s">
        <v>29</v>
      </c>
      <c r="B174" s="3261" t="s">
        <v>3192</v>
      </c>
      <c r="C174" s="3278"/>
      <c r="D174" s="3278"/>
      <c r="E174" s="3278"/>
      <c r="F174" s="3262">
        <v>0.05</v>
      </c>
      <c r="G174" s="3274"/>
    </row>
    <row r="175" spans="1:7">
      <c r="A175" s="3272" t="s">
        <v>29</v>
      </c>
      <c r="B175" s="3261" t="s">
        <v>3193</v>
      </c>
      <c r="C175" s="3278"/>
      <c r="D175" s="3278"/>
      <c r="E175" s="3278"/>
      <c r="F175" s="3262">
        <v>0.05</v>
      </c>
      <c r="G175" s="3274"/>
    </row>
    <row r="176" spans="1:7">
      <c r="A176" s="3272" t="s">
        <v>29</v>
      </c>
      <c r="B176" s="3261" t="s">
        <v>3194</v>
      </c>
      <c r="C176" s="3278"/>
      <c r="D176" s="3278"/>
      <c r="E176" s="3278"/>
      <c r="F176" s="3262">
        <v>0.05</v>
      </c>
      <c r="G176" s="3274"/>
    </row>
    <row r="177" spans="1:7">
      <c r="A177" s="3272" t="s">
        <v>29</v>
      </c>
      <c r="B177" s="3261" t="s">
        <v>3195</v>
      </c>
      <c r="C177" s="3273"/>
      <c r="D177" s="3273"/>
      <c r="E177" s="3273"/>
      <c r="F177" s="3262">
        <v>0.05</v>
      </c>
      <c r="G177" s="3279"/>
    </row>
    <row r="178" spans="1:7">
      <c r="A178" s="3272" t="s">
        <v>29</v>
      </c>
      <c r="B178" s="3261" t="s">
        <v>3196</v>
      </c>
      <c r="C178" s="3273"/>
      <c r="D178" s="3273"/>
      <c r="E178" s="3273"/>
      <c r="F178" s="3262">
        <v>0.05</v>
      </c>
      <c r="G178" s="3279"/>
    </row>
    <row r="179" spans="1:7">
      <c r="A179" s="3272" t="s">
        <v>29</v>
      </c>
      <c r="B179" s="3261" t="s">
        <v>3197</v>
      </c>
      <c r="C179" s="3273"/>
      <c r="D179" s="3273"/>
      <c r="E179" s="3273"/>
      <c r="F179" s="3262">
        <v>0.05</v>
      </c>
      <c r="G179" s="3279"/>
    </row>
    <row r="180" spans="1:7">
      <c r="A180" s="3272" t="s">
        <v>29</v>
      </c>
      <c r="B180" s="3261" t="s">
        <v>3198</v>
      </c>
      <c r="C180" s="3273"/>
      <c r="D180" s="3273"/>
      <c r="E180" s="3273"/>
      <c r="F180" s="3262">
        <v>0.05</v>
      </c>
      <c r="G180" s="3279"/>
    </row>
    <row r="181" spans="1:7">
      <c r="A181" s="3272" t="s">
        <v>29</v>
      </c>
      <c r="B181" s="3261" t="s">
        <v>3199</v>
      </c>
      <c r="C181" s="3273"/>
      <c r="D181" s="3273"/>
      <c r="E181" s="3273"/>
      <c r="F181" s="3262">
        <v>0.05</v>
      </c>
      <c r="G181" s="3279"/>
    </row>
    <row r="182" spans="1:7">
      <c r="A182" s="3272" t="s">
        <v>29</v>
      </c>
      <c r="B182" s="3261" t="s">
        <v>3200</v>
      </c>
      <c r="C182" s="3273"/>
      <c r="D182" s="3273"/>
      <c r="E182" s="3273"/>
      <c r="F182" s="3262">
        <v>0.05</v>
      </c>
      <c r="G182" s="3279"/>
    </row>
    <row r="183" spans="1:7">
      <c r="A183" s="3272" t="s">
        <v>29</v>
      </c>
      <c r="B183" s="3261" t="s">
        <v>3201</v>
      </c>
      <c r="C183" s="3273"/>
      <c r="D183" s="3273"/>
      <c r="E183" s="3273"/>
      <c r="F183" s="3262">
        <v>0.05</v>
      </c>
      <c r="G183" s="3279"/>
    </row>
    <row r="184" spans="1:7">
      <c r="A184" s="3272" t="s">
        <v>29</v>
      </c>
      <c r="B184" s="3261" t="s">
        <v>3202</v>
      </c>
      <c r="C184" s="3273"/>
      <c r="D184" s="3273"/>
      <c r="E184" s="3273"/>
      <c r="F184" s="3262">
        <v>0.05</v>
      </c>
      <c r="G184" s="3279"/>
    </row>
    <row r="185" spans="1:7">
      <c r="A185" s="3272" t="s">
        <v>29</v>
      </c>
      <c r="B185" s="3261" t="s">
        <v>3203</v>
      </c>
      <c r="C185" s="3273"/>
      <c r="D185" s="3273"/>
      <c r="E185" s="3273"/>
      <c r="F185" s="3262">
        <v>0.05</v>
      </c>
      <c r="G185" s="3279"/>
    </row>
    <row r="186" spans="1:7">
      <c r="A186" s="3272" t="s">
        <v>29</v>
      </c>
      <c r="B186" s="3261" t="s">
        <v>3204</v>
      </c>
      <c r="C186" s="3273"/>
      <c r="D186" s="3273"/>
      <c r="E186" s="3273"/>
      <c r="F186" s="3262">
        <v>0.05</v>
      </c>
      <c r="G186" s="3279"/>
    </row>
    <row r="187" spans="1:7">
      <c r="A187" s="3272" t="s">
        <v>29</v>
      </c>
      <c r="B187" s="3261" t="s">
        <v>3205</v>
      </c>
      <c r="C187" s="3273"/>
      <c r="D187" s="3273"/>
      <c r="E187" s="3273"/>
      <c r="F187" s="3262">
        <v>0.05</v>
      </c>
      <c r="G187" s="3279"/>
    </row>
    <row r="188" spans="1:7">
      <c r="A188" s="3272" t="s">
        <v>29</v>
      </c>
      <c r="B188" s="3261" t="s">
        <v>3206</v>
      </c>
      <c r="C188" s="3273"/>
      <c r="D188" s="3273"/>
      <c r="E188" s="3273"/>
      <c r="F188" s="3262">
        <v>0.05</v>
      </c>
      <c r="G188" s="3279"/>
    </row>
    <row r="189" spans="1:7" ht="14.25" thickBot="1">
      <c r="A189" s="3275" t="s">
        <v>29</v>
      </c>
      <c r="B189" s="3265" t="s">
        <v>3207</v>
      </c>
      <c r="C189" s="3267"/>
      <c r="D189" s="3267"/>
      <c r="E189" s="3267"/>
      <c r="F189" s="3266">
        <v>0.05</v>
      </c>
      <c r="G189" s="3280"/>
    </row>
    <row r="190" spans="1:7">
      <c r="A190" s="3271" t="s">
        <v>304</v>
      </c>
      <c r="B190" s="3257" t="s">
        <v>2863</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2899</v>
      </c>
      <c r="C199" s="3262">
        <v>0.13</v>
      </c>
      <c r="D199" s="3262">
        <v>0.13</v>
      </c>
      <c r="E199" s="3262">
        <v>0.13</v>
      </c>
      <c r="F199" s="3262">
        <v>0.13</v>
      </c>
      <c r="G199" s="3263">
        <v>0.13</v>
      </c>
    </row>
    <row r="200" spans="1:7">
      <c r="A200" s="3272" t="s">
        <v>304</v>
      </c>
      <c r="B200" s="3261" t="s">
        <v>2902</v>
      </c>
      <c r="C200" s="3278"/>
      <c r="D200" s="3278"/>
      <c r="E200" s="3278"/>
      <c r="F200" s="3262">
        <v>0.13</v>
      </c>
      <c r="G200" s="3274"/>
    </row>
    <row r="201" spans="1:7">
      <c r="A201" s="3272" t="s">
        <v>304</v>
      </c>
      <c r="B201" s="3261" t="s">
        <v>2907</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2910</v>
      </c>
      <c r="C203" s="3262">
        <v>0.129</v>
      </c>
      <c r="D203" s="3262">
        <v>0.129</v>
      </c>
      <c r="E203" s="3262">
        <v>0.13</v>
      </c>
      <c r="F203" s="3262">
        <v>0.13</v>
      </c>
      <c r="G203" s="3263">
        <v>0.13</v>
      </c>
    </row>
    <row r="204" spans="1:7">
      <c r="A204" s="3272" t="s">
        <v>304</v>
      </c>
      <c r="B204" s="3261" t="s">
        <v>2913</v>
      </c>
      <c r="C204" s="3262">
        <v>0.129</v>
      </c>
      <c r="D204" s="3262">
        <v>0.129</v>
      </c>
      <c r="E204" s="3262">
        <v>0.123</v>
      </c>
      <c r="F204" s="3262">
        <v>0.13</v>
      </c>
      <c r="G204" s="3263">
        <v>0.13</v>
      </c>
    </row>
    <row r="205" spans="1:7">
      <c r="A205" s="3272" t="s">
        <v>304</v>
      </c>
      <c r="B205" s="3261" t="s">
        <v>2915</v>
      </c>
      <c r="C205" s="3262">
        <v>0.13</v>
      </c>
      <c r="D205" s="3262">
        <v>0.13</v>
      </c>
      <c r="E205" s="3262">
        <v>0.13</v>
      </c>
      <c r="F205" s="3262">
        <v>0.13</v>
      </c>
      <c r="G205" s="3263">
        <v>0.13</v>
      </c>
    </row>
    <row r="206" spans="1:7">
      <c r="A206" s="3272" t="s">
        <v>304</v>
      </c>
      <c r="B206" s="3261" t="s">
        <v>2918</v>
      </c>
      <c r="C206" s="3262">
        <v>0.13</v>
      </c>
      <c r="D206" s="3262">
        <v>0.13</v>
      </c>
      <c r="E206" s="3262">
        <v>0.13</v>
      </c>
      <c r="F206" s="3262">
        <v>0.128</v>
      </c>
      <c r="G206" s="3263">
        <v>0.13</v>
      </c>
    </row>
    <row r="207" spans="1:7">
      <c r="A207" s="3272" t="s">
        <v>304</v>
      </c>
      <c r="B207" s="3261" t="s">
        <v>2920</v>
      </c>
      <c r="C207" s="3262">
        <v>0.13</v>
      </c>
      <c r="D207" s="3262">
        <v>0.13</v>
      </c>
      <c r="E207" s="3262">
        <v>0.13</v>
      </c>
      <c r="F207" s="3262">
        <v>0.13</v>
      </c>
      <c r="G207" s="3263">
        <v>0.13</v>
      </c>
    </row>
    <row r="208" spans="1:7">
      <c r="A208" s="3272" t="s">
        <v>304</v>
      </c>
      <c r="B208" s="3261" t="s">
        <v>2923</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2930</v>
      </c>
      <c r="C210" s="3262">
        <v>0.121</v>
      </c>
      <c r="D210" s="3262">
        <v>0.121</v>
      </c>
      <c r="E210" s="3262">
        <v>0.125</v>
      </c>
      <c r="F210" s="3262">
        <v>0.13</v>
      </c>
      <c r="G210" s="3263">
        <v>0.123</v>
      </c>
    </row>
    <row r="211" spans="1:7">
      <c r="A211" s="3272" t="s">
        <v>304</v>
      </c>
      <c r="B211" s="3261" t="s">
        <v>2933</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2945</v>
      </c>
      <c r="C214" s="3262">
        <v>0.128</v>
      </c>
      <c r="D214" s="3262">
        <v>0.128</v>
      </c>
      <c r="E214" s="3262">
        <v>0.13</v>
      </c>
      <c r="F214" s="3262">
        <v>0.13</v>
      </c>
      <c r="G214" s="3263">
        <v>0.13</v>
      </c>
    </row>
    <row r="215" spans="1:7">
      <c r="A215" s="3272" t="s">
        <v>304</v>
      </c>
      <c r="B215" s="3261" t="s">
        <v>2949</v>
      </c>
      <c r="C215" s="3262">
        <v>0.13</v>
      </c>
      <c r="D215" s="3262">
        <v>0.13</v>
      </c>
      <c r="E215" s="3262">
        <v>0.13</v>
      </c>
      <c r="F215" s="3262">
        <v>0.129</v>
      </c>
      <c r="G215" s="3263">
        <v>0.13</v>
      </c>
    </row>
    <row r="216" spans="1:7">
      <c r="A216" s="3272" t="s">
        <v>304</v>
      </c>
      <c r="B216" s="3261" t="s">
        <v>2956</v>
      </c>
      <c r="C216" s="3262">
        <v>0.13</v>
      </c>
      <c r="D216" s="3262">
        <v>0.13</v>
      </c>
      <c r="E216" s="3262">
        <v>0.13</v>
      </c>
      <c r="F216" s="3262">
        <v>0.13</v>
      </c>
      <c r="G216" s="3263">
        <v>0.13</v>
      </c>
    </row>
    <row r="217" spans="1:7">
      <c r="A217" s="3272" t="s">
        <v>304</v>
      </c>
      <c r="B217" s="3261" t="s">
        <v>2963</v>
      </c>
      <c r="C217" s="3262">
        <v>0.129</v>
      </c>
      <c r="D217" s="3262">
        <v>0.129</v>
      </c>
      <c r="E217" s="3262">
        <v>0.13</v>
      </c>
      <c r="F217" s="3262">
        <v>0.13</v>
      </c>
      <c r="G217" s="3263">
        <v>0.13</v>
      </c>
    </row>
    <row r="218" spans="1:7">
      <c r="A218" s="3272" t="s">
        <v>304</v>
      </c>
      <c r="B218" s="3261" t="s">
        <v>2969</v>
      </c>
      <c r="C218" s="3273"/>
      <c r="D218" s="3273"/>
      <c r="E218" s="3273"/>
      <c r="F218" s="3262">
        <v>0.05</v>
      </c>
      <c r="G218" s="3279"/>
    </row>
    <row r="219" spans="1:7">
      <c r="A219" s="3272" t="s">
        <v>304</v>
      </c>
      <c r="B219" s="3261" t="s">
        <v>2976</v>
      </c>
      <c r="C219" s="3273"/>
      <c r="D219" s="3273"/>
      <c r="E219" s="3273"/>
      <c r="F219" s="3262">
        <v>0.05</v>
      </c>
      <c r="G219" s="3279"/>
    </row>
    <row r="220" spans="1:7">
      <c r="A220" s="3272" t="s">
        <v>304</v>
      </c>
      <c r="B220" s="3261" t="s">
        <v>2982</v>
      </c>
      <c r="C220" s="3273"/>
      <c r="D220" s="3273"/>
      <c r="E220" s="3273"/>
      <c r="F220" s="3262">
        <v>0.05</v>
      </c>
      <c r="G220" s="3279"/>
    </row>
    <row r="221" spans="1:7">
      <c r="A221" s="3272" t="s">
        <v>304</v>
      </c>
      <c r="B221" s="3261" t="s">
        <v>2987</v>
      </c>
      <c r="C221" s="3273"/>
      <c r="D221" s="3273"/>
      <c r="E221" s="3273"/>
      <c r="F221" s="3262">
        <v>0.05</v>
      </c>
      <c r="G221" s="3279"/>
    </row>
    <row r="222" spans="1:7">
      <c r="A222" s="3272" t="s">
        <v>304</v>
      </c>
      <c r="B222" s="3261" t="s">
        <v>2991</v>
      </c>
      <c r="C222" s="3273"/>
      <c r="D222" s="3273"/>
      <c r="E222" s="3273"/>
      <c r="F222" s="3262">
        <v>0.05</v>
      </c>
      <c r="G222" s="3279"/>
    </row>
    <row r="223" spans="1:7">
      <c r="A223" s="3272" t="s">
        <v>304</v>
      </c>
      <c r="B223" s="3261" t="s">
        <v>2996</v>
      </c>
      <c r="C223" s="3273"/>
      <c r="D223" s="3273"/>
      <c r="E223" s="3273"/>
      <c r="F223" s="3262">
        <v>0.05</v>
      </c>
      <c r="G223" s="3279"/>
    </row>
    <row r="224" spans="1:7">
      <c r="A224" s="3272" t="s">
        <v>304</v>
      </c>
      <c r="B224" s="3261" t="s">
        <v>3001</v>
      </c>
      <c r="C224" s="3273"/>
      <c r="D224" s="3273"/>
      <c r="E224" s="3273"/>
      <c r="F224" s="3262">
        <v>0.05</v>
      </c>
      <c r="G224" s="3279"/>
    </row>
    <row r="225" spans="1:7">
      <c r="A225" s="3272" t="s">
        <v>304</v>
      </c>
      <c r="B225" s="3261" t="s">
        <v>3006</v>
      </c>
      <c r="C225" s="3273"/>
      <c r="D225" s="3273"/>
      <c r="E225" s="3273"/>
      <c r="F225" s="3262">
        <v>0.05</v>
      </c>
      <c r="G225" s="3279"/>
    </row>
    <row r="226" spans="1:7">
      <c r="A226" s="3272" t="s">
        <v>304</v>
      </c>
      <c r="B226" s="3261" t="s">
        <v>3208</v>
      </c>
      <c r="C226" s="3273"/>
      <c r="D226" s="3273"/>
      <c r="E226" s="3273"/>
      <c r="F226" s="3262">
        <v>0.05</v>
      </c>
      <c r="G226" s="3279"/>
    </row>
    <row r="227" spans="1:7">
      <c r="A227" s="3272" t="s">
        <v>304</v>
      </c>
      <c r="B227" s="3261" t="s">
        <v>3209</v>
      </c>
      <c r="C227" s="3273"/>
      <c r="D227" s="3273"/>
      <c r="E227" s="3273"/>
      <c r="F227" s="3262">
        <v>0.05</v>
      </c>
      <c r="G227" s="3279"/>
    </row>
    <row r="228" spans="1:7">
      <c r="A228" s="3272" t="s">
        <v>304</v>
      </c>
      <c r="B228" s="3261" t="s">
        <v>3210</v>
      </c>
      <c r="C228" s="3273"/>
      <c r="D228" s="3273"/>
      <c r="E228" s="3273"/>
      <c r="F228" s="3262">
        <v>0.05</v>
      </c>
      <c r="G228" s="3279"/>
    </row>
    <row r="229" spans="1:7">
      <c r="A229" s="3272" t="s">
        <v>304</v>
      </c>
      <c r="B229" s="3261" t="s">
        <v>3211</v>
      </c>
      <c r="C229" s="3273"/>
      <c r="D229" s="3273"/>
      <c r="E229" s="3273"/>
      <c r="F229" s="3262">
        <v>0.05</v>
      </c>
      <c r="G229" s="3279"/>
    </row>
    <row r="230" spans="1:7">
      <c r="A230" s="3272" t="s">
        <v>304</v>
      </c>
      <c r="B230" s="3261" t="s">
        <v>3212</v>
      </c>
      <c r="C230" s="3273"/>
      <c r="D230" s="3273"/>
      <c r="E230" s="3273"/>
      <c r="F230" s="3262">
        <v>0.05</v>
      </c>
      <c r="G230" s="3279"/>
    </row>
    <row r="231" spans="1:7">
      <c r="A231" s="3272" t="s">
        <v>304</v>
      </c>
      <c r="B231" s="3261" t="s">
        <v>3213</v>
      </c>
      <c r="C231" s="3273"/>
      <c r="D231" s="3273"/>
      <c r="E231" s="3273"/>
      <c r="F231" s="3262">
        <v>0.05</v>
      </c>
      <c r="G231" s="3279"/>
    </row>
    <row r="232" spans="1:7">
      <c r="A232" s="3272" t="s">
        <v>304</v>
      </c>
      <c r="B232" s="3261" t="s">
        <v>3214</v>
      </c>
      <c r="C232" s="3273"/>
      <c r="D232" s="3273"/>
      <c r="E232" s="3273"/>
      <c r="F232" s="3262">
        <v>0.05</v>
      </c>
      <c r="G232" s="3279"/>
    </row>
    <row r="233" spans="1:7" ht="14.25" thickBot="1">
      <c r="A233" s="3275" t="s">
        <v>304</v>
      </c>
      <c r="B233" s="3265" t="s">
        <v>3215</v>
      </c>
      <c r="C233" s="3267"/>
      <c r="D233" s="3267"/>
      <c r="E233" s="3267"/>
      <c r="F233" s="3266">
        <v>0.05</v>
      </c>
      <c r="G233" s="3280"/>
    </row>
    <row r="234" spans="1:7">
      <c r="A234" s="3271" t="s">
        <v>305</v>
      </c>
      <c r="B234" s="3257" t="s">
        <v>2864</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2884</v>
      </c>
      <c r="C238" s="3262">
        <v>0.14899999999999999</v>
      </c>
      <c r="D238" s="3262">
        <v>0.14899999999999999</v>
      </c>
      <c r="E238" s="3262">
        <v>0.15</v>
      </c>
      <c r="F238" s="3262">
        <v>0.15</v>
      </c>
      <c r="G238" s="3263">
        <v>0.15</v>
      </c>
    </row>
    <row r="239" spans="1:7">
      <c r="A239" s="3272" t="s">
        <v>305</v>
      </c>
      <c r="B239" s="3261" t="s">
        <v>2888</v>
      </c>
      <c r="C239" s="3262">
        <v>0.15</v>
      </c>
      <c r="D239" s="3262">
        <v>0.15</v>
      </c>
      <c r="E239" s="3262">
        <v>0.15</v>
      </c>
      <c r="F239" s="3262">
        <v>0.15</v>
      </c>
      <c r="G239" s="3263">
        <v>0.15</v>
      </c>
    </row>
    <row r="240" spans="1:7">
      <c r="A240" s="3272" t="s">
        <v>305</v>
      </c>
      <c r="B240" s="3261" t="s">
        <v>2893</v>
      </c>
      <c r="C240" s="3262">
        <v>0.15</v>
      </c>
      <c r="D240" s="3262">
        <v>0.15</v>
      </c>
      <c r="E240" s="3262">
        <v>0.15</v>
      </c>
      <c r="F240" s="3262">
        <v>0.15</v>
      </c>
      <c r="G240" s="3263">
        <v>0.15</v>
      </c>
    </row>
    <row r="241" spans="1:7">
      <c r="A241" s="3272" t="s">
        <v>305</v>
      </c>
      <c r="B241" s="3261" t="s">
        <v>2897</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2903</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2911</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2916</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2924</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2937</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2946</v>
      </c>
      <c r="C258" s="3262">
        <v>0.14299999999999999</v>
      </c>
      <c r="D258" s="3262">
        <v>0.14299999999999999</v>
      </c>
      <c r="E258" s="3262">
        <v>0.15</v>
      </c>
      <c r="F258" s="3262">
        <v>0.14799999999999999</v>
      </c>
      <c r="G258" s="3263">
        <v>0.14599999999999999</v>
      </c>
    </row>
    <row r="259" spans="1:7">
      <c r="A259" s="3272" t="s">
        <v>305</v>
      </c>
      <c r="B259" s="3261" t="s">
        <v>2950</v>
      </c>
      <c r="C259" s="3262">
        <v>0.14399999999999999</v>
      </c>
      <c r="D259" s="3262">
        <v>0.14399999999999999</v>
      </c>
      <c r="E259" s="3262">
        <v>0.14899999999999999</v>
      </c>
      <c r="F259" s="3262">
        <v>0.14699999999999999</v>
      </c>
      <c r="G259" s="3263">
        <v>0.14599999999999999</v>
      </c>
    </row>
    <row r="260" spans="1:7">
      <c r="A260" s="3272" t="s">
        <v>305</v>
      </c>
      <c r="B260" s="3261" t="s">
        <v>2957</v>
      </c>
      <c r="C260" s="3262">
        <v>0.109</v>
      </c>
      <c r="D260" s="3262">
        <v>0.111</v>
      </c>
      <c r="E260" s="3262">
        <v>0.13100000000000001</v>
      </c>
      <c r="F260" s="3262">
        <v>0.126</v>
      </c>
      <c r="G260" s="3263">
        <v>0.11899999999999999</v>
      </c>
    </row>
    <row r="261" spans="1:7">
      <c r="A261" s="3272" t="s">
        <v>305</v>
      </c>
      <c r="B261" s="3261" t="s">
        <v>2964</v>
      </c>
      <c r="C261" s="3262">
        <v>0.1</v>
      </c>
      <c r="D261" s="3262">
        <v>0.1</v>
      </c>
      <c r="E261" s="3262">
        <v>0.11799999999999999</v>
      </c>
      <c r="F261" s="3262">
        <v>0.108</v>
      </c>
      <c r="G261" s="3263">
        <v>0.107</v>
      </c>
    </row>
    <row r="262" spans="1:7">
      <c r="A262" s="3272" t="s">
        <v>305</v>
      </c>
      <c r="B262" s="3261" t="s">
        <v>2970</v>
      </c>
      <c r="C262" s="3262">
        <v>0.1</v>
      </c>
      <c r="D262" s="3262">
        <v>0.1</v>
      </c>
      <c r="E262" s="3262">
        <v>0.1</v>
      </c>
      <c r="F262" s="3262">
        <v>0.14099999999999999</v>
      </c>
      <c r="G262" s="3263">
        <v>0.1</v>
      </c>
    </row>
    <row r="263" spans="1:7">
      <c r="A263" s="3272" t="s">
        <v>305</v>
      </c>
      <c r="B263" s="3261" t="s">
        <v>2977</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2988</v>
      </c>
      <c r="C265" s="3273"/>
      <c r="D265" s="3273"/>
      <c r="E265" s="3273"/>
      <c r="F265" s="3262">
        <v>0.05</v>
      </c>
      <c r="G265" s="3279"/>
    </row>
    <row r="266" spans="1:7">
      <c r="A266" s="3272" t="s">
        <v>305</v>
      </c>
      <c r="B266" s="3261" t="s">
        <v>2992</v>
      </c>
      <c r="C266" s="3273"/>
      <c r="D266" s="3273"/>
      <c r="E266" s="3273"/>
      <c r="F266" s="3262">
        <v>0.05</v>
      </c>
      <c r="G266" s="3279"/>
    </row>
    <row r="267" spans="1:7">
      <c r="A267" s="3272" t="s">
        <v>305</v>
      </c>
      <c r="B267" s="3261" t="s">
        <v>2997</v>
      </c>
      <c r="C267" s="3273"/>
      <c r="D267" s="3273"/>
      <c r="E267" s="3273"/>
      <c r="F267" s="3262">
        <v>0.05</v>
      </c>
      <c r="G267" s="3279"/>
    </row>
    <row r="268" spans="1:7">
      <c r="A268" s="3272" t="s">
        <v>305</v>
      </c>
      <c r="B268" s="3261" t="s">
        <v>3002</v>
      </c>
      <c r="C268" s="3273"/>
      <c r="D268" s="3273"/>
      <c r="E268" s="3273"/>
      <c r="F268" s="3262">
        <v>0.05</v>
      </c>
      <c r="G268" s="3279"/>
    </row>
    <row r="269" spans="1:7">
      <c r="A269" s="3272" t="s">
        <v>305</v>
      </c>
      <c r="B269" s="3261" t="s">
        <v>3007</v>
      </c>
      <c r="C269" s="3273"/>
      <c r="D269" s="3273"/>
      <c r="E269" s="3273"/>
      <c r="F269" s="3262">
        <v>0.05</v>
      </c>
      <c r="G269" s="3279"/>
    </row>
    <row r="270" spans="1:7">
      <c r="A270" s="3272" t="s">
        <v>305</v>
      </c>
      <c r="B270" s="3261" t="s">
        <v>3012</v>
      </c>
      <c r="C270" s="3273"/>
      <c r="D270" s="3273"/>
      <c r="E270" s="3273"/>
      <c r="F270" s="3262">
        <v>0.05</v>
      </c>
      <c r="G270" s="3279"/>
    </row>
    <row r="271" spans="1:7">
      <c r="A271" s="3272" t="s">
        <v>305</v>
      </c>
      <c r="B271" s="3261" t="s">
        <v>3216</v>
      </c>
      <c r="C271" s="3273"/>
      <c r="D271" s="3273"/>
      <c r="E271" s="3273"/>
      <c r="F271" s="3262">
        <v>0.05</v>
      </c>
      <c r="G271" s="3279"/>
    </row>
    <row r="272" spans="1:7">
      <c r="A272" s="3272" t="s">
        <v>305</v>
      </c>
      <c r="B272" s="3261" t="s">
        <v>3217</v>
      </c>
      <c r="C272" s="3273"/>
      <c r="D272" s="3273"/>
      <c r="E272" s="3273"/>
      <c r="F272" s="3262">
        <v>0.05</v>
      </c>
      <c r="G272" s="3279"/>
    </row>
    <row r="273" spans="1:7">
      <c r="A273" s="3272" t="s">
        <v>305</v>
      </c>
      <c r="B273" s="3261" t="s">
        <v>3218</v>
      </c>
      <c r="C273" s="3273"/>
      <c r="D273" s="3273"/>
      <c r="E273" s="3273"/>
      <c r="F273" s="3262">
        <v>0.05</v>
      </c>
      <c r="G273" s="3279"/>
    </row>
    <row r="274" spans="1:7">
      <c r="A274" s="3272" t="s">
        <v>305</v>
      </c>
      <c r="B274" s="3261" t="s">
        <v>3219</v>
      </c>
      <c r="C274" s="3273"/>
      <c r="D274" s="3273"/>
      <c r="E274" s="3273"/>
      <c r="F274" s="3262">
        <v>0.05</v>
      </c>
      <c r="G274" s="3279"/>
    </row>
    <row r="275" spans="1:7">
      <c r="A275" s="3272" t="s">
        <v>305</v>
      </c>
      <c r="B275" s="3261" t="s">
        <v>3220</v>
      </c>
      <c r="C275" s="3273"/>
      <c r="D275" s="3273"/>
      <c r="E275" s="3273"/>
      <c r="F275" s="3262">
        <v>0.05</v>
      </c>
      <c r="G275" s="3279"/>
    </row>
    <row r="276" spans="1:7" ht="14.25" thickBot="1">
      <c r="A276" s="3275" t="s">
        <v>305</v>
      </c>
      <c r="B276" s="3265" t="s">
        <v>3221</v>
      </c>
      <c r="C276" s="3267"/>
      <c r="D276" s="3267"/>
      <c r="E276" s="3267"/>
      <c r="F276" s="3266">
        <v>0.05</v>
      </c>
      <c r="G276" s="3280"/>
    </row>
    <row r="277" spans="1:7">
      <c r="A277" s="3271" t="s">
        <v>306</v>
      </c>
      <c r="B277" s="3257" t="s">
        <v>2865</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2877</v>
      </c>
      <c r="C279" s="3262">
        <v>0.15</v>
      </c>
      <c r="D279" s="3262">
        <v>0.15</v>
      </c>
      <c r="E279" s="3262">
        <v>0.15</v>
      </c>
      <c r="F279" s="3262">
        <v>0.15</v>
      </c>
      <c r="G279" s="3263">
        <v>0.15</v>
      </c>
    </row>
    <row r="280" spans="1:7">
      <c r="A280" s="3272" t="s">
        <v>306</v>
      </c>
      <c r="B280" s="3261" t="s">
        <v>2881</v>
      </c>
      <c r="C280" s="3262">
        <v>0.15</v>
      </c>
      <c r="D280" s="3262">
        <v>0.15</v>
      </c>
      <c r="E280" s="3262">
        <v>0.15</v>
      </c>
      <c r="F280" s="3262">
        <v>0.15</v>
      </c>
      <c r="G280" s="3263">
        <v>0.15</v>
      </c>
    </row>
    <row r="281" spans="1:7">
      <c r="A281" s="3272" t="s">
        <v>306</v>
      </c>
      <c r="B281" s="3261" t="s">
        <v>2885</v>
      </c>
      <c r="C281" s="3262">
        <v>0.15</v>
      </c>
      <c r="D281" s="3262">
        <v>0.15</v>
      </c>
      <c r="E281" s="3262">
        <v>0.15</v>
      </c>
      <c r="F281" s="3262">
        <v>0.15</v>
      </c>
      <c r="G281" s="3263">
        <v>0.15</v>
      </c>
    </row>
    <row r="282" spans="1:7">
      <c r="A282" s="3272" t="s">
        <v>306</v>
      </c>
      <c r="B282" s="3261" t="s">
        <v>2889</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2904</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2909</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2919</v>
      </c>
      <c r="C293" s="3262">
        <v>0.15</v>
      </c>
      <c r="D293" s="3262">
        <v>0.15</v>
      </c>
      <c r="E293" s="3262">
        <v>0.15</v>
      </c>
      <c r="F293" s="3262">
        <v>0.14499999999999999</v>
      </c>
      <c r="G293" s="3263">
        <v>0.15</v>
      </c>
    </row>
    <row r="294" spans="1:7">
      <c r="A294" s="3272" t="s">
        <v>306</v>
      </c>
      <c r="B294" s="3261" t="s">
        <v>2921</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2938</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2951</v>
      </c>
      <c r="C302" s="3262">
        <v>0.15</v>
      </c>
      <c r="D302" s="3262">
        <v>0.15</v>
      </c>
      <c r="E302" s="3262">
        <v>0.15</v>
      </c>
      <c r="F302" s="3262">
        <v>0.14699999999999999</v>
      </c>
      <c r="G302" s="3263">
        <v>0.15</v>
      </c>
    </row>
    <row r="303" spans="1:7">
      <c r="A303" s="3272" t="s">
        <v>306</v>
      </c>
      <c r="B303" s="3261" t="s">
        <v>2958</v>
      </c>
      <c r="C303" s="3262">
        <v>0.15</v>
      </c>
      <c r="D303" s="3262">
        <v>0.15</v>
      </c>
      <c r="E303" s="3262">
        <v>0.15</v>
      </c>
      <c r="F303" s="3262">
        <v>0.14199999999999999</v>
      </c>
      <c r="G303" s="3263">
        <v>0.15</v>
      </c>
    </row>
    <row r="304" spans="1:7">
      <c r="A304" s="3272" t="s">
        <v>306</v>
      </c>
      <c r="B304" s="3261" t="s">
        <v>2965</v>
      </c>
      <c r="C304" s="3262">
        <v>0.15</v>
      </c>
      <c r="D304" s="3262">
        <v>0.15</v>
      </c>
      <c r="E304" s="3262">
        <v>0.15</v>
      </c>
      <c r="F304" s="3262">
        <v>0.14499999999999999</v>
      </c>
      <c r="G304" s="3263">
        <v>0.15</v>
      </c>
    </row>
    <row r="305" spans="1:7">
      <c r="A305" s="3272" t="s">
        <v>306</v>
      </c>
      <c r="B305" s="3261" t="s">
        <v>2971</v>
      </c>
      <c r="C305" s="3262">
        <v>0.15</v>
      </c>
      <c r="D305" s="3262">
        <v>0.15</v>
      </c>
      <c r="E305" s="3262">
        <v>0.15</v>
      </c>
      <c r="F305" s="3262">
        <v>0.111</v>
      </c>
      <c r="G305" s="3263">
        <v>0.15</v>
      </c>
    </row>
    <row r="306" spans="1:7">
      <c r="A306" s="3272" t="s">
        <v>306</v>
      </c>
      <c r="B306" s="3261" t="s">
        <v>2978</v>
      </c>
      <c r="C306" s="3262">
        <v>0.15</v>
      </c>
      <c r="D306" s="3262">
        <v>0.15</v>
      </c>
      <c r="E306" s="3262">
        <v>0.15</v>
      </c>
      <c r="F306" s="3262">
        <v>0.126</v>
      </c>
      <c r="G306" s="3263">
        <v>0.15</v>
      </c>
    </row>
    <row r="307" spans="1:7">
      <c r="A307" s="3272" t="s">
        <v>306</v>
      </c>
      <c r="B307" s="3261" t="s">
        <v>2983</v>
      </c>
      <c r="C307" s="3262">
        <v>0.15</v>
      </c>
      <c r="D307" s="3262">
        <v>0.15</v>
      </c>
      <c r="E307" s="3262">
        <v>0.15</v>
      </c>
      <c r="F307" s="3262">
        <v>0.12</v>
      </c>
      <c r="G307" s="3263">
        <v>0.15</v>
      </c>
    </row>
    <row r="308" spans="1:7">
      <c r="A308" s="3272" t="s">
        <v>306</v>
      </c>
      <c r="B308" s="3261" t="s">
        <v>2989</v>
      </c>
      <c r="C308" s="3262">
        <v>0.15</v>
      </c>
      <c r="D308" s="3262">
        <v>0.15</v>
      </c>
      <c r="E308" s="3262">
        <v>0.15</v>
      </c>
      <c r="F308" s="3262">
        <v>0.13</v>
      </c>
      <c r="G308" s="3263">
        <v>0.15</v>
      </c>
    </row>
    <row r="309" spans="1:7">
      <c r="A309" s="3272" t="s">
        <v>306</v>
      </c>
      <c r="B309" s="3261" t="s">
        <v>2993</v>
      </c>
      <c r="C309" s="3262">
        <v>0.15</v>
      </c>
      <c r="D309" s="3262">
        <v>0.15</v>
      </c>
      <c r="E309" s="3262">
        <v>0.15</v>
      </c>
      <c r="F309" s="3262">
        <v>0.14099999999999999</v>
      </c>
      <c r="G309" s="3263">
        <v>0.15</v>
      </c>
    </row>
    <row r="310" spans="1:7">
      <c r="A310" s="3272" t="s">
        <v>306</v>
      </c>
      <c r="B310" s="3261" t="s">
        <v>2998</v>
      </c>
      <c r="C310" s="3262">
        <v>0.15</v>
      </c>
      <c r="D310" s="3262">
        <v>0.15</v>
      </c>
      <c r="E310" s="3262">
        <v>0.15</v>
      </c>
      <c r="F310" s="3262">
        <v>0.15</v>
      </c>
      <c r="G310" s="3263">
        <v>0.15</v>
      </c>
    </row>
    <row r="311" spans="1:7">
      <c r="A311" s="3272" t="s">
        <v>306</v>
      </c>
      <c r="B311" s="3261" t="s">
        <v>3003</v>
      </c>
      <c r="C311" s="3262">
        <v>0.13200000000000001</v>
      </c>
      <c r="D311" s="3262">
        <v>0.13300000000000001</v>
      </c>
      <c r="E311" s="3262">
        <v>0.14499999999999999</v>
      </c>
      <c r="F311" s="3262">
        <v>0.14199999999999999</v>
      </c>
      <c r="G311" s="3263">
        <v>0.14000000000000001</v>
      </c>
    </row>
    <row r="312" spans="1:7">
      <c r="A312" s="3272" t="s">
        <v>306</v>
      </c>
      <c r="B312" s="3261" t="s">
        <v>3008</v>
      </c>
      <c r="C312" s="3262">
        <v>0.13800000000000001</v>
      </c>
      <c r="D312" s="3262">
        <v>0.14000000000000001</v>
      </c>
      <c r="E312" s="3262">
        <v>0.14599999999999999</v>
      </c>
      <c r="F312" s="3262">
        <v>0.14899999999999999</v>
      </c>
      <c r="G312" s="3263">
        <v>0.14199999999999999</v>
      </c>
    </row>
    <row r="313" spans="1:7">
      <c r="A313" s="3272" t="s">
        <v>306</v>
      </c>
      <c r="B313" s="3261" t="s">
        <v>3013</v>
      </c>
      <c r="C313" s="3262">
        <v>0.125</v>
      </c>
      <c r="D313" s="3262">
        <v>0.127</v>
      </c>
      <c r="E313" s="3262">
        <v>0.14399999999999999</v>
      </c>
      <c r="F313" s="3262">
        <v>0.115</v>
      </c>
      <c r="G313" s="3263">
        <v>0.13600000000000001</v>
      </c>
    </row>
    <row r="314" spans="1:7">
      <c r="A314" s="3272" t="s">
        <v>306</v>
      </c>
      <c r="B314" s="3261" t="s">
        <v>3222</v>
      </c>
      <c r="C314" s="3278"/>
      <c r="D314" s="3278"/>
      <c r="E314" s="3278"/>
      <c r="F314" s="3262">
        <v>0.05</v>
      </c>
      <c r="G314" s="3279"/>
    </row>
    <row r="315" spans="1:7">
      <c r="A315" s="3272" t="s">
        <v>306</v>
      </c>
      <c r="B315" s="3261" t="s">
        <v>3223</v>
      </c>
      <c r="C315" s="3278"/>
      <c r="D315" s="3278"/>
      <c r="E315" s="3278"/>
      <c r="F315" s="3262">
        <v>0.05</v>
      </c>
      <c r="G315" s="3279"/>
    </row>
    <row r="316" spans="1:7">
      <c r="A316" s="3272" t="s">
        <v>306</v>
      </c>
      <c r="B316" s="3261" t="s">
        <v>3224</v>
      </c>
      <c r="C316" s="3273"/>
      <c r="D316" s="3273"/>
      <c r="E316" s="3273"/>
      <c r="F316" s="3262">
        <v>0.05</v>
      </c>
      <c r="G316" s="3279"/>
    </row>
    <row r="317" spans="1:7">
      <c r="A317" s="3272" t="s">
        <v>306</v>
      </c>
      <c r="B317" s="3261" t="s">
        <v>3225</v>
      </c>
      <c r="C317" s="3273"/>
      <c r="D317" s="3273"/>
      <c r="E317" s="3273"/>
      <c r="F317" s="3262">
        <v>0.05</v>
      </c>
      <c r="G317" s="3279"/>
    </row>
    <row r="318" spans="1:7">
      <c r="A318" s="3272" t="s">
        <v>306</v>
      </c>
      <c r="B318" s="3261" t="s">
        <v>3226</v>
      </c>
      <c r="C318" s="3273"/>
      <c r="D318" s="3273"/>
      <c r="E318" s="3273"/>
      <c r="F318" s="3262">
        <v>0.05</v>
      </c>
      <c r="G318" s="3279"/>
    </row>
    <row r="319" spans="1:7">
      <c r="A319" s="3272" t="s">
        <v>306</v>
      </c>
      <c r="B319" s="3261" t="s">
        <v>3227</v>
      </c>
      <c r="C319" s="3273"/>
      <c r="D319" s="3273"/>
      <c r="E319" s="3273"/>
      <c r="F319" s="3262">
        <v>0.05</v>
      </c>
      <c r="G319" s="3279"/>
    </row>
    <row r="320" spans="1:7">
      <c r="A320" s="3272" t="s">
        <v>306</v>
      </c>
      <c r="B320" s="3261" t="s">
        <v>3228</v>
      </c>
      <c r="C320" s="3273"/>
      <c r="D320" s="3273"/>
      <c r="E320" s="3273"/>
      <c r="F320" s="3262">
        <v>0.05</v>
      </c>
      <c r="G320" s="3279"/>
    </row>
    <row r="321" spans="1:7">
      <c r="A321" s="3272" t="s">
        <v>306</v>
      </c>
      <c r="B321" s="3261" t="s">
        <v>3229</v>
      </c>
      <c r="C321" s="3273"/>
      <c r="D321" s="3273"/>
      <c r="E321" s="3273"/>
      <c r="F321" s="3262">
        <v>0.05</v>
      </c>
      <c r="G321" s="3279"/>
    </row>
    <row r="322" spans="1:7">
      <c r="A322" s="3272" t="s">
        <v>306</v>
      </c>
      <c r="B322" s="3261" t="s">
        <v>3230</v>
      </c>
      <c r="C322" s="3273"/>
      <c r="D322" s="3273"/>
      <c r="E322" s="3273"/>
      <c r="F322" s="3262">
        <v>0.05</v>
      </c>
      <c r="G322" s="3279"/>
    </row>
    <row r="323" spans="1:7">
      <c r="A323" s="3272" t="s">
        <v>306</v>
      </c>
      <c r="B323" s="3261" t="s">
        <v>3231</v>
      </c>
      <c r="C323" s="3273"/>
      <c r="D323" s="3273"/>
      <c r="E323" s="3273"/>
      <c r="F323" s="3262">
        <v>0.05</v>
      </c>
      <c r="G323" s="3279"/>
    </row>
    <row r="324" spans="1:7">
      <c r="A324" s="3272" t="s">
        <v>306</v>
      </c>
      <c r="B324" s="3261" t="s">
        <v>3232</v>
      </c>
      <c r="C324" s="3273"/>
      <c r="D324" s="3273"/>
      <c r="E324" s="3273"/>
      <c r="F324" s="3262">
        <v>0.05</v>
      </c>
      <c r="G324" s="3279"/>
    </row>
    <row r="325" spans="1:7">
      <c r="A325" s="3272" t="s">
        <v>306</v>
      </c>
      <c r="B325" s="3261" t="s">
        <v>3233</v>
      </c>
      <c r="C325" s="3273"/>
      <c r="D325" s="3273"/>
      <c r="E325" s="3273"/>
      <c r="F325" s="3262">
        <v>0.05</v>
      </c>
      <c r="G325" s="3279"/>
    </row>
    <row r="326" spans="1:7" ht="14.25" thickBot="1">
      <c r="A326" s="3275" t="s">
        <v>306</v>
      </c>
      <c r="B326" s="3265" t="s">
        <v>3234</v>
      </c>
      <c r="C326" s="3267"/>
      <c r="D326" s="3267"/>
      <c r="E326" s="3267"/>
      <c r="F326" s="3266">
        <v>0.05</v>
      </c>
      <c r="G326" s="3280"/>
    </row>
    <row r="327" spans="1:7">
      <c r="A327" s="3271" t="s">
        <v>307</v>
      </c>
      <c r="B327" s="3257" t="s">
        <v>2866</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2878</v>
      </c>
      <c r="C329" s="3262">
        <v>0.15</v>
      </c>
      <c r="D329" s="3262">
        <v>0.15</v>
      </c>
      <c r="E329" s="3262">
        <v>0.15</v>
      </c>
      <c r="F329" s="3262">
        <v>0.15</v>
      </c>
      <c r="G329" s="3263">
        <v>0.15</v>
      </c>
    </row>
    <row r="330" spans="1:7">
      <c r="A330" s="3272" t="s">
        <v>307</v>
      </c>
      <c r="B330" s="3261" t="s">
        <v>2882</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2890</v>
      </c>
      <c r="C332" s="3262">
        <v>0.15</v>
      </c>
      <c r="D332" s="3262">
        <v>0.15</v>
      </c>
      <c r="E332" s="3262">
        <v>0.15</v>
      </c>
      <c r="F332" s="3262">
        <v>0.15</v>
      </c>
      <c r="G332" s="3263">
        <v>0.15</v>
      </c>
    </row>
    <row r="333" spans="1:7">
      <c r="A333" s="3272" t="s">
        <v>307</v>
      </c>
      <c r="B333" s="3261" t="s">
        <v>2894</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2900</v>
      </c>
      <c r="C336" s="3262">
        <v>0.15</v>
      </c>
      <c r="D336" s="3262">
        <v>0.15</v>
      </c>
      <c r="E336" s="3262">
        <v>0.15</v>
      </c>
      <c r="F336" s="3262">
        <v>0.14199999999999999</v>
      </c>
      <c r="G336" s="3263">
        <v>0.15</v>
      </c>
    </row>
    <row r="337" spans="1:7">
      <c r="A337" s="3272" t="s">
        <v>307</v>
      </c>
      <c r="B337" s="3261" t="s">
        <v>2905</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2912</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2917</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2925</v>
      </c>
      <c r="C345" s="3262">
        <v>0.15</v>
      </c>
      <c r="D345" s="3262">
        <v>0.15</v>
      </c>
      <c r="E345" s="3262">
        <v>0.15</v>
      </c>
      <c r="F345" s="3262">
        <v>0.13800000000000001</v>
      </c>
      <c r="G345" s="3263">
        <v>0.15</v>
      </c>
    </row>
    <row r="346" spans="1:7">
      <c r="A346" s="3272" t="s">
        <v>307</v>
      </c>
      <c r="B346" s="3261" t="s">
        <v>2927</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2934</v>
      </c>
      <c r="C348" s="3262">
        <v>0.15</v>
      </c>
      <c r="D348" s="3262">
        <v>0.15</v>
      </c>
      <c r="E348" s="3262">
        <v>0.15</v>
      </c>
      <c r="F348" s="3262">
        <v>0.14399999999999999</v>
      </c>
      <c r="G348" s="3263">
        <v>0.15</v>
      </c>
    </row>
    <row r="349" spans="1:7">
      <c r="A349" s="3272" t="s">
        <v>307</v>
      </c>
      <c r="B349" s="3261" t="s">
        <v>2939</v>
      </c>
      <c r="C349" s="3262">
        <v>0.15</v>
      </c>
      <c r="D349" s="3262">
        <v>0.15</v>
      </c>
      <c r="E349" s="3262">
        <v>0.15</v>
      </c>
      <c r="F349" s="3262">
        <v>0.15</v>
      </c>
      <c r="G349" s="3263">
        <v>0.15</v>
      </c>
    </row>
    <row r="350" spans="1:7">
      <c r="A350" s="3272" t="s">
        <v>307</v>
      </c>
      <c r="B350" s="3261" t="s">
        <v>2942</v>
      </c>
      <c r="C350" s="3262">
        <v>0.15</v>
      </c>
      <c r="D350" s="3262">
        <v>0.15</v>
      </c>
      <c r="E350" s="3262">
        <v>0.15</v>
      </c>
      <c r="F350" s="3262">
        <v>0.14699999999999999</v>
      </c>
      <c r="G350" s="3263">
        <v>0.15</v>
      </c>
    </row>
    <row r="351" spans="1:7">
      <c r="A351" s="3272" t="s">
        <v>307</v>
      </c>
      <c r="B351" s="3261" t="s">
        <v>2947</v>
      </c>
      <c r="C351" s="3262">
        <v>0.15</v>
      </c>
      <c r="D351" s="3262">
        <v>0.15</v>
      </c>
      <c r="E351" s="3262">
        <v>0.15</v>
      </c>
      <c r="F351" s="3262">
        <v>0.13</v>
      </c>
      <c r="G351" s="3263">
        <v>0.15</v>
      </c>
    </row>
    <row r="352" spans="1:7">
      <c r="A352" s="3272" t="s">
        <v>307</v>
      </c>
      <c r="B352" s="3261" t="s">
        <v>2952</v>
      </c>
      <c r="C352" s="3262">
        <v>0.15</v>
      </c>
      <c r="D352" s="3262">
        <v>0.15</v>
      </c>
      <c r="E352" s="3262">
        <v>0.15</v>
      </c>
      <c r="F352" s="3262">
        <v>0.14599999999999999</v>
      </c>
      <c r="G352" s="3263">
        <v>0.15</v>
      </c>
    </row>
    <row r="353" spans="1:7">
      <c r="A353" s="3272" t="s">
        <v>307</v>
      </c>
      <c r="B353" s="3261" t="s">
        <v>2959</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2972</v>
      </c>
      <c r="C355" s="3262">
        <v>0.15</v>
      </c>
      <c r="D355" s="3262">
        <v>0.15</v>
      </c>
      <c r="E355" s="3262">
        <v>0.15</v>
      </c>
      <c r="F355" s="3262">
        <v>0.15</v>
      </c>
      <c r="G355" s="3263">
        <v>0.15</v>
      </c>
    </row>
    <row r="356" spans="1:7">
      <c r="A356" s="3272" t="s">
        <v>307</v>
      </c>
      <c r="B356" s="3261" t="s">
        <v>2979</v>
      </c>
      <c r="C356" s="3262">
        <v>0.15</v>
      </c>
      <c r="D356" s="3262">
        <v>0.15</v>
      </c>
      <c r="E356" s="3262">
        <v>0.15</v>
      </c>
      <c r="F356" s="3262">
        <v>0.15</v>
      </c>
      <c r="G356" s="3263">
        <v>0.15</v>
      </c>
    </row>
    <row r="357" spans="1:7" ht="14.25" thickBot="1">
      <c r="A357" s="3275" t="s">
        <v>307</v>
      </c>
      <c r="B357" s="3265" t="s">
        <v>2984</v>
      </c>
      <c r="C357" s="3266">
        <v>0.126</v>
      </c>
      <c r="D357" s="3266">
        <v>0.127</v>
      </c>
      <c r="E357" s="3266">
        <v>0.14299999999999999</v>
      </c>
      <c r="F357" s="3266">
        <v>0.125</v>
      </c>
      <c r="G357" s="3268">
        <v>0.129</v>
      </c>
    </row>
    <row r="358" spans="1:7">
      <c r="A358" s="3271" t="s">
        <v>2853</v>
      </c>
      <c r="B358" s="3257" t="s">
        <v>2867</v>
      </c>
      <c r="C358" s="3258">
        <v>0.15</v>
      </c>
      <c r="D358" s="3258">
        <v>0.15</v>
      </c>
      <c r="E358" s="3258">
        <v>0.15</v>
      </c>
      <c r="F358" s="3258">
        <v>0.15</v>
      </c>
      <c r="G358" s="3259">
        <v>0.15</v>
      </c>
    </row>
    <row r="359" spans="1:7">
      <c r="A359" s="3272" t="s">
        <v>2853</v>
      </c>
      <c r="B359" s="3261" t="s">
        <v>2873</v>
      </c>
      <c r="C359" s="3262">
        <v>0.1</v>
      </c>
      <c r="D359" s="3262">
        <v>0.1</v>
      </c>
      <c r="E359" s="3262">
        <v>0.1</v>
      </c>
      <c r="F359" s="3262">
        <v>0.1</v>
      </c>
      <c r="G359" s="3263">
        <v>0.1</v>
      </c>
    </row>
    <row r="360" spans="1:7">
      <c r="A360" s="3272" t="s">
        <v>2853</v>
      </c>
      <c r="B360" s="3261" t="s">
        <v>2879</v>
      </c>
      <c r="C360" s="3262">
        <v>0.15</v>
      </c>
      <c r="D360" s="3262">
        <v>0.15</v>
      </c>
      <c r="E360" s="3262">
        <v>0.15</v>
      </c>
      <c r="F360" s="3262">
        <v>0.14899999999999999</v>
      </c>
      <c r="G360" s="3263">
        <v>0.15</v>
      </c>
    </row>
    <row r="361" spans="1:7">
      <c r="A361" s="3272" t="s">
        <v>2853</v>
      </c>
      <c r="B361" s="3261" t="s">
        <v>153</v>
      </c>
      <c r="C361" s="3262">
        <v>0.15</v>
      </c>
      <c r="D361" s="3262">
        <v>0.15</v>
      </c>
      <c r="E361" s="3262">
        <v>0.15</v>
      </c>
      <c r="F361" s="3262">
        <v>0.115</v>
      </c>
      <c r="G361" s="3263">
        <v>0.15</v>
      </c>
    </row>
    <row r="362" spans="1:7">
      <c r="A362" s="3272" t="s">
        <v>2853</v>
      </c>
      <c r="B362" s="3261" t="s">
        <v>2886</v>
      </c>
      <c r="C362" s="3262">
        <v>0.15</v>
      </c>
      <c r="D362" s="3262">
        <v>0.15</v>
      </c>
      <c r="E362" s="3262">
        <v>0.15</v>
      </c>
      <c r="F362" s="3262">
        <v>0.106</v>
      </c>
      <c r="G362" s="3263">
        <v>0.15</v>
      </c>
    </row>
    <row r="363" spans="1:7">
      <c r="A363" s="3272" t="s">
        <v>2853</v>
      </c>
      <c r="B363" s="3261" t="s">
        <v>2891</v>
      </c>
      <c r="C363" s="3262">
        <v>0.15</v>
      </c>
      <c r="D363" s="3262">
        <v>0.15</v>
      </c>
      <c r="E363" s="3262">
        <v>0.15</v>
      </c>
      <c r="F363" s="3262">
        <v>0.14699999999999999</v>
      </c>
      <c r="G363" s="3263">
        <v>0.15</v>
      </c>
    </row>
    <row r="364" spans="1:7">
      <c r="A364" s="3272" t="s">
        <v>2853</v>
      </c>
      <c r="B364" s="3261" t="s">
        <v>2895</v>
      </c>
      <c r="C364" s="3262">
        <v>0.15</v>
      </c>
      <c r="D364" s="3262">
        <v>0.15</v>
      </c>
      <c r="E364" s="3262">
        <v>0.15</v>
      </c>
      <c r="F364" s="3262">
        <v>0.14799999999999999</v>
      </c>
      <c r="G364" s="3263">
        <v>0.15</v>
      </c>
    </row>
    <row r="365" spans="1:7">
      <c r="A365" s="3272" t="s">
        <v>2853</v>
      </c>
      <c r="B365" s="3261" t="s">
        <v>200</v>
      </c>
      <c r="C365" s="3262">
        <v>0.15</v>
      </c>
      <c r="D365" s="3262">
        <v>0.15</v>
      </c>
      <c r="E365" s="3262">
        <v>0.15</v>
      </c>
      <c r="F365" s="3262">
        <v>0.15</v>
      </c>
      <c r="G365" s="3263">
        <v>0.15</v>
      </c>
    </row>
    <row r="366" spans="1:7">
      <c r="A366" s="3272" t="s">
        <v>2853</v>
      </c>
      <c r="B366" s="3261" t="s">
        <v>2898</v>
      </c>
      <c r="C366" s="3262">
        <v>0.15</v>
      </c>
      <c r="D366" s="3262">
        <v>0.15</v>
      </c>
      <c r="E366" s="3262">
        <v>0.15</v>
      </c>
      <c r="F366" s="3262">
        <v>0.15</v>
      </c>
      <c r="G366" s="3263">
        <v>0.15</v>
      </c>
    </row>
    <row r="367" spans="1:7">
      <c r="A367" s="3272" t="s">
        <v>2853</v>
      </c>
      <c r="B367" s="3261" t="s">
        <v>2901</v>
      </c>
      <c r="C367" s="3262">
        <v>0.15</v>
      </c>
      <c r="D367" s="3262">
        <v>0.15</v>
      </c>
      <c r="E367" s="3262">
        <v>0.15</v>
      </c>
      <c r="F367" s="3262">
        <v>0.14699999999999999</v>
      </c>
      <c r="G367" s="3263">
        <v>0.15</v>
      </c>
    </row>
    <row r="368" spans="1:7">
      <c r="A368" s="3272" t="s">
        <v>2853</v>
      </c>
      <c r="B368" s="3261" t="s">
        <v>2906</v>
      </c>
      <c r="C368" s="3262">
        <v>0.15</v>
      </c>
      <c r="D368" s="3262">
        <v>0.15</v>
      </c>
      <c r="E368" s="3262">
        <v>0.15</v>
      </c>
      <c r="F368" s="3262">
        <v>0.13600000000000001</v>
      </c>
      <c r="G368" s="3263">
        <v>0.15</v>
      </c>
    </row>
    <row r="369" spans="1:7">
      <c r="A369" s="3272" t="s">
        <v>2853</v>
      </c>
      <c r="B369" s="3261" t="s">
        <v>214</v>
      </c>
      <c r="C369" s="3262">
        <v>0.15</v>
      </c>
      <c r="D369" s="3262">
        <v>0.15</v>
      </c>
      <c r="E369" s="3262">
        <v>0.15</v>
      </c>
      <c r="F369" s="3262">
        <v>0.14399999999999999</v>
      </c>
      <c r="G369" s="3263">
        <v>0.15</v>
      </c>
    </row>
    <row r="370" spans="1:7">
      <c r="A370" s="3272" t="s">
        <v>2853</v>
      </c>
      <c r="B370" s="3261" t="s">
        <v>221</v>
      </c>
      <c r="C370" s="3262">
        <v>0.15</v>
      </c>
      <c r="D370" s="3262">
        <v>0.15</v>
      </c>
      <c r="E370" s="3262">
        <v>0.15</v>
      </c>
      <c r="F370" s="3262">
        <v>0.14599999999999999</v>
      </c>
      <c r="G370" s="3263">
        <v>0.15</v>
      </c>
    </row>
    <row r="371" spans="1:7">
      <c r="A371" s="3272" t="s">
        <v>2853</v>
      </c>
      <c r="B371" s="3261" t="s">
        <v>229</v>
      </c>
      <c r="C371" s="3262">
        <v>0.15</v>
      </c>
      <c r="D371" s="3262">
        <v>0.15</v>
      </c>
      <c r="E371" s="3262">
        <v>0.15</v>
      </c>
      <c r="F371" s="3262">
        <v>0.12</v>
      </c>
      <c r="G371" s="3263">
        <v>0.15</v>
      </c>
    </row>
    <row r="372" spans="1:7">
      <c r="A372" s="3272" t="s">
        <v>2853</v>
      </c>
      <c r="B372" s="3261" t="s">
        <v>2914</v>
      </c>
      <c r="C372" s="3262">
        <v>0.15</v>
      </c>
      <c r="D372" s="3262">
        <v>0.15</v>
      </c>
      <c r="E372" s="3262">
        <v>0.15</v>
      </c>
      <c r="F372" s="3262">
        <v>0.14299999999999999</v>
      </c>
      <c r="G372" s="3263">
        <v>0.15</v>
      </c>
    </row>
    <row r="373" spans="1:7">
      <c r="A373" s="3272" t="s">
        <v>2853</v>
      </c>
      <c r="B373" s="3261" t="s">
        <v>258</v>
      </c>
      <c r="C373" s="3262">
        <v>0.15</v>
      </c>
      <c r="D373" s="3262">
        <v>0.15</v>
      </c>
      <c r="E373" s="3262">
        <v>0.15</v>
      </c>
      <c r="F373" s="3262">
        <v>0.14599999999999999</v>
      </c>
      <c r="G373" s="3263">
        <v>0.15</v>
      </c>
    </row>
    <row r="374" spans="1:7">
      <c r="A374" s="3272" t="s">
        <v>2853</v>
      </c>
      <c r="B374" s="3261" t="s">
        <v>266</v>
      </c>
      <c r="C374" s="3262">
        <v>0.15</v>
      </c>
      <c r="D374" s="3262">
        <v>0.15</v>
      </c>
      <c r="E374" s="3262">
        <v>0.15</v>
      </c>
      <c r="F374" s="3262">
        <v>0.14399999999999999</v>
      </c>
      <c r="G374" s="3263">
        <v>0.15</v>
      </c>
    </row>
    <row r="375" spans="1:7">
      <c r="A375" s="3272" t="s">
        <v>2853</v>
      </c>
      <c r="B375" s="3261" t="s">
        <v>2922</v>
      </c>
      <c r="C375" s="3262">
        <v>0.15</v>
      </c>
      <c r="D375" s="3262">
        <v>0.15</v>
      </c>
      <c r="E375" s="3262">
        <v>0.15</v>
      </c>
      <c r="F375" s="3262">
        <v>0.13</v>
      </c>
      <c r="G375" s="3263">
        <v>0.15</v>
      </c>
    </row>
    <row r="376" spans="1:7">
      <c r="A376" s="3272" t="s">
        <v>2853</v>
      </c>
      <c r="B376" s="3261" t="s">
        <v>277</v>
      </c>
      <c r="C376" s="3262">
        <v>0.15</v>
      </c>
      <c r="D376" s="3262">
        <v>0.15</v>
      </c>
      <c r="E376" s="3262">
        <v>0.15</v>
      </c>
      <c r="F376" s="3262">
        <v>0.14199999999999999</v>
      </c>
      <c r="G376" s="3263">
        <v>0.15</v>
      </c>
    </row>
    <row r="377" spans="1:7" ht="14.25" thickBot="1">
      <c r="A377" s="3275" t="s">
        <v>2853</v>
      </c>
      <c r="B377" s="3265" t="s">
        <v>2928</v>
      </c>
      <c r="C377" s="3266">
        <v>0.15</v>
      </c>
      <c r="D377" s="3266">
        <v>0.15</v>
      </c>
      <c r="E377" s="3266">
        <v>0.15</v>
      </c>
      <c r="F377" s="3266">
        <v>0.14000000000000001</v>
      </c>
      <c r="G377" s="3268">
        <v>0.15</v>
      </c>
    </row>
    <row r="378" spans="1:7">
      <c r="A378" s="3271" t="s">
        <v>2854</v>
      </c>
      <c r="B378" s="3257" t="s">
        <v>2868</v>
      </c>
      <c r="C378" s="3258">
        <v>0.15</v>
      </c>
      <c r="D378" s="3258">
        <v>0.15</v>
      </c>
      <c r="E378" s="3258">
        <v>0.15</v>
      </c>
      <c r="F378" s="3258">
        <v>0.107</v>
      </c>
      <c r="G378" s="3259">
        <v>0.15</v>
      </c>
    </row>
    <row r="379" spans="1:7">
      <c r="A379" s="3272" t="s">
        <v>2854</v>
      </c>
      <c r="B379" s="3261" t="s">
        <v>2874</v>
      </c>
      <c r="C379" s="3262">
        <v>0.15</v>
      </c>
      <c r="D379" s="3262">
        <v>0.15</v>
      </c>
      <c r="E379" s="3262">
        <v>0.15</v>
      </c>
      <c r="F379" s="3262">
        <v>0.115</v>
      </c>
      <c r="G379" s="3263">
        <v>0.14899999999999999</v>
      </c>
    </row>
    <row r="380" spans="1:7">
      <c r="A380" s="3272" t="s">
        <v>2854</v>
      </c>
      <c r="B380" s="3261" t="s">
        <v>2880</v>
      </c>
      <c r="C380" s="3262">
        <v>0.15</v>
      </c>
      <c r="D380" s="3262">
        <v>0.15</v>
      </c>
      <c r="E380" s="3262">
        <v>0.15</v>
      </c>
      <c r="F380" s="3262">
        <v>0.1</v>
      </c>
      <c r="G380" s="3263">
        <v>0.14799999999999999</v>
      </c>
    </row>
    <row r="381" spans="1:7">
      <c r="A381" s="3272" t="s">
        <v>2854</v>
      </c>
      <c r="B381" s="3261" t="s">
        <v>2883</v>
      </c>
      <c r="C381" s="3262">
        <v>0.15</v>
      </c>
      <c r="D381" s="3262">
        <v>0.15</v>
      </c>
      <c r="E381" s="3262">
        <v>0.15</v>
      </c>
      <c r="F381" s="3262">
        <v>0.126</v>
      </c>
      <c r="G381" s="3263">
        <v>0.15</v>
      </c>
    </row>
    <row r="382" spans="1:7">
      <c r="A382" s="3272" t="s">
        <v>2854</v>
      </c>
      <c r="B382" s="3261" t="s">
        <v>2887</v>
      </c>
      <c r="C382" s="3262">
        <v>0.15</v>
      </c>
      <c r="D382" s="3262">
        <v>0.15</v>
      </c>
      <c r="E382" s="3262">
        <v>0.15</v>
      </c>
      <c r="F382" s="3262">
        <v>0.15</v>
      </c>
      <c r="G382" s="3263">
        <v>0.15</v>
      </c>
    </row>
    <row r="383" spans="1:7">
      <c r="A383" s="3272" t="s">
        <v>2854</v>
      </c>
      <c r="B383" s="3261" t="s">
        <v>2892</v>
      </c>
      <c r="C383" s="3262">
        <v>0.15</v>
      </c>
      <c r="D383" s="3262">
        <v>0.15</v>
      </c>
      <c r="E383" s="3262">
        <v>0.15</v>
      </c>
      <c r="F383" s="3262">
        <v>0.14699999999999999</v>
      </c>
      <c r="G383" s="3263">
        <v>0.15</v>
      </c>
    </row>
    <row r="384" spans="1:7" ht="14.25" thickBot="1">
      <c r="A384" s="3282" t="s">
        <v>2854</v>
      </c>
      <c r="B384" s="3283" t="s">
        <v>2896</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4004" t="s">
        <v>3235</v>
      </c>
      <c r="B1" s="4004"/>
      <c r="C1" s="4004"/>
      <c r="D1" s="4004"/>
      <c r="E1" s="4004"/>
      <c r="F1" s="4005"/>
    </row>
    <row r="2" spans="1:6">
      <c r="A2" s="3288" t="s">
        <v>3236</v>
      </c>
      <c r="B2" s="3289"/>
      <c r="C2" s="3289"/>
      <c r="D2" s="3289"/>
      <c r="E2" s="3289"/>
      <c r="F2" s="3289"/>
    </row>
    <row r="3" spans="1:6">
      <c r="A3" s="3288" t="s">
        <v>3237</v>
      </c>
      <c r="B3" s="3289"/>
      <c r="C3" s="3289"/>
      <c r="D3" s="3289"/>
      <c r="E3" s="3289"/>
      <c r="F3" s="3290" t="s">
        <v>3238</v>
      </c>
    </row>
    <row r="4" spans="1:6">
      <c r="A4" s="3291" t="s">
        <v>672</v>
      </c>
      <c r="B4" s="3291" t="s">
        <v>673</v>
      </c>
      <c r="C4" s="3291" t="s">
        <v>21</v>
      </c>
      <c r="D4" s="3291" t="s">
        <v>674</v>
      </c>
      <c r="E4" s="3291" t="s">
        <v>3</v>
      </c>
      <c r="F4" s="3291" t="s">
        <v>3239</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8">
        <f>基准地价修正!G23</f>
        <v>45426</v>
      </c>
      <c r="B1" s="3207" t="s">
        <v>2841</v>
      </c>
      <c r="C1" s="3208"/>
      <c r="D1" s="3208"/>
      <c r="E1" s="3208"/>
      <c r="F1" s="3208"/>
      <c r="G1" s="3208"/>
      <c r="H1" s="3208"/>
      <c r="I1" s="3208"/>
      <c r="J1" s="3162"/>
      <c r="K1" s="3208" t="s">
        <v>454</v>
      </c>
      <c r="L1" s="3208"/>
      <c r="M1" s="3208"/>
      <c r="N1" s="3208"/>
      <c r="O1" s="3208"/>
      <c r="P1" s="3208"/>
      <c r="Q1" s="3162"/>
      <c r="R1" s="4006" t="s">
        <v>456</v>
      </c>
      <c r="S1" s="4007"/>
      <c r="T1" s="4007"/>
      <c r="U1" s="4007"/>
      <c r="V1" s="4007"/>
      <c r="W1" s="4007"/>
      <c r="X1" s="3162"/>
      <c r="Y1" s="4006" t="s">
        <v>457</v>
      </c>
      <c r="Z1" s="4007"/>
      <c r="AA1" s="4007"/>
      <c r="AB1" s="4007"/>
      <c r="AC1" s="4007"/>
      <c r="AD1" s="4007"/>
    </row>
    <row r="2" spans="1:30" s="3140" customFormat="1" ht="14.25" thickBot="1">
      <c r="B2" s="3141"/>
      <c r="C2" s="3142"/>
      <c r="D2" s="3143" t="s">
        <v>2809</v>
      </c>
      <c r="E2" s="3144" t="s">
        <v>2810</v>
      </c>
      <c r="F2" s="3144" t="s">
        <v>2811</v>
      </c>
      <c r="G2" s="3144" t="s">
        <v>2812</v>
      </c>
      <c r="H2" s="3144" t="s">
        <v>2813</v>
      </c>
      <c r="I2" s="3144" t="s">
        <v>2630</v>
      </c>
      <c r="J2" s="3145"/>
      <c r="K2" s="3143" t="s">
        <v>2809</v>
      </c>
      <c r="L2" s="3144" t="s">
        <v>2810</v>
      </c>
      <c r="M2" s="3144" t="s">
        <v>2811</v>
      </c>
      <c r="N2" s="3144" t="s">
        <v>2812</v>
      </c>
      <c r="O2" s="3144" t="s">
        <v>2814</v>
      </c>
      <c r="P2" s="3144" t="s">
        <v>2630</v>
      </c>
      <c r="Q2" s="3145"/>
      <c r="R2" s="3143" t="s">
        <v>2809</v>
      </c>
      <c r="S2" s="3144" t="s">
        <v>2810</v>
      </c>
      <c r="T2" s="3144" t="s">
        <v>2811</v>
      </c>
      <c r="U2" s="3144" t="s">
        <v>2815</v>
      </c>
      <c r="V2" s="3144" t="s">
        <v>2816</v>
      </c>
      <c r="W2" s="3144" t="s">
        <v>2630</v>
      </c>
      <c r="X2" s="3145"/>
      <c r="Y2" s="3143" t="s">
        <v>2809</v>
      </c>
      <c r="Z2" s="3144" t="s">
        <v>2810</v>
      </c>
      <c r="AA2" s="3144" t="s">
        <v>2811</v>
      </c>
      <c r="AB2" s="3144" t="s">
        <v>2817</v>
      </c>
      <c r="AC2" s="3144" t="s">
        <v>2816</v>
      </c>
      <c r="AD2" s="3144" t="s">
        <v>2630</v>
      </c>
    </row>
    <row r="3" spans="1:30" s="3158" customFormat="1" ht="12.75">
      <c r="A3" s="3146" t="s">
        <v>2818</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3371</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3372</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3370</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2819</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2820</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ROUND(IF([5]项目基本情况!B8="出让",SUMPRODUCT(PRODUCT(1+K9:K16)),SUMPRODUCT(PRODUCT(1+K9:K15))),4)</f>
        <v>1.0565</v>
      </c>
      <c r="S9" s="3189">
        <f>ROUND(IF([5]项目基本情况!B8="出让",SUMPRODUCT(PRODUCT(1+L9:L16)),SUMPRODUCT(PRODUCT(1+L9:L15))),4)</f>
        <v>1.0250999999999999</v>
      </c>
      <c r="T9" s="3189">
        <f>ROUND(IF([5]项目基本情况!B8="出让",SUMPRODUCT(PRODUCT(1+M9:M16)),SUMPRODUCT(PRODUCT(1+M9:M15))),4)</f>
        <v>1.0145</v>
      </c>
      <c r="U9" s="3189">
        <f>ROUND(IF([5]项目基本情况!B8="出让",SUMPRODUCT(PRODUCT(1+N9:N16)),SUMPRODUCT(PRODUCT(1+N9:N15))),4)</f>
        <v>1.0618000000000001</v>
      </c>
      <c r="V9" s="3189">
        <f>ROUND(IF([5]项目基本情况!B8="出让",SUMPRODUCT(PRODUCT(1+O9:O16)),SUMPRODUCT(PRODUCT(1+O9:O15))),4)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3365</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ROUND(IF([5]项目基本情况!B8="出让",SUMPRODUCT(PRODUCT(1+K10:K16)),SUMPRODUCT(PRODUCT(1+K10:K15))),4)</f>
        <v>1.05</v>
      </c>
      <c r="S10" s="3180">
        <f>ROUND(IF([5]项目基本情况!B8="出让",SUMPRODUCT(PRODUCT(1+L10:L16)),SUMPRODUCT(PRODUCT(1+L10:L15))),4)</f>
        <v>1.0229999999999999</v>
      </c>
      <c r="T10" s="3180">
        <f>ROUND(IF([5]项目基本情况!B8="出让",SUMPRODUCT(PRODUCT(1+M10:M16)),SUMPRODUCT(PRODUCT(1+M10:M15))),4)</f>
        <v>1.0134000000000001</v>
      </c>
      <c r="U10" s="3180">
        <f>ROUND(IF([5]项目基本情况!B8="出让",SUMPRODUCT(PRODUCT(1+N10:N16)),SUMPRODUCT(PRODUCT(1+N10:N15))),4)</f>
        <v>1.0545</v>
      </c>
      <c r="V10" s="3180">
        <f>ROUND(IF([5]项目基本情况!B8="出让",SUMPRODUCT(PRODUCT(1+O10:O16)),SUMPRODUCT(PRODUCT(1+O10:O15))),4)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3356</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ROUND(IF([5]项目基本情况!B8="出让",SUMPRODUCT(PRODUCT(1+K11:K16)),SUMPRODUCT(PRODUCT(1+K11:K15))),4)</f>
        <v>1.0430999999999999</v>
      </c>
      <c r="S11" s="3180">
        <f>ROUND(IF([5]项目基本情况!B8="出让",SUMPRODUCT(PRODUCT(1+L11:L16)),SUMPRODUCT(PRODUCT(1+L11:L15))),4)</f>
        <v>1.0197000000000001</v>
      </c>
      <c r="T11" s="3180">
        <f>ROUND(IF([5]项目基本情况!B8="出让",SUMPRODUCT(PRODUCT(1+M11:M16)),SUMPRODUCT(PRODUCT(1+M11:M15))),4)</f>
        <v>1.0109999999999999</v>
      </c>
      <c r="U11" s="3180">
        <f>ROUND(IF([5]项目基本情况!B8="出让",SUMPRODUCT(PRODUCT(1+N11:N16)),SUMPRODUCT(PRODUCT(1+N11:N15))),4)</f>
        <v>1.0468999999999999</v>
      </c>
      <c r="V11" s="3180">
        <f>ROUND(IF([5]项目基本情况!B8="出让",SUMPRODUCT(PRODUCT(1+O11:O16)),SUMPRODUCT(PRODUCT(1+O11:O15))),4)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2821</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ROUND(IF([5]项目基本情况!B8="出让",SUMPRODUCT(PRODUCT(1+K12:K16)),SUMPRODUCT(PRODUCT(1+K12:K15))),4)</f>
        <v>1.0335000000000001</v>
      </c>
      <c r="S12" s="3180">
        <f>ROUND(IF([5]项目基本情况!B8="出让",SUMPRODUCT(PRODUCT(1+L12:L16)),SUMPRODUCT(PRODUCT(1+L12:L15))),4)</f>
        <v>1.0182</v>
      </c>
      <c r="T12" s="3180">
        <f>ROUND(IF([5]项目基本情况!B8="出让",SUMPRODUCT(PRODUCT(1+M12:M16)),SUMPRODUCT(PRODUCT(1+M12:M15))),4)</f>
        <v>1.0108999999999999</v>
      </c>
      <c r="U12" s="3180">
        <f>ROUND(IF([5]项目基本情况!B8="出让",SUMPRODUCT(PRODUCT(1+N12:N16)),SUMPRODUCT(PRODUCT(1+N12:N15))),4)</f>
        <v>1.0361</v>
      </c>
      <c r="V12" s="3180">
        <f>ROUND(IF([5]项目基本情况!B8="出让",SUMPRODUCT(PRODUCT(1+O12:O16)),SUMPRODUCT(PRODUCT(1+O12:O15))),4)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2822</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ROUND(IF([5]项目基本情况!B8="出让",SUMPRODUCT(PRODUCT(1+K13:K16)),SUMPRODUCT(PRODUCT(1+K13:K15))),4)</f>
        <v>1.0244</v>
      </c>
      <c r="S13" s="3180">
        <f>ROUND(IF([5]项目基本情况!B8="出让",SUMPRODUCT(PRODUCT(1+L13:L16)),SUMPRODUCT(PRODUCT(1+L13:L15))),4)</f>
        <v>1.0138</v>
      </c>
      <c r="T13" s="3180">
        <f>ROUND(IF([5]项目基本情况!B8="出让",SUMPRODUCT(PRODUCT(1+M13:M16)),SUMPRODUCT(PRODUCT(1+M13:M15))),4)</f>
        <v>1.0072000000000001</v>
      </c>
      <c r="U13" s="3180">
        <f>ROUND(IF([5]项目基本情况!B8="出让",SUMPRODUCT(PRODUCT(1+N13:N16)),SUMPRODUCT(PRODUCT(1+N13:N15))),4)</f>
        <v>1.0262</v>
      </c>
      <c r="V13" s="3180">
        <f>ROUND(IF([5]项目基本情况!B8="出让",SUMPRODUCT(PRODUCT(1+O13:O16)),SUMPRODUCT(PRODUCT(1+O13:O15))),4)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2823</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ROUND(IF([5]项目基本情况!B8="出让",SUMPRODUCT(PRODUCT(1+K14:K16)),SUMPRODUCT(PRODUCT(1+K14:K15))),4)</f>
        <v>1.0139</v>
      </c>
      <c r="S14" s="3180">
        <f>ROUND(IF([5]项目基本情况!B8="出让",SUMPRODUCT(PRODUCT(1+L14:L16)),SUMPRODUCT(PRODUCT(1+L14:L15))),4)</f>
        <v>1.0113000000000001</v>
      </c>
      <c r="T14" s="3180">
        <f>ROUND(IF([5]项目基本情况!B8="出让",SUMPRODUCT(PRODUCT(1+M14:M16)),SUMPRODUCT(PRODUCT(1+M14:M15))),4)</f>
        <v>1.0065</v>
      </c>
      <c r="U14" s="3180">
        <f>ROUND(IF([5]项目基本情况!B8="出让",SUMPRODUCT(PRODUCT(1+N14:N16)),SUMPRODUCT(PRODUCT(1+N14:N15))),4)</f>
        <v>1.0143</v>
      </c>
      <c r="V14" s="3180">
        <f>ROUND(IF([5]项目基本情况!B8="出让",SUMPRODUCT(PRODUCT(1+O14:O16)),SUMPRODUCT(PRODUCT(1+O14:O15))),4)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2824</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ROUND(IF([5]项目基本情况!B8="出让",SUMPRODUCT(PRODUCT(1+K15:K16)),SUMPRODUCT(PRODUCT(1+K15:K15))),4)</f>
        <v>1.0092000000000001</v>
      </c>
      <c r="S15" s="3180">
        <f>ROUND(IF([5]项目基本情况!B8="出让",SUMPRODUCT(PRODUCT(1+L15:L16)),SUMPRODUCT(PRODUCT(1+L15:L15))),4)</f>
        <v>1.0072000000000001</v>
      </c>
      <c r="T15" s="3180">
        <f>ROUND(IF([5]项目基本情况!B8="出让",SUMPRODUCT(PRODUCT(1+M15:M16)),SUMPRODUCT(PRODUCT(1+M15:M15))),4)</f>
        <v>1.0041</v>
      </c>
      <c r="U15" s="3180">
        <f>ROUND(IF([5]项目基本情况!B8="出让",SUMPRODUCT(PRODUCT(1+N15:N16)),SUMPRODUCT(PRODUCT(1+N15:N15))),4)</f>
        <v>1.0095000000000001</v>
      </c>
      <c r="V15" s="3180">
        <f>ROUND(IF([5]项目基本情况!B8="出让",SUMPRODUCT(PRODUCT(1+O15:O16)),SUMPRODUCT(PRODUCT(1+O15:O15))),4)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2825</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4" t="s">
        <v>3368</v>
      </c>
    </row>
    <row r="19" spans="1:30" s="3006" customFormat="1">
      <c r="I19" s="3205" t="s">
        <v>2826</v>
      </c>
    </row>
    <row r="20" spans="1:30" s="3006" customFormat="1"/>
    <row r="21" spans="1:30" s="3206" customFormat="1" ht="12.75">
      <c r="B21" s="3207" t="s">
        <v>2827</v>
      </c>
      <c r="C21" s="3208"/>
      <c r="D21" s="3208"/>
      <c r="E21" s="3208"/>
      <c r="F21" s="3208"/>
      <c r="G21" s="3208"/>
      <c r="H21" s="3208"/>
      <c r="I21" s="3208"/>
      <c r="J21" s="3162"/>
      <c r="K21" s="3208" t="s">
        <v>2828</v>
      </c>
      <c r="L21" s="3208"/>
      <c r="M21" s="3208"/>
      <c r="N21" s="3208"/>
      <c r="O21" s="3208"/>
      <c r="P21" s="3208"/>
      <c r="Q21" s="3162"/>
      <c r="R21" s="4006" t="s">
        <v>2829</v>
      </c>
      <c r="S21" s="4007"/>
      <c r="T21" s="4007"/>
      <c r="U21" s="4007"/>
      <c r="V21" s="4007"/>
      <c r="W21" s="4007"/>
      <c r="X21" s="3162"/>
      <c r="Y21" s="4006" t="s">
        <v>2830</v>
      </c>
      <c r="Z21" s="4007"/>
      <c r="AA21" s="4007"/>
      <c r="AB21" s="4007"/>
      <c r="AC21" s="4007"/>
      <c r="AD21" s="4007"/>
    </row>
    <row r="22" spans="1:30" s="3140" customFormat="1" ht="14.25" thickBot="1">
      <c r="B22" s="3141"/>
      <c r="C22" s="3142"/>
      <c r="D22" s="3143" t="s">
        <v>2831</v>
      </c>
      <c r="E22" s="3144" t="s">
        <v>2832</v>
      </c>
      <c r="F22" s="3144" t="s">
        <v>2833</v>
      </c>
      <c r="G22" s="3144" t="s">
        <v>2834</v>
      </c>
      <c r="H22" s="3144"/>
      <c r="I22" s="3144" t="s">
        <v>2835</v>
      </c>
      <c r="J22" s="3145"/>
      <c r="K22" s="3143" t="s">
        <v>2831</v>
      </c>
      <c r="L22" s="3144" t="s">
        <v>2832</v>
      </c>
      <c r="M22" s="3144" t="s">
        <v>2833</v>
      </c>
      <c r="N22" s="3144" t="s">
        <v>2834</v>
      </c>
      <c r="O22" s="3144"/>
      <c r="P22" s="3144" t="s">
        <v>2835</v>
      </c>
      <c r="Q22" s="3145"/>
      <c r="R22" s="3143" t="s">
        <v>2831</v>
      </c>
      <c r="S22" s="3144" t="s">
        <v>2832</v>
      </c>
      <c r="T22" s="3144" t="s">
        <v>2833</v>
      </c>
      <c r="U22" s="3144" t="s">
        <v>2834</v>
      </c>
      <c r="V22" s="3144"/>
      <c r="W22" s="3144" t="s">
        <v>2835</v>
      </c>
      <c r="X22" s="3145"/>
      <c r="Y22" s="3143" t="s">
        <v>2831</v>
      </c>
      <c r="Z22" s="3144" t="s">
        <v>2832</v>
      </c>
      <c r="AA22" s="3144" t="s">
        <v>2833</v>
      </c>
      <c r="AB22" s="3144" t="s">
        <v>2834</v>
      </c>
      <c r="AC22" s="3144"/>
      <c r="AD22" s="3144" t="s">
        <v>2835</v>
      </c>
    </row>
    <row r="23" spans="1:30" s="3158" customFormat="1" ht="12.75">
      <c r="A23" s="3146" t="s">
        <v>2836</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3371</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ROUND(IF([5]项目基本情况!$B$8="出让",SUMPRODUCT(PRODUCT(1+L25:L$36)),SUMPRODUCT(PRODUCT(1+L25:L$35))),4)</f>
        <v>1.0286999999999999</v>
      </c>
      <c r="T25" s="3180">
        <f>ROUND(IF([5]项目基本情况!$B$8="出让",SUMPRODUCT(PRODUCT(1+M25:M$36)),SUMPRODUCT(PRODUCT(1+M25:M$35))),4)</f>
        <v>1.0164</v>
      </c>
      <c r="U25" s="3180">
        <f>ROUND(IF([5]项目基本情况!$B$8="出让",SUMPRODUCT(PRODUCT(1+N25:N$36)),SUMPRODUCT(PRODUCT(1+N25:N$35))),4)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3372</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ROUND(IF([5]项目基本情况!$B$8="出让",SUMPRODUCT(PRODUCT(1+L26:L$36)),SUMPRODUCT(PRODUCT(1+L26:L$35))),4)</f>
        <v>1.0286999999999999</v>
      </c>
      <c r="T26" s="3180">
        <f>ROUND(IF([5]项目基本情况!$B$8="出让",SUMPRODUCT(PRODUCT(1+M26:M$36)),SUMPRODUCT(PRODUCT(1+M26:M$35))),4)</f>
        <v>1.0164</v>
      </c>
      <c r="U26" s="3180">
        <f>ROUND(IF([5]项目基本情况!$B$8="出让",SUMPRODUCT(PRODUCT(1+N26:N$36)),SUMPRODUCT(PRODUCT(1+N26:N$35))),4)</f>
        <v>1.0506</v>
      </c>
      <c r="V26" s="3180"/>
      <c r="W26" s="3180">
        <f t="shared" ref="W26:W28" si="32">T26</f>
        <v>1.0164</v>
      </c>
      <c r="X26" s="3178"/>
      <c r="Y26" s="3181"/>
      <c r="Z26" s="3209"/>
      <c r="AA26" s="3445"/>
      <c r="AB26" s="3445"/>
      <c r="AC26" s="3210"/>
      <c r="AD26" s="3181"/>
    </row>
    <row r="27" spans="1:30" s="3182" customFormat="1" ht="12.75">
      <c r="A27" s="3173" t="s">
        <v>3370</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ROUND(IF([5]项目基本情况!$B$8="出让",SUMPRODUCT(PRODUCT(1+L27:L$36)),SUMPRODUCT(PRODUCT(1+L27:L$35))),4)</f>
        <v>1.0286999999999999</v>
      </c>
      <c r="T27" s="3180">
        <f>ROUND(IF([5]项目基本情况!$B$8="出让",SUMPRODUCT(PRODUCT(1+M27:M$36)),SUMPRODUCT(PRODUCT(1+M27:M$35))),4)</f>
        <v>1.0164</v>
      </c>
      <c r="U27" s="3180">
        <f>ROUND(IF([5]项目基本情况!$B$8="出让",SUMPRODUCT(PRODUCT(1+N27:N$36)),SUMPRODUCT(PRODUCT(1+N27:N$35))),4)</f>
        <v>1.0506</v>
      </c>
      <c r="V27" s="3180"/>
      <c r="W27" s="3180">
        <f t="shared" si="32"/>
        <v>1.0164</v>
      </c>
      <c r="X27" s="3178"/>
      <c r="Y27" s="3181"/>
      <c r="Z27" s="3209"/>
      <c r="AA27" s="3445"/>
      <c r="AB27" s="3445"/>
      <c r="AC27" s="3210"/>
      <c r="AD27" s="3181"/>
    </row>
    <row r="28" spans="1:30" s="3182" customFormat="1" ht="12.75">
      <c r="A28" s="3173" t="s">
        <v>2819</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ROUND(IF([5]项目基本情况!$B$8="出让",SUMPRODUCT(PRODUCT(1+L28:L$36)),SUMPRODUCT(PRODUCT(1+L28:L$35))),4)</f>
        <v>1.0286999999999999</v>
      </c>
      <c r="T28" s="3180">
        <f>ROUND(IF([5]项目基本情况!$B$8="出让",SUMPRODUCT(PRODUCT(1+M28:M$36)),SUMPRODUCT(PRODUCT(1+M28:M$35))),4)</f>
        <v>1.0164</v>
      </c>
      <c r="U28" s="3180">
        <f>ROUND(IF([5]项目基本情况!$B$8="出让",SUMPRODUCT(PRODUCT(1+N28:N$36)),SUMPRODUCT(PRODUCT(1+N28:N$35))),4)</f>
        <v>1.0506</v>
      </c>
      <c r="V28" s="3180"/>
      <c r="W28" s="3180">
        <f t="shared" si="32"/>
        <v>1.0164</v>
      </c>
      <c r="X28" s="3178"/>
      <c r="Y28" s="3181"/>
      <c r="Z28" s="3209"/>
      <c r="AA28" s="3445"/>
      <c r="AB28" s="3445"/>
      <c r="AC28" s="3210"/>
      <c r="AD28" s="3181"/>
    </row>
    <row r="29" spans="1:30" s="3192" customFormat="1" ht="12.75">
      <c r="A29" s="3183" t="s">
        <v>3366</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ROUND(IF([5]项目基本情况!$B$8="出让",SUMPRODUCT(PRODUCT(1+L29:L$36)),SUMPRODUCT(PRODUCT(1+L29:L$35))),4)</f>
        <v>1.0286999999999999</v>
      </c>
      <c r="T29" s="3189">
        <f>ROUND(IF([5]项目基本情况!$B$8="出让",SUMPRODUCT(PRODUCT(1+M29:M$36)),SUMPRODUCT(PRODUCT(1+M29:M$35))),4)</f>
        <v>1.0164</v>
      </c>
      <c r="U29" s="3189">
        <f>ROUND(IF([5]项目基本情况!$B$8="出让",SUMPRODUCT(PRODUCT(1+N29:N$36)),SUMPRODUCT(PRODUCT(1+N29:N$35))),4)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3367</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ROUND(IF([5]项目基本情况!$B$8="出让",SUMPRODUCT(PRODUCT(1+L30:L$36)),SUMPRODUCT(PRODUCT(1+L30:L$35))),4)</f>
        <v>1.0241</v>
      </c>
      <c r="T30" s="3180">
        <f>ROUND(IF([5]项目基本情况!$B$8="出让",SUMPRODUCT(PRODUCT(1+M30:M$36)),SUMPRODUCT(PRODUCT(1+M30:M$35))),4)</f>
        <v>1.0144</v>
      </c>
      <c r="U30" s="3180">
        <f>ROUND(IF([5]项目基本情况!$B$8="出让",SUMPRODUCT(PRODUCT(1+N30:N$36)),SUMPRODUCT(PRODUCT(1+N30:N$35))),4)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3356</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ROUND(IF([5]项目基本情况!$B$8="出让",SUMPRODUCT(PRODUCT(1+L31:L$36)),SUMPRODUCT(PRODUCT(1+L31:L$35))),4)</f>
        <v>1.0210999999999999</v>
      </c>
      <c r="T31" s="3180">
        <f>ROUND(IF([5]项目基本情况!$B$8="出让",SUMPRODUCT(PRODUCT(1+M31:M$36)),SUMPRODUCT(PRODUCT(1+M31:M$35))),4)</f>
        <v>1.0114000000000001</v>
      </c>
      <c r="U31" s="3180">
        <f>ROUND(IF([5]项目基本情况!$B$8="出让",SUMPRODUCT(PRODUCT(1+N31:N$36)),SUMPRODUCT(PRODUCT(1+N31:N$35))),4)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2837</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ROUND(IF([5]项目基本情况!$B$8="出让",SUMPRODUCT(PRODUCT(1+L32:L$36)),SUMPRODUCT(PRODUCT(1+L32:L$35))),4)</f>
        <v>1.0222</v>
      </c>
      <c r="T32" s="3180">
        <f>ROUND(IF([5]项目基本情况!$B$8="出让",SUMPRODUCT(PRODUCT(1+M32:M$36)),SUMPRODUCT(PRODUCT(1+M32:M$35))),4)</f>
        <v>1.0127999999999999</v>
      </c>
      <c r="U32" s="3180">
        <f>ROUND(IF([5]项目基本情况!$B$8="出让",SUMPRODUCT(PRODUCT(1+N32:N$36)),SUMPRODUCT(PRODUCT(1+N32:N$35))),4)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2838</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ROUND(IF([5]项目基本情况!$B$8="出让",SUMPRODUCT(PRODUCT(1+L33:L$36)),SUMPRODUCT(PRODUCT(1+L33:L$35))),4)</f>
        <v>1.0161</v>
      </c>
      <c r="T33" s="3180">
        <f>ROUND(IF([5]项目基本情况!$B$8="出让",SUMPRODUCT(PRODUCT(1+M33:M$36)),SUMPRODUCT(PRODUCT(1+M33:M$35))),4)</f>
        <v>1.0082</v>
      </c>
      <c r="U33" s="3180">
        <f>ROUND(IF([5]项目基本情况!$B$8="出让",SUMPRODUCT(PRODUCT(1+N33:N$36)),SUMPRODUCT(PRODUCT(1+N33:N$35))),4)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2839</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ROUND(IF([5]项目基本情况!$B$8="出让",SUMPRODUCT(PRODUCT(1+L34:L$36)),SUMPRODUCT(PRODUCT(1+L34:L$35))),4)</f>
        <v>1.0102</v>
      </c>
      <c r="T34" s="3180">
        <f>ROUND(IF([5]项目基本情况!$B$8="出让",SUMPRODUCT(PRODUCT(1+M34:M$36)),SUMPRODUCT(PRODUCT(1+M34:M$35))),4)</f>
        <v>1.0074000000000001</v>
      </c>
      <c r="U34" s="3180">
        <f>ROUND(IF([5]项目基本情况!$B$8="出让",SUMPRODUCT(PRODUCT(1+N34:N$36)),SUMPRODUCT(PRODUCT(1+N34:N$35))),4)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2840</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ROUND(IF([5]项目基本情况!$B$8="出让",SUMPRODUCT(PRODUCT(1+L35:L$36)),SUMPRODUCT(PRODUCT(1+L35:L$35))),4)</f>
        <v>1.0055000000000001</v>
      </c>
      <c r="T35" s="3180">
        <f>ROUND(IF([5]项目基本情况!$B$8="出让",SUMPRODUCT(PRODUCT(1+M35:M$36)),SUMPRODUCT(PRODUCT(1+M35:M$35))),4)</f>
        <v>1.0045999999999999</v>
      </c>
      <c r="U35" s="3180">
        <f>ROUND(IF([5]项目基本情况!$B$8="出让",SUMPRODUCT(PRODUCT(1+N35:N$36)),SUMPRODUCT(PRODUCT(1+N35:N$35))),4)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2825</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4"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4013" t="s">
        <v>452</v>
      </c>
      <c r="C1" s="4013"/>
      <c r="D1" s="4013"/>
      <c r="E1" s="4013"/>
      <c r="F1" s="4013"/>
      <c r="G1" s="4012" t="s">
        <v>453</v>
      </c>
      <c r="H1" s="4012"/>
      <c r="I1" s="4012"/>
      <c r="J1" s="4012"/>
      <c r="K1" s="4012"/>
      <c r="L1" s="4012"/>
      <c r="N1" s="4012" t="s">
        <v>454</v>
      </c>
      <c r="O1" s="4012"/>
      <c r="P1" s="4012"/>
      <c r="Q1" s="4012"/>
      <c r="S1" s="4012" t="s">
        <v>455</v>
      </c>
      <c r="T1" s="4012"/>
      <c r="U1" s="4012"/>
      <c r="V1" s="4012"/>
      <c r="X1" s="4011" t="s">
        <v>456</v>
      </c>
      <c r="Y1" s="4012"/>
      <c r="Z1" s="4012"/>
      <c r="AA1" s="4012"/>
      <c r="AB1" s="4012"/>
      <c r="AD1" s="4011" t="s">
        <v>457</v>
      </c>
      <c r="AE1" s="4012"/>
      <c r="AF1" s="4012"/>
      <c r="AG1" s="4012"/>
      <c r="AH1" s="401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400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400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400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401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401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400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400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401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401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400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400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401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400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400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400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401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400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400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400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401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401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401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401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401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400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400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400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401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400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400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400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401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400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400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400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401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400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400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400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401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400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400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400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401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400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400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400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401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400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400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400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401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400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400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400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401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400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400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400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401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400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400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400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401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400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400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400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401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B13" sqref="B13:H13"/>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45426</v>
      </c>
      <c r="D1" s="1302" t="s">
        <v>603</v>
      </c>
      <c r="E1" s="1297">
        <f>'数据-取费表'!B22</f>
        <v>2</v>
      </c>
      <c r="F1" s="1302" t="s">
        <v>604</v>
      </c>
      <c r="G1" s="1298">
        <f ca="1">INDIRECT("d"&amp;$K$1)/100</f>
        <v>3.4500000000000003E-2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2813" t="s">
        <v>632</v>
      </c>
      <c r="C13" s="2818">
        <v>45159</v>
      </c>
      <c r="D13" s="2819">
        <v>3.45</v>
      </c>
      <c r="E13" s="2819">
        <f>D13</f>
        <v>3.45</v>
      </c>
      <c r="F13" s="2819">
        <f>D13</f>
        <v>3.45</v>
      </c>
      <c r="G13" s="2819">
        <f>D13</f>
        <v>3.45</v>
      </c>
      <c r="H13" s="2819">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2309</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57"/>
  <sheetViews>
    <sheetView view="pageBreakPreview" zoomScale="80" zoomScaleNormal="70" zoomScaleSheetLayoutView="80" workbookViewId="0">
      <selection activeCell="Q11" sqref="Q1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12" s="200" customFormat="1" ht="20.25">
      <c r="A1" s="196" t="s">
        <v>1461</v>
      </c>
      <c r="B1" s="1470" t="s">
        <v>3504</v>
      </c>
      <c r="C1" s="1859" t="s">
        <v>1563</v>
      </c>
      <c r="D1" s="198"/>
      <c r="E1" s="198"/>
      <c r="F1" s="198"/>
      <c r="G1" s="1126">
        <f>MATCH(B1,'数据-取费表'!A6:A16,0)+5</f>
        <v>6</v>
      </c>
      <c r="H1" s="1061" t="str">
        <f>IF(ISERROR(FIND("住宅",B1)),"非住宅","住宅")</f>
        <v>非住宅</v>
      </c>
    </row>
    <row r="2" spans="1:12" s="200" customFormat="1" ht="18" customHeight="1">
      <c r="A2" s="201" t="s">
        <v>1462</v>
      </c>
      <c r="B2" s="3421" t="e">
        <f ca="1">ROUND(IF(D2="——",C52/10000,C52/10000-E2),4)</f>
        <v>#DIV/0!</v>
      </c>
      <c r="C2" s="199" t="s">
        <v>1463</v>
      </c>
      <c r="D2" s="1853" t="s">
        <v>43</v>
      </c>
      <c r="E2" s="1169" t="e">
        <f ca="1">SUMIF(INDIRECT("'"&amp;G2&amp;"'"&amp;"!A:A"),"承租人权益价值",INDIRECT("'"&amp;G2&amp;"'"&amp;"!c:c"))</f>
        <v>#REF!</v>
      </c>
      <c r="F2" s="1854" t="s">
        <v>1463</v>
      </c>
      <c r="G2" s="1855"/>
    </row>
    <row r="3" spans="1:12" s="200" customFormat="1" ht="18" customHeight="1" thickBot="1">
      <c r="A3" s="203" t="s">
        <v>1464</v>
      </c>
      <c r="B3" s="204" t="e">
        <f ca="1">ROUND(B2*10000/(IF(B1="",'数据-汇总表'!E3,INDIRECT("'数据-取费表'!k"&amp;$G$1))),0)</f>
        <v>#DIV/0!</v>
      </c>
      <c r="C3" s="199" t="s">
        <v>1465</v>
      </c>
      <c r="D3" s="199"/>
      <c r="E3" s="199"/>
      <c r="F3" s="199"/>
      <c r="G3" s="199"/>
    </row>
    <row r="4" spans="1:12" s="208" customFormat="1" ht="15.75">
      <c r="A4" s="205" t="s">
        <v>1466</v>
      </c>
      <c r="B4" s="206"/>
      <c r="C4" s="206"/>
      <c r="D4" s="206"/>
      <c r="E4" s="206"/>
      <c r="F4" s="206"/>
      <c r="G4" s="207"/>
    </row>
    <row r="5" spans="1:12" s="214" customFormat="1" ht="13.5" customHeight="1">
      <c r="A5" s="255" t="s">
        <v>1467</v>
      </c>
      <c r="B5" s="210" t="s">
        <v>1468</v>
      </c>
      <c r="C5" s="211" t="e">
        <f ca="1">C6+C7+C8</f>
        <v>#DIV/0!</v>
      </c>
      <c r="D5" s="211" t="s">
        <v>1469</v>
      </c>
      <c r="E5" s="212" t="s">
        <v>1470</v>
      </c>
      <c r="F5" s="212" t="s">
        <v>1471</v>
      </c>
      <c r="G5" s="213"/>
    </row>
    <row r="6" spans="1:12" s="214" customFormat="1" ht="13.5" customHeight="1">
      <c r="A6" s="778" t="s">
        <v>1472</v>
      </c>
      <c r="B6" s="215" t="s">
        <v>1473</v>
      </c>
      <c r="C6" s="216" t="e">
        <f>ROUND(基准地价修正!D33*基准地价修正!C33,0)</f>
        <v>#DIV/0!</v>
      </c>
      <c r="D6" s="217"/>
      <c r="E6" s="218"/>
      <c r="F6" s="218"/>
      <c r="G6" s="219"/>
    </row>
    <row r="7" spans="1:12" s="214" customFormat="1" ht="13.5" customHeight="1">
      <c r="A7" s="778" t="s">
        <v>1474</v>
      </c>
      <c r="B7" s="215" t="s">
        <v>1475</v>
      </c>
      <c r="C7" s="220" t="e">
        <f>ROUND(C6*F7,0)</f>
        <v>#DIV/0!</v>
      </c>
      <c r="D7" s="220"/>
      <c r="E7" s="218"/>
      <c r="F7" s="221">
        <f>IF(项目基本情况!B8="出让",0,'数据-取费表'!B48+'数据-取费表'!B49)</f>
        <v>3.0499999999999999E-2</v>
      </c>
      <c r="G7" s="219"/>
    </row>
    <row r="8" spans="1:12" s="223" customFormat="1">
      <c r="A8" s="778" t="s">
        <v>1476</v>
      </c>
      <c r="B8" s="215" t="s">
        <v>1477</v>
      </c>
      <c r="C8" s="220">
        <f ca="1">IF(G8="已包含在土地购买价格中",0,C9+C10)</f>
        <v>128400</v>
      </c>
      <c r="D8" s="222"/>
      <c r="E8" s="220"/>
      <c r="F8" s="221"/>
      <c r="G8" s="1856" t="s">
        <v>3534</v>
      </c>
      <c r="J8" s="3543"/>
      <c r="K8" s="3542"/>
      <c r="L8" s="3542"/>
    </row>
    <row r="9" spans="1:12"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12" s="214" customFormat="1" ht="13.5" customHeight="1">
      <c r="A10" s="779" t="s">
        <v>356</v>
      </c>
      <c r="B10" s="224" t="s">
        <v>1480</v>
      </c>
      <c r="C10" s="225">
        <f ca="1">ROUND(D10*E10,0)</f>
        <v>128400</v>
      </c>
      <c r="D10" s="845">
        <f ca="1">IF(B1="",'数据-汇总表'!E6,IF(INDIRECT("'数据-取费表'!c"&amp;$G$1)="住宅",INDIRECT("'数据-取费表'!s"&amp;$G$1),INDIRECT("'数据-取费表'!k"&amp;$G$1)+INDIRECT("'数据-取费表'!s"&amp;$G$1)))</f>
        <v>642</v>
      </c>
      <c r="E10" s="225">
        <f>'数据-取费表'!B28</f>
        <v>200</v>
      </c>
      <c r="F10" s="221"/>
      <c r="G10" s="226"/>
    </row>
    <row r="11" spans="1:12" s="214" customFormat="1" ht="13.5" hidden="1" customHeight="1">
      <c r="A11" s="227" t="s">
        <v>4</v>
      </c>
      <c r="B11" s="215" t="s">
        <v>1481</v>
      </c>
      <c r="C11" s="211"/>
      <c r="D11" s="847"/>
      <c r="E11" s="218"/>
      <c r="F11" s="218"/>
      <c r="G11" s="219"/>
    </row>
    <row r="12" spans="1:12" s="214" customFormat="1" ht="13.5" hidden="1" customHeight="1">
      <c r="A12" s="227" t="s">
        <v>5</v>
      </c>
      <c r="B12" s="215" t="s">
        <v>1564</v>
      </c>
      <c r="C12" s="211">
        <v>0</v>
      </c>
      <c r="D12" s="847"/>
      <c r="E12" s="228"/>
      <c r="F12" s="221">
        <v>3.0499999999999999E-2</v>
      </c>
      <c r="G12" s="219"/>
    </row>
    <row r="13" spans="1:12" s="214" customFormat="1" ht="13.5" hidden="1" customHeight="1">
      <c r="A13" s="227" t="s">
        <v>6</v>
      </c>
      <c r="B13" s="215" t="s">
        <v>1565</v>
      </c>
      <c r="C13" s="211"/>
      <c r="D13" s="847"/>
      <c r="E13" s="218"/>
      <c r="F13" s="218"/>
      <c r="G13" s="219"/>
    </row>
    <row r="14" spans="1:12" s="214" customFormat="1" ht="13.5" hidden="1" customHeight="1">
      <c r="A14" s="227" t="s">
        <v>7</v>
      </c>
      <c r="B14" s="215" t="s">
        <v>1477</v>
      </c>
      <c r="C14" s="211"/>
      <c r="D14" s="847"/>
      <c r="E14" s="218"/>
      <c r="F14" s="218"/>
      <c r="G14" s="219" t="s">
        <v>1566</v>
      </c>
    </row>
    <row r="15" spans="1:12" s="214" customFormat="1" ht="13.5" hidden="1" customHeight="1">
      <c r="A15" s="227" t="s">
        <v>8</v>
      </c>
      <c r="B15" s="215" t="s">
        <v>1567</v>
      </c>
      <c r="C15" s="220"/>
      <c r="D15" s="847"/>
      <c r="E15" s="218"/>
      <c r="F15" s="218"/>
      <c r="G15" s="219" t="s">
        <v>1568</v>
      </c>
    </row>
    <row r="16" spans="1:12"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642</v>
      </c>
      <c r="E19" s="211">
        <f>'数据-取费表'!B31</f>
        <v>200</v>
      </c>
      <c r="F19" s="231"/>
      <c r="G19" s="1856" t="s">
        <v>3535</v>
      </c>
    </row>
    <row r="20" spans="1:7" s="214" customFormat="1" ht="13.5" customHeight="1">
      <c r="A20" s="255" t="s">
        <v>1574</v>
      </c>
      <c r="B20" s="210" t="s">
        <v>1575</v>
      </c>
      <c r="C20" s="232" t="e">
        <f ca="1">ROUND((C5+C19)*F20,0)</f>
        <v>#DIV/0!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t="e">
        <f ca="1">ROUND(SUM(C23:C25),0)</f>
        <v>#DIV/0!</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t="e">
        <f ca="1">ROUND(IF('数据-取费表'!B22&lt;=1,C5*F22*'数据-取费表'!B22,C5*(POWER((1+F22),'数据-取费表'!B22)-1)),0)</f>
        <v>#DIV/0!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t="e">
        <f ca="1">ROUND(IF('数据-取费表'!B22&lt;=1,C20*F22*'数据-取费表'!B22/2,C20*(POWER((1+F22),'数据-取费表'!B22/2)-1)),0)</f>
        <v>#DIV/0!</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t="e">
        <f ca="1">C28</f>
        <v>#DIV/0!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3147405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2889000</v>
      </c>
      <c r="D34" s="217"/>
      <c r="E34" s="220"/>
      <c r="F34" s="257"/>
      <c r="G34" s="219"/>
    </row>
    <row r="35" spans="1:7" ht="13.5" customHeight="1">
      <c r="A35" s="780" t="s">
        <v>351</v>
      </c>
      <c r="B35" s="215" t="s">
        <v>1527</v>
      </c>
      <c r="C35" s="220">
        <f ca="1">ROUND(C34*F35,0)</f>
        <v>86670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128400</v>
      </c>
      <c r="D37" s="217">
        <f ca="1">D19</f>
        <v>642</v>
      </c>
      <c r="E37" s="249">
        <f>'数据-取费表'!B35</f>
        <v>200</v>
      </c>
      <c r="F37" s="259"/>
      <c r="G37" s="261"/>
    </row>
    <row r="38" spans="1:7" ht="13.5" customHeight="1">
      <c r="A38" s="780" t="s">
        <v>354</v>
      </c>
      <c r="B38" s="215" t="s">
        <v>1533</v>
      </c>
      <c r="C38" s="220">
        <f ca="1">ROUND(C34*F38,0)</f>
        <v>43335</v>
      </c>
      <c r="D38" s="220"/>
      <c r="E38" s="220"/>
      <c r="F38" s="259">
        <f>'数据-取费表'!B36</f>
        <v>1.4999999999999999E-2</v>
      </c>
      <c r="G38" s="219" t="s">
        <v>1528</v>
      </c>
    </row>
    <row r="39" spans="1:7" s="214" customFormat="1" ht="13.5" customHeight="1">
      <c r="A39" s="255" t="s">
        <v>1534</v>
      </c>
      <c r="B39" s="210" t="s">
        <v>1535</v>
      </c>
      <c r="C39" s="232">
        <f ca="1">ROUND(C33*F20,0)</f>
        <v>62948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110757</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108585</v>
      </c>
      <c r="D42" s="238"/>
      <c r="E42" s="238"/>
      <c r="F42" s="239"/>
      <c r="G42" s="3795" t="s">
        <v>1591</v>
      </c>
    </row>
    <row r="43" spans="1:7" ht="13.5" customHeight="1">
      <c r="A43" s="780" t="s">
        <v>347</v>
      </c>
      <c r="B43" s="215" t="s">
        <v>1545</v>
      </c>
      <c r="C43" s="238">
        <f ca="1">ROUND(IF('数据-取费表'!B22&lt;=1,C39*F22*'数据-取费表'!B20/2,C39*(POWER((1+F22),'数据-取费表'!B20/2)-1)),0)</f>
        <v>2172</v>
      </c>
      <c r="D43" s="238"/>
      <c r="E43" s="238"/>
      <c r="F43" s="239"/>
      <c r="G43" s="3796"/>
    </row>
    <row r="44" spans="1:7" ht="13.5" customHeight="1">
      <c r="A44" s="780" t="s">
        <v>348</v>
      </c>
      <c r="B44" s="215" t="s">
        <v>1546</v>
      </c>
      <c r="C44" s="238">
        <f ca="1">ROUND(IF('数据-取费表'!B22&lt;=1,C40*F22*'数据-取费表'!B20/2,C40*(POWER((1+F22),'数据-取费表'!B20/2)-1)),4)</f>
        <v>6.9999999999999999E-4</v>
      </c>
      <c r="D44" s="238"/>
      <c r="E44" s="238"/>
      <c r="F44" s="239"/>
      <c r="G44" s="3797"/>
    </row>
    <row r="45" spans="1:7" s="214" customFormat="1" ht="13.5" customHeight="1">
      <c r="A45" s="255" t="s">
        <v>1547</v>
      </c>
      <c r="B45" s="244" t="s">
        <v>1513</v>
      </c>
      <c r="C45" s="245">
        <f ca="1">C46</f>
        <v>642071</v>
      </c>
      <c r="D45" s="235">
        <f ca="1">C47</f>
        <v>4.0000000000000001E-3</v>
      </c>
      <c r="E45" s="236" t="s">
        <v>1539</v>
      </c>
      <c r="F45" s="246">
        <f ca="1">F27</f>
        <v>0.2</v>
      </c>
      <c r="G45" s="247" t="s">
        <v>1548</v>
      </c>
    </row>
    <row r="46" spans="1:7" s="214" customFormat="1" ht="13.5" customHeight="1">
      <c r="A46" s="780" t="s">
        <v>346</v>
      </c>
      <c r="B46" s="248" t="s">
        <v>1549</v>
      </c>
      <c r="C46" s="249">
        <f ca="1">ROUND((C33+C39)*F27,0)</f>
        <v>642071</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4298461</v>
      </c>
      <c r="D49" s="232"/>
      <c r="E49" s="232"/>
      <c r="F49" s="264"/>
      <c r="G49" s="234" t="s">
        <v>1554</v>
      </c>
    </row>
    <row r="50" spans="1:7" s="258" customFormat="1">
      <c r="A50" s="255" t="s">
        <v>1555</v>
      </c>
      <c r="B50" s="210" t="s">
        <v>1556</v>
      </c>
      <c r="C50" s="232"/>
      <c r="D50" s="232"/>
      <c r="E50" s="232"/>
      <c r="F50" s="264">
        <f>IF('数据-取费表'!B24=0,'数据-取费表'!N16,1)</f>
        <v>0.77500000000000002</v>
      </c>
      <c r="G50" s="247"/>
    </row>
    <row r="51" spans="1:7" ht="16.5" customHeight="1">
      <c r="A51" s="255" t="s">
        <v>1558</v>
      </c>
      <c r="B51" s="210" t="s">
        <v>1593</v>
      </c>
      <c r="C51" s="232">
        <f ca="1">ROUND(C49*F50,0)</f>
        <v>3331307</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90" zoomScaleNormal="80" zoomScaleSheetLayoutView="90" workbookViewId="0">
      <selection activeCell="Q11" sqref="Q1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642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19" t="s">
        <v>673</v>
      </c>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0</v>
      </c>
      <c r="T2" s="3358" t="e">
        <f t="shared" ref="T2:T16" si="0">ROUND($C$5*$C$22*$C$23*$C$24*S2*$C$28,0)</f>
        <v>#DIV/0!</v>
      </c>
      <c r="U2" s="1213"/>
      <c r="V2" s="3358"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7" t="s">
        <v>2438</v>
      </c>
      <c r="F3" s="2004" t="s">
        <v>3529</v>
      </c>
      <c r="G3" s="752">
        <f>IF(F3="宗地容积率",'数据-汇总表'!I4,IF(F3="估价对象容积率",'数据-汇总表'!I6,'数据-汇总表'!I7))</f>
        <v>2.5</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0</v>
      </c>
      <c r="T3" s="3358" t="e">
        <f t="shared" si="0"/>
        <v>#DIV/0!</v>
      </c>
      <c r="U3" s="1213"/>
      <c r="V3" s="3358" t="e">
        <f t="shared" ref="V3:V16" si="1">ROUND(T3*U3/10000,0)</f>
        <v>#DIV/0!</v>
      </c>
      <c r="W3" s="1216"/>
      <c r="X3" s="1216"/>
      <c r="Y3" s="1216"/>
      <c r="Z3" s="1216"/>
      <c r="AA3" s="1216"/>
      <c r="AB3" s="1216"/>
      <c r="AC3" s="1217"/>
      <c r="AD3" s="1218"/>
      <c r="AE3" s="1218"/>
      <c r="AF3" s="1218"/>
      <c r="AG3" s="1218"/>
      <c r="AH3" s="1218"/>
      <c r="AI3" s="1218"/>
      <c r="AJ3" s="1219"/>
    </row>
    <row r="4" spans="1:36" ht="15.75">
      <c r="A4" s="4026"/>
      <c r="B4" s="4027"/>
      <c r="C4" s="4027"/>
      <c r="D4" s="4028"/>
      <c r="E4" s="4028"/>
      <c r="F4" s="4028"/>
      <c r="G4" s="4028"/>
      <c r="H4" s="4028"/>
      <c r="I4" s="4028"/>
      <c r="J4" s="402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0</v>
      </c>
      <c r="T4" s="3358" t="e">
        <f t="shared" si="0"/>
        <v>#DIV/0!</v>
      </c>
      <c r="U4" s="1213"/>
      <c r="V4" s="3358"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v>
      </c>
      <c r="T5" s="3358" t="e">
        <f t="shared" si="0"/>
        <v>#DIV/0!</v>
      </c>
      <c r="U5" s="1213"/>
      <c r="V5" s="3358"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v>
      </c>
      <c r="T6" s="3358" t="e">
        <f t="shared" si="0"/>
        <v>#DIV/0!</v>
      </c>
      <c r="U6" s="1213"/>
      <c r="V6" s="3358" t="e">
        <f t="shared" si="1"/>
        <v>#DIV/0!</v>
      </c>
      <c r="W6" s="1216"/>
      <c r="X6" s="1216"/>
      <c r="Y6" s="1216"/>
      <c r="Z6" s="1216"/>
      <c r="AA6" s="1216"/>
      <c r="AB6" s="1216"/>
      <c r="AC6" s="2011"/>
      <c r="AD6" s="2012"/>
      <c r="AE6" s="2012"/>
      <c r="AF6" s="2012"/>
      <c r="AG6" s="2012"/>
      <c r="AH6" s="2012"/>
      <c r="AI6" s="2012"/>
      <c r="AJ6" s="2013"/>
    </row>
    <row r="7" spans="1:36" ht="24.75" thickBot="1">
      <c r="A7" s="3301"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6"/>
      <c r="T7" s="3358" t="e">
        <f t="shared" si="0"/>
        <v>#DIV/0!</v>
      </c>
      <c r="U7" s="1213"/>
      <c r="V7" s="3358" t="e">
        <f t="shared" si="1"/>
        <v>#DIV/0!</v>
      </c>
      <c r="W7" s="1358" t="s">
        <v>1955</v>
      </c>
      <c r="X7" s="1214">
        <f>G2</f>
        <v>0</v>
      </c>
      <c r="Y7" s="1214" t="s">
        <v>1956</v>
      </c>
      <c r="Z7" s="1215">
        <f>G3</f>
        <v>2.5</v>
      </c>
      <c r="AA7" s="1216"/>
      <c r="AB7" s="1216"/>
      <c r="AC7" s="1217"/>
      <c r="AD7" s="1218"/>
      <c r="AE7" s="1218"/>
      <c r="AF7" s="1218"/>
      <c r="AG7" s="1218"/>
      <c r="AH7" s="1218"/>
      <c r="AI7" s="1218"/>
      <c r="AJ7" s="1219"/>
    </row>
    <row r="8" spans="1:36" ht="25.5">
      <c r="A8" s="3296"/>
      <c r="B8" s="170" t="s">
        <v>1957</v>
      </c>
      <c r="C8" s="2026" t="s">
        <v>3530</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8" t="e">
        <f t="shared" si="0"/>
        <v>#DIV/0!</v>
      </c>
      <c r="U8" s="1213"/>
      <c r="V8" s="3358" t="e">
        <f t="shared" si="1"/>
        <v>#DIV/0!</v>
      </c>
      <c r="W8" s="4023" t="s">
        <v>1960</v>
      </c>
      <c r="X8" s="402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6"/>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8" t="e">
        <f t="shared" si="0"/>
        <v>#DIV/0!</v>
      </c>
      <c r="U9" s="1213"/>
      <c r="V9" s="3358" t="e">
        <f t="shared" si="1"/>
        <v>#DIV/0!</v>
      </c>
      <c r="W9" s="4025"/>
      <c r="X9" s="3359" t="s">
        <v>3271</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8" t="e">
        <f t="shared" si="0"/>
        <v>#DIV/0!</v>
      </c>
      <c r="U10" s="1213"/>
      <c r="V10" s="3358" t="e">
        <f t="shared" si="1"/>
        <v>#DIV/0!</v>
      </c>
      <c r="W10" s="4025"/>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t="e">
        <f t="shared" si="0"/>
        <v>#DIV/0!</v>
      </c>
      <c r="U11" s="1213"/>
      <c r="V11" s="3358" t="e">
        <f t="shared" si="1"/>
        <v>#DIV/0!</v>
      </c>
      <c r="W11" s="1216"/>
      <c r="X11" s="1216"/>
      <c r="Y11" s="1216"/>
      <c r="Z11" s="1216"/>
      <c r="AA11" s="1216"/>
      <c r="AB11" s="1216"/>
      <c r="AC11" s="1217"/>
      <c r="AD11" s="2786"/>
      <c r="AE11" s="2786"/>
      <c r="AF11" s="2786"/>
      <c r="AG11" s="2786"/>
      <c r="AH11" s="2786"/>
      <c r="AI11" s="2786"/>
      <c r="AJ11" s="2787"/>
    </row>
    <row r="12" spans="1:36" ht="25.5" thickBot="1">
      <c r="A12" s="3301" t="s">
        <v>3241</v>
      </c>
      <c r="B12" s="3302" t="s">
        <v>3242</v>
      </c>
      <c r="C12" s="3303">
        <v>1</v>
      </c>
      <c r="D12" s="3304" t="s">
        <v>3243</v>
      </c>
      <c r="E12" s="3305" t="s">
        <v>3244</v>
      </c>
      <c r="F12" s="3306"/>
      <c r="G12" s="3307"/>
      <c r="H12" s="3307"/>
      <c r="I12" s="3307"/>
      <c r="J12" s="3308"/>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t="e">
        <f t="shared" si="0"/>
        <v>#DIV/0!</v>
      </c>
      <c r="U12" s="1213"/>
      <c r="V12" s="3358" t="e">
        <f t="shared" si="1"/>
        <v>#DIV/0!</v>
      </c>
      <c r="W12" s="1216"/>
      <c r="X12" s="1216"/>
      <c r="Y12" s="1216"/>
      <c r="Z12" s="1216"/>
      <c r="AA12" s="1216"/>
      <c r="AB12" s="1216"/>
      <c r="AC12" s="1217"/>
      <c r="AD12" s="2786"/>
      <c r="AE12" s="2786"/>
      <c r="AF12" s="2786"/>
      <c r="AG12" s="2786"/>
      <c r="AH12" s="2786"/>
      <c r="AI12" s="2786"/>
      <c r="AJ12" s="2787"/>
    </row>
    <row r="13" spans="1:36" ht="15.75" thickBot="1">
      <c r="A13" s="3301" t="s">
        <v>3245</v>
      </c>
      <c r="B13" s="2034" t="s">
        <v>1982</v>
      </c>
      <c r="C13" s="755">
        <f>ROUND(C16*D16*E16*F16*G16*H16*I16*J16,4)</f>
        <v>0</v>
      </c>
      <c r="D13" s="2035" t="s">
        <v>1983</v>
      </c>
      <c r="E13" s="2036"/>
      <c r="F13" s="2036"/>
      <c r="G13" s="2037"/>
      <c r="H13" s="2037"/>
      <c r="I13" s="2037"/>
      <c r="J13" s="2038"/>
      <c r="K13" s="1119"/>
      <c r="L13" s="3297"/>
      <c r="M13" s="3298"/>
      <c r="N13" s="3299"/>
      <c r="O13" s="1119"/>
      <c r="P13" s="1119"/>
      <c r="Q13" s="1119"/>
      <c r="R13" s="1212">
        <v>12</v>
      </c>
      <c r="S13" s="1213"/>
      <c r="T13" s="3358" t="e">
        <f t="shared" si="0"/>
        <v>#DIV/0!</v>
      </c>
      <c r="U13" s="1213"/>
      <c r="V13" s="3358" t="e">
        <f t="shared" si="1"/>
        <v>#DIV/0!</v>
      </c>
      <c r="W13" s="1216"/>
      <c r="X13" s="1216"/>
      <c r="Y13" s="1216"/>
      <c r="Z13" s="1216"/>
      <c r="AA13" s="1216"/>
      <c r="AB13" s="1216"/>
      <c r="AC13" s="1217"/>
      <c r="AD13" s="2786"/>
      <c r="AE13" s="2786"/>
      <c r="AF13" s="2786"/>
      <c r="AG13" s="2786"/>
      <c r="AH13" s="2786"/>
      <c r="AI13" s="2786"/>
      <c r="AJ13" s="2787"/>
    </row>
    <row r="14" spans="1:36" ht="15">
      <c r="A14" s="3295"/>
      <c r="B14" s="2040" t="s">
        <v>1985</v>
      </c>
      <c r="C14" s="2041" t="s">
        <v>1986</v>
      </c>
      <c r="D14" s="1350" t="s">
        <v>1987</v>
      </c>
      <c r="E14" s="27" t="s">
        <v>1988</v>
      </c>
      <c r="F14" s="3309" t="s">
        <v>3246</v>
      </c>
      <c r="G14" s="3309" t="s">
        <v>3246</v>
      </c>
      <c r="H14" s="3309" t="s">
        <v>3246</v>
      </c>
      <c r="I14" s="3309" t="s">
        <v>3246</v>
      </c>
      <c r="J14" s="3309" t="s">
        <v>3246</v>
      </c>
      <c r="K14" s="1119"/>
      <c r="L14" s="1119"/>
      <c r="M14" s="1119"/>
      <c r="N14" s="1119"/>
      <c r="O14" s="1119"/>
      <c r="P14" s="1119"/>
      <c r="Q14" s="1119"/>
      <c r="R14" s="1212">
        <v>13</v>
      </c>
      <c r="S14" s="1213"/>
      <c r="T14" s="3358" t="e">
        <f t="shared" si="0"/>
        <v>#DIV/0!</v>
      </c>
      <c r="U14" s="1213"/>
      <c r="V14" s="3358" t="e">
        <f t="shared" si="1"/>
        <v>#DIV/0!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3247</v>
      </c>
      <c r="G15" s="3311"/>
      <c r="H15" s="3312"/>
      <c r="I15" s="3313"/>
      <c r="J15" s="3314"/>
      <c r="K15" s="1119"/>
      <c r="L15" s="1119"/>
      <c r="M15" s="1119"/>
      <c r="N15" s="1119"/>
      <c r="O15" s="1119"/>
      <c r="P15" s="1119"/>
      <c r="Q15" s="1119"/>
      <c r="R15" s="1212">
        <v>14</v>
      </c>
      <c r="S15" s="1213"/>
      <c r="T15" s="3358" t="e">
        <f t="shared" si="0"/>
        <v>#DIV/0!</v>
      </c>
      <c r="U15" s="1213"/>
      <c r="V15" s="3358" t="e">
        <f t="shared" si="1"/>
        <v>#DIV/0!</v>
      </c>
      <c r="W15" s="1216"/>
      <c r="X15" s="1216"/>
      <c r="Y15" s="1216"/>
      <c r="Z15" s="1216"/>
      <c r="AA15" s="1216"/>
      <c r="AB15" s="1216"/>
      <c r="AC15" s="1217"/>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9"/>
      <c r="L16" s="1997"/>
      <c r="M16" s="1997"/>
      <c r="N16" s="1997"/>
      <c r="O16" s="1997"/>
      <c r="P16" s="1997"/>
      <c r="Q16" s="1119"/>
      <c r="R16" s="1212">
        <v>15</v>
      </c>
      <c r="S16" s="1213"/>
      <c r="T16" s="3358" t="e">
        <f t="shared" si="0"/>
        <v>#DIV/0!</v>
      </c>
      <c r="U16" s="1213"/>
      <c r="V16" s="3358" t="e">
        <f t="shared" si="1"/>
        <v>#DIV/0!</v>
      </c>
      <c r="W16" s="1216"/>
      <c r="X16" s="1216"/>
      <c r="Y16" s="1216"/>
      <c r="Z16" s="1216"/>
      <c r="AA16" s="1216"/>
      <c r="AB16" s="1216"/>
      <c r="AC16" s="1217"/>
      <c r="AD16" s="2786"/>
      <c r="AE16" s="2786"/>
      <c r="AF16" s="2786"/>
      <c r="AG16" s="2786"/>
      <c r="AH16" s="2786"/>
      <c r="AI16" s="2786"/>
      <c r="AJ16" s="2787"/>
    </row>
    <row r="17" spans="1:37">
      <c r="A17" s="3327" t="s">
        <v>3248</v>
      </c>
      <c r="B17" s="3318" t="s">
        <v>3249</v>
      </c>
      <c r="C17" s="3328">
        <f>ROUND(IF(OR(E2="工业",E2="公共服务"),1,IF(AND(E18=0,E19=0),1,IF(AND(E18=J24,E19=G19),0.8,IF(E19=0,1+E17*(-0.2),1+E17*G17*(-0.2))))),4)</f>
        <v>1</v>
      </c>
      <c r="D17" s="3319" t="s">
        <v>3250</v>
      </c>
      <c r="E17" s="3328">
        <f>ROUND(G18/I18,2)</f>
        <v>0</v>
      </c>
      <c r="F17" s="3319" t="s">
        <v>3253</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7"/>
      <c r="C18" s="3325"/>
      <c r="D18" s="3320" t="s">
        <v>3251</v>
      </c>
      <c r="E18" s="3326"/>
      <c r="F18" s="3321" t="s">
        <v>3254</v>
      </c>
      <c r="G18" s="3325">
        <f>ROUND(1-(1/(POWER(1+G24,E18))),4)</f>
        <v>0</v>
      </c>
      <c r="H18" s="3321" t="s">
        <v>3256</v>
      </c>
      <c r="I18" s="3325">
        <f>ROUND(1-(1/(POWER(1+G24,J24))),4)</f>
        <v>0.88249999999999995</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3252</v>
      </c>
      <c r="E19" s="3335"/>
      <c r="F19" s="3336" t="s">
        <v>3255</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4030" t="s">
        <v>3257</v>
      </c>
      <c r="B20" s="167" t="s">
        <v>1994</v>
      </c>
      <c r="C20" s="3322" t="e">
        <f>ROUND(IF(F21="与级别开发程度一致",0,(G21-E21)/C21),0)</f>
        <v>#DIV/0!</v>
      </c>
      <c r="D20" s="3338" t="s">
        <v>1998</v>
      </c>
      <c r="E20" s="3339"/>
      <c r="F20" s="4036" t="s">
        <v>1995</v>
      </c>
      <c r="G20" s="4037"/>
      <c r="H20" s="3323" t="s">
        <v>3515</v>
      </c>
      <c r="I20" s="3323" t="s">
        <v>3516</v>
      </c>
      <c r="J20" s="3324" t="s">
        <v>3517</v>
      </c>
      <c r="K20" s="2047" t="s">
        <v>3518</v>
      </c>
      <c r="L20" s="2047" t="s">
        <v>3519</v>
      </c>
      <c r="M20" s="2047" t="s">
        <v>3572</v>
      </c>
      <c r="N20" s="2047"/>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26.25" thickBot="1">
      <c r="A21" s="4031"/>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t="s">
        <v>3531</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2000</v>
      </c>
      <c r="C22" s="2160">
        <f>SUMIF(修正!C20:C51,E3,修正!E20:E51)</f>
        <v>1</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45426</v>
      </c>
      <c r="H23" s="3340" t="s">
        <v>3259</v>
      </c>
      <c r="I23" s="3341" t="str">
        <f>IF(H23="季度增幅（自定义）",SUMIF(N25:N28,E2,O25:O28),"")</f>
        <v/>
      </c>
      <c r="J23" s="3442" t="s">
        <v>3258</v>
      </c>
      <c r="K23" s="1125"/>
      <c r="L23" s="2055" t="s">
        <v>2004</v>
      </c>
      <c r="M23" s="1328">
        <f>ROUND(SUMIF(地价!B2:G2,E2,地价!B16:G16),0)</f>
        <v>350</v>
      </c>
      <c r="N23" s="2056" t="s">
        <v>2005</v>
      </c>
      <c r="O23" s="763">
        <f>ROUNDDOWN(DATEDIF(E23,G23,"M")/3,0)</f>
        <v>13</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v>
      </c>
      <c r="D24" s="2060" t="s">
        <v>2007</v>
      </c>
      <c r="E24" s="1335">
        <f>存贷款利率!E22/100</f>
        <v>4.3499999999999997E-2</v>
      </c>
      <c r="F24" s="2060" t="s">
        <v>1999</v>
      </c>
      <c r="G24" s="768">
        <f>SUMIF(M30:Q30,E2,M33:Q33)</f>
        <v>5.5E-2</v>
      </c>
      <c r="H24" s="2060" t="s">
        <v>2008</v>
      </c>
      <c r="I24" s="769">
        <f>SUMIF('数据-取费表'!C6:C15,E2,'数据-取费表'!F6:F15)/COUNTIF('数据-取费表'!C6:C15,E2)</f>
        <v>0</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3595</v>
      </c>
      <c r="C25" s="771">
        <f>IF(B25="容积率修正",IF(G3&lt;10,D26,J26),C27)</f>
        <v>0</v>
      </c>
      <c r="D25" s="2067"/>
      <c r="E25" s="2067"/>
      <c r="F25" s="2067"/>
      <c r="G25" s="2067"/>
      <c r="H25" s="2067"/>
      <c r="I25" s="2067"/>
      <c r="J25" s="2068"/>
      <c r="K25" s="1125"/>
      <c r="L25" s="2785"/>
      <c r="M25" s="2785"/>
      <c r="N25" s="2069" t="s">
        <v>2013</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2" t="s">
        <v>3260</v>
      </c>
      <c r="D26" s="1352">
        <f>IF(E26=G26,F26,IF(G3&lt;10,ROUND(F26+(H26-F26)*(G3-E26)/(G26-E26),4),"——"))</f>
        <v>0</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3261</v>
      </c>
      <c r="J26" s="772" t="str">
        <f>IF(G3&gt;=10,D115,"——")</f>
        <v>——</v>
      </c>
      <c r="K26" s="1125"/>
      <c r="L26" s="2785"/>
      <c r="M26" s="2785"/>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1.0478000000000001</v>
      </c>
      <c r="D28" s="2052"/>
      <c r="E28" s="2077"/>
      <c r="F28" s="2077"/>
      <c r="G28" s="2077"/>
      <c r="H28" s="2077"/>
      <c r="I28" s="2077"/>
      <c r="J28" s="2078"/>
      <c r="K28" s="1125"/>
      <c r="L28" s="2785"/>
      <c r="M28" s="2785"/>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2" t="s">
        <v>2023</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8" t="s">
        <v>1936</v>
      </c>
      <c r="M30" s="3349" t="s">
        <v>1990</v>
      </c>
      <c r="N30" s="3349" t="s">
        <v>1991</v>
      </c>
      <c r="O30" s="3349" t="s">
        <v>1992</v>
      </c>
      <c r="P30" s="3349" t="s">
        <v>1993</v>
      </c>
      <c r="Q30" s="3352"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0" t="s">
        <v>1996</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1" t="s">
        <v>1999</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f>'数据-汇总表'!F19</f>
        <v>642</v>
      </c>
      <c r="E33" s="773" t="e">
        <f>ROUND(C33*D33/10000,0)</f>
        <v>#DIV/0!</v>
      </c>
      <c r="F33" s="3343" t="s">
        <v>3263</v>
      </c>
      <c r="G33" s="2099"/>
      <c r="H33" s="2099"/>
      <c r="I33" s="2099"/>
      <c r="J33" s="2100"/>
      <c r="K33" s="1119"/>
      <c r="L33" s="3346" t="s">
        <v>3266</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6" t="s">
        <v>3267</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4"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4" t="s">
        <v>3268</v>
      </c>
      <c r="L36" s="3443">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4034"/>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9"/>
      <c r="K37" s="3356" t="s">
        <v>3269</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4035"/>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4035"/>
      <c r="B39" s="2041" t="s">
        <v>3262</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7"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1.0478000000000001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较好</v>
      </c>
      <c r="C50" s="2044" t="s">
        <v>3500</v>
      </c>
      <c r="D50" s="1065">
        <f t="shared" ref="D50:D58" si="7">SUMIF($J$49:$N$49,C50,J50:N50)</f>
        <v>1.44E-2</v>
      </c>
      <c r="E50" s="744">
        <f>ROUND(SUM(D50:D58),4)</f>
        <v>4.7800000000000002E-2</v>
      </c>
      <c r="F50" s="1814">
        <f>IF(E2="商业",SUMIF(L1:L12,G2,N1:N12),"——")</f>
        <v>0</v>
      </c>
      <c r="G50" s="1063">
        <v>1.44E-2</v>
      </c>
      <c r="H50" s="1066">
        <f t="shared" ref="H50:H58" si="8">IFERROR(ROUNDDOWN($F$50*I50/2,4),"——")</f>
        <v>0</v>
      </c>
      <c r="I50" s="3364">
        <v>0.3</v>
      </c>
      <c r="J50" s="1064">
        <f t="shared" ref="J50:J58" si="9">K50+$G50</f>
        <v>2.8799999999999999E-2</v>
      </c>
      <c r="K50" s="1064">
        <f t="shared" ref="K50:K58" si="10">$L50+$G50</f>
        <v>1.44E-2</v>
      </c>
      <c r="L50" s="1064">
        <v>0</v>
      </c>
      <c r="M50" s="1064">
        <f t="shared" ref="M50:N58" si="11">L50-$G50</f>
        <v>-1.44E-2</v>
      </c>
      <c r="N50" s="1064">
        <f t="shared" si="11"/>
        <v>-2.8799999999999999E-2</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较好</v>
      </c>
      <c r="C51" s="2044" t="s">
        <v>3500</v>
      </c>
      <c r="D51" s="1065">
        <f t="shared" si="7"/>
        <v>1.0500000000000001E-2</v>
      </c>
      <c r="E51" s="745"/>
      <c r="F51" s="1814"/>
      <c r="G51" s="1063">
        <v>1.0500000000000001E-2</v>
      </c>
      <c r="H51" s="1066">
        <f t="shared" si="8"/>
        <v>0</v>
      </c>
      <c r="I51" s="3364">
        <v>0.22</v>
      </c>
      <c r="J51" s="1064">
        <f t="shared" si="9"/>
        <v>2.1000000000000001E-2</v>
      </c>
      <c r="K51" s="1064">
        <f t="shared" si="10"/>
        <v>1.0500000000000001E-2</v>
      </c>
      <c r="L51" s="1064">
        <v>0</v>
      </c>
      <c r="M51" s="1064">
        <f t="shared" si="11"/>
        <v>-1.0500000000000001E-2</v>
      </c>
      <c r="N51" s="1064">
        <f t="shared" si="11"/>
        <v>-2.1000000000000001E-2</v>
      </c>
      <c r="AA51" s="1120"/>
      <c r="AB51" s="1120"/>
      <c r="AC51" s="1120"/>
      <c r="AD51" s="1120"/>
      <c r="AE51" s="1120"/>
      <c r="AF51" s="1120"/>
      <c r="AG51" s="1120"/>
      <c r="AH51" s="1120"/>
      <c r="AI51" s="1120"/>
      <c r="AJ51" s="1120"/>
      <c r="AK51" s="1120"/>
    </row>
    <row r="52" spans="1:37" s="1119" customFormat="1" ht="36">
      <c r="A52" s="3366" t="s">
        <v>3272</v>
      </c>
      <c r="B52" s="2134">
        <f>估价对象房地状况!C19</f>
        <v>0</v>
      </c>
      <c r="C52" s="2044" t="s">
        <v>3500</v>
      </c>
      <c r="D52" s="1065">
        <f t="shared" si="7"/>
        <v>5.7000000000000002E-3</v>
      </c>
      <c r="E52" s="745"/>
      <c r="F52" s="1814"/>
      <c r="G52" s="1063">
        <v>5.7000000000000002E-3</v>
      </c>
      <c r="H52" s="1066">
        <f t="shared" si="8"/>
        <v>0</v>
      </c>
      <c r="I52" s="3364">
        <v>0.12</v>
      </c>
      <c r="J52" s="1064">
        <f t="shared" si="9"/>
        <v>1.14E-2</v>
      </c>
      <c r="K52" s="1064">
        <f t="shared" si="10"/>
        <v>5.7000000000000002E-3</v>
      </c>
      <c r="L52" s="1064">
        <v>0</v>
      </c>
      <c r="M52" s="1064">
        <f t="shared" si="11"/>
        <v>-5.7000000000000002E-3</v>
      </c>
      <c r="N52" s="1064">
        <f t="shared" si="11"/>
        <v>-1.14E-2</v>
      </c>
      <c r="AA52" s="1120"/>
      <c r="AB52" s="1120"/>
      <c r="AC52" s="1120"/>
      <c r="AD52" s="1120"/>
      <c r="AE52" s="1120"/>
      <c r="AF52" s="1120"/>
      <c r="AG52" s="1120"/>
      <c r="AH52" s="1120"/>
      <c r="AI52" s="1120"/>
      <c r="AJ52" s="1120"/>
      <c r="AK52" s="1120"/>
    </row>
    <row r="53" spans="1:37" s="1119" customFormat="1" ht="36.75">
      <c r="A53" s="2130" t="s">
        <v>2054</v>
      </c>
      <c r="B53" s="2135" t="s">
        <v>2055</v>
      </c>
      <c r="C53" s="2044" t="s">
        <v>3500</v>
      </c>
      <c r="D53" s="1065">
        <f t="shared" si="7"/>
        <v>2.3999999999999998E-3</v>
      </c>
      <c r="E53" s="745"/>
      <c r="F53" s="1814"/>
      <c r="G53" s="1063">
        <v>2.3999999999999998E-3</v>
      </c>
      <c r="H53" s="1066">
        <f t="shared" si="8"/>
        <v>0</v>
      </c>
      <c r="I53" s="3364">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3532</v>
      </c>
      <c r="D54" s="1065">
        <f t="shared" si="7"/>
        <v>0</v>
      </c>
      <c r="E54" s="745"/>
      <c r="F54" s="1814"/>
      <c r="G54" s="1063">
        <v>3.8E-3</v>
      </c>
      <c r="H54" s="1066">
        <f t="shared" si="8"/>
        <v>0</v>
      </c>
      <c r="I54" s="3364">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30" t="s">
        <v>2057</v>
      </c>
      <c r="B55" s="2136" t="s">
        <v>2058</v>
      </c>
      <c r="C55" s="2044" t="s">
        <v>3500</v>
      </c>
      <c r="D55" s="1065">
        <f t="shared" si="7"/>
        <v>2.3999999999999998E-3</v>
      </c>
      <c r="E55" s="745"/>
      <c r="F55" s="1814"/>
      <c r="G55" s="1063">
        <v>2.3999999999999998E-3</v>
      </c>
      <c r="H55" s="1066">
        <f t="shared" si="8"/>
        <v>0</v>
      </c>
      <c r="I55" s="3364">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4">
      <c r="A56" s="2137" t="s">
        <v>2059</v>
      </c>
      <c r="B56" s="1326" t="str">
        <f>估价对象房地状况!C21</f>
        <v>较好</v>
      </c>
      <c r="C56" s="2044" t="s">
        <v>3500</v>
      </c>
      <c r="D56" s="1065">
        <f t="shared" si="7"/>
        <v>2.3999999999999998E-3</v>
      </c>
      <c r="E56" s="745"/>
      <c r="F56" s="1814"/>
      <c r="G56" s="1063">
        <v>2.3999999999999998E-3</v>
      </c>
      <c r="H56" s="1066">
        <f t="shared" si="8"/>
        <v>0</v>
      </c>
      <c r="I56" s="3364">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t="s">
        <v>3533</v>
      </c>
      <c r="D57" s="1065">
        <f t="shared" si="7"/>
        <v>7.6E-3</v>
      </c>
      <c r="E57" s="745"/>
      <c r="F57" s="1814"/>
      <c r="G57" s="1063">
        <v>3.8E-3</v>
      </c>
      <c r="H57" s="1066">
        <f t="shared" si="8"/>
        <v>0</v>
      </c>
      <c r="I57" s="3364">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较好</v>
      </c>
      <c r="C58" s="2044" t="s">
        <v>3500</v>
      </c>
      <c r="D58" s="1065">
        <f t="shared" si="7"/>
        <v>2.3999999999999998E-3</v>
      </c>
      <c r="E58" s="746"/>
      <c r="F58" s="1814"/>
      <c r="G58" s="1063">
        <v>2.3999999999999998E-3</v>
      </c>
      <c r="H58" s="1066">
        <f t="shared" si="8"/>
        <v>0</v>
      </c>
      <c r="I58" s="3365">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较好</v>
      </c>
      <c r="C62" s="2044"/>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3272</v>
      </c>
      <c r="B63" s="2134">
        <f>估价对象房地状况!C19</f>
        <v>0</v>
      </c>
      <c r="C63" s="2044"/>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t="str">
        <f>估价对象房地状况!C21</f>
        <v>较好</v>
      </c>
      <c r="C67" s="2044"/>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较好</v>
      </c>
      <c r="C69" s="2044"/>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较好</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6" t="s">
        <v>3272</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较好</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较好</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36">
      <c r="A85" s="3366" t="s">
        <v>3273</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2611</v>
      </c>
      <c r="B91" s="3375">
        <f>1+E93</f>
        <v>1.0369999999999999</v>
      </c>
      <c r="C91" s="3368"/>
      <c r="D91" s="3369"/>
      <c r="E91" s="1814"/>
      <c r="F91" s="1814"/>
      <c r="G91" s="3370"/>
      <c r="H91" s="3371"/>
      <c r="I91" s="3372"/>
      <c r="J91" s="3373"/>
      <c r="K91" s="3373"/>
      <c r="L91" s="3373"/>
      <c r="M91" s="3373"/>
      <c r="N91" s="3373"/>
    </row>
    <row r="92" spans="1:37" ht="24.75">
      <c r="A92" s="3376" t="s">
        <v>3274</v>
      </c>
      <c r="B92" s="3363"/>
      <c r="C92" s="3363" t="s">
        <v>3283</v>
      </c>
      <c r="D92" s="3363" t="s">
        <v>3284</v>
      </c>
      <c r="E92" s="3345" t="s">
        <v>3285</v>
      </c>
      <c r="F92" s="3378" t="s">
        <v>3286</v>
      </c>
      <c r="G92" s="3363" t="s">
        <v>3287</v>
      </c>
      <c r="H92" s="3385" t="s">
        <v>3290</v>
      </c>
      <c r="I92" s="3363" t="s">
        <v>3291</v>
      </c>
      <c r="J92" s="3386" t="s">
        <v>3292</v>
      </c>
      <c r="K92" s="3386" t="s">
        <v>3293</v>
      </c>
      <c r="L92" s="3386" t="s">
        <v>3294</v>
      </c>
      <c r="M92" s="3386" t="s">
        <v>3295</v>
      </c>
      <c r="N92" s="3386" t="s">
        <v>3296</v>
      </c>
    </row>
    <row r="93" spans="1:37" ht="24">
      <c r="A93" s="3366" t="s">
        <v>3275</v>
      </c>
      <c r="B93" s="1306"/>
      <c r="C93" s="2044" t="s">
        <v>3532</v>
      </c>
      <c r="D93" s="3363">
        <f>SUMIF($J$92:$N$92,C93,J93:N93)</f>
        <v>0</v>
      </c>
      <c r="E93" s="3379">
        <f>ROUND(SUM(D93:D101),4)</f>
        <v>3.6999999999999998E-2</v>
      </c>
      <c r="F93" s="1814" t="str">
        <f>IF(E2="公共服务",SUMIF(L1:L12,G2,N1:N12),"——")</f>
        <v>——</v>
      </c>
      <c r="G93" s="3370">
        <v>1.2500000000000001E-2</v>
      </c>
      <c r="H93" s="3418" t="str">
        <f>IFERROR(ROUNDDOWN($F$93*I93/2,4),"——")</f>
        <v>——</v>
      </c>
      <c r="I93" s="3364">
        <v>0.25</v>
      </c>
      <c r="J93" s="3342">
        <f t="shared" ref="J93:J101" si="27">K93+$G93</f>
        <v>2.5000000000000001E-2</v>
      </c>
      <c r="K93" s="3342">
        <f t="shared" ref="K93:K101" si="28">$L93+$G93</f>
        <v>1.2500000000000001E-2</v>
      </c>
      <c r="L93" s="3342">
        <v>0</v>
      </c>
      <c r="M93" s="3342">
        <f t="shared" ref="M93:N101" si="29">L93-$G93</f>
        <v>-1.2500000000000001E-2</v>
      </c>
      <c r="N93" s="3342">
        <f t="shared" si="29"/>
        <v>-2.5000000000000001E-2</v>
      </c>
    </row>
    <row r="94" spans="1:37" ht="14.25">
      <c r="A94" s="3376" t="s">
        <v>3276</v>
      </c>
      <c r="B94" s="3367" t="str">
        <f>估价对象房地状况!C18</f>
        <v>较好</v>
      </c>
      <c r="C94" s="2044" t="s">
        <v>3500</v>
      </c>
      <c r="D94" s="3363">
        <f t="shared" ref="D94:D101" si="30">SUMIF($J$60:$N$60,C94,J94:N94)</f>
        <v>1.2999999999999999E-2</v>
      </c>
      <c r="E94" s="3380"/>
      <c r="F94" s="1814"/>
      <c r="G94" s="3370">
        <v>1.2999999999999999E-2</v>
      </c>
      <c r="H94" s="3418" t="str">
        <f>IFERROR(ROUNDDOWN($F$93*I94/2,4),"——")</f>
        <v>——</v>
      </c>
      <c r="I94" s="3364">
        <v>0.26</v>
      </c>
      <c r="J94" s="3342">
        <f t="shared" si="27"/>
        <v>2.5999999999999999E-2</v>
      </c>
      <c r="K94" s="3342">
        <f t="shared" si="28"/>
        <v>1.2999999999999999E-2</v>
      </c>
      <c r="L94" s="3342">
        <v>0</v>
      </c>
      <c r="M94" s="3342">
        <f t="shared" si="29"/>
        <v>-1.2999999999999999E-2</v>
      </c>
      <c r="N94" s="3342">
        <f t="shared" si="29"/>
        <v>-2.5999999999999999E-2</v>
      </c>
    </row>
    <row r="95" spans="1:37" ht="36">
      <c r="A95" s="3366" t="s">
        <v>3272</v>
      </c>
      <c r="B95" s="3367">
        <f>估价对象房地状况!C19</f>
        <v>0</v>
      </c>
      <c r="C95" s="2044" t="s">
        <v>3500</v>
      </c>
      <c r="D95" s="3363">
        <f t="shared" si="30"/>
        <v>5.4999999999999997E-3</v>
      </c>
      <c r="E95" s="3380"/>
      <c r="F95" s="1814"/>
      <c r="G95" s="3370">
        <v>5.4999999999999997E-3</v>
      </c>
      <c r="H95" s="3418" t="str">
        <f t="shared" ref="H95:H101" si="31">IFERROR(ROUNDDOWN($F$93*I95/2,4),"——")</f>
        <v>——</v>
      </c>
      <c r="I95" s="3364">
        <v>0.11</v>
      </c>
      <c r="J95" s="3342">
        <f t="shared" si="27"/>
        <v>1.0999999999999999E-2</v>
      </c>
      <c r="K95" s="3342">
        <f t="shared" si="28"/>
        <v>5.4999999999999997E-3</v>
      </c>
      <c r="L95" s="3342">
        <v>0</v>
      </c>
      <c r="M95" s="3342">
        <f t="shared" si="29"/>
        <v>-5.4999999999999997E-3</v>
      </c>
      <c r="N95" s="3342">
        <f t="shared" si="29"/>
        <v>-1.0999999999999999E-2</v>
      </c>
    </row>
    <row r="96" spans="1:37" ht="36.75">
      <c r="A96" s="3376" t="s">
        <v>3277</v>
      </c>
      <c r="B96" s="3382" t="s">
        <v>3288</v>
      </c>
      <c r="C96" s="2044" t="s">
        <v>3532</v>
      </c>
      <c r="D96" s="3363">
        <f t="shared" si="30"/>
        <v>0</v>
      </c>
      <c r="E96" s="3380"/>
      <c r="F96" s="1814"/>
      <c r="G96" s="3370">
        <v>2.5000000000000001E-3</v>
      </c>
      <c r="H96" s="3418" t="str">
        <f t="shared" si="31"/>
        <v>——</v>
      </c>
      <c r="I96" s="3364">
        <v>0.05</v>
      </c>
      <c r="J96" s="3342">
        <f t="shared" si="27"/>
        <v>5.0000000000000001E-3</v>
      </c>
      <c r="K96" s="3342">
        <f t="shared" si="28"/>
        <v>2.5000000000000001E-3</v>
      </c>
      <c r="L96" s="3342">
        <v>0</v>
      </c>
      <c r="M96" s="3342">
        <f t="shared" si="29"/>
        <v>-2.5000000000000001E-3</v>
      </c>
      <c r="N96" s="3342">
        <f t="shared" si="29"/>
        <v>-5.0000000000000001E-3</v>
      </c>
    </row>
    <row r="97" spans="1:14" ht="24">
      <c r="A97" s="3376" t="s">
        <v>3278</v>
      </c>
      <c r="B97" s="3367">
        <f>估价对象房地状况!C24</f>
        <v>0</v>
      </c>
      <c r="C97" s="2044" t="s">
        <v>3532</v>
      </c>
      <c r="D97" s="3363">
        <f t="shared" si="30"/>
        <v>0</v>
      </c>
      <c r="E97" s="3380"/>
      <c r="F97" s="1814"/>
      <c r="G97" s="3370">
        <v>2.5000000000000001E-3</v>
      </c>
      <c r="H97" s="3418" t="str">
        <f t="shared" si="31"/>
        <v>——</v>
      </c>
      <c r="I97" s="3364">
        <v>0.05</v>
      </c>
      <c r="J97" s="3342">
        <f t="shared" si="27"/>
        <v>5.0000000000000001E-3</v>
      </c>
      <c r="K97" s="3342">
        <f t="shared" si="28"/>
        <v>2.5000000000000001E-3</v>
      </c>
      <c r="L97" s="3342">
        <v>0</v>
      </c>
      <c r="M97" s="3342">
        <f t="shared" si="29"/>
        <v>-2.5000000000000001E-3</v>
      </c>
      <c r="N97" s="3342">
        <f t="shared" si="29"/>
        <v>-5.0000000000000001E-3</v>
      </c>
    </row>
    <row r="98" spans="1:14" ht="24">
      <c r="A98" s="3376" t="s">
        <v>3279</v>
      </c>
      <c r="B98" s="3383" t="s">
        <v>3289</v>
      </c>
      <c r="C98" s="2044" t="s">
        <v>3500</v>
      </c>
      <c r="D98" s="3363">
        <f t="shared" si="30"/>
        <v>3.0000000000000001E-3</v>
      </c>
      <c r="E98" s="3380"/>
      <c r="F98" s="1814"/>
      <c r="G98" s="3370">
        <v>3.0000000000000001E-3</v>
      </c>
      <c r="H98" s="3418" t="str">
        <f t="shared" si="31"/>
        <v>——</v>
      </c>
      <c r="I98" s="3364">
        <v>0.06</v>
      </c>
      <c r="J98" s="3342">
        <f t="shared" si="27"/>
        <v>6.0000000000000001E-3</v>
      </c>
      <c r="K98" s="3342">
        <f t="shared" si="28"/>
        <v>3.0000000000000001E-3</v>
      </c>
      <c r="L98" s="3342">
        <v>0</v>
      </c>
      <c r="M98" s="3342">
        <f t="shared" si="29"/>
        <v>-3.0000000000000001E-3</v>
      </c>
      <c r="N98" s="3342">
        <f t="shared" si="29"/>
        <v>-6.0000000000000001E-3</v>
      </c>
    </row>
    <row r="99" spans="1:14" ht="24">
      <c r="A99" s="3376" t="s">
        <v>3280</v>
      </c>
      <c r="B99" s="3367" t="str">
        <f>估价对象房地状况!C21</f>
        <v>较好</v>
      </c>
      <c r="C99" s="2044" t="s">
        <v>3500</v>
      </c>
      <c r="D99" s="3363">
        <f t="shared" si="30"/>
        <v>3.0000000000000001E-3</v>
      </c>
      <c r="E99" s="3380"/>
      <c r="F99" s="1814"/>
      <c r="G99" s="3370">
        <v>3.0000000000000001E-3</v>
      </c>
      <c r="H99" s="3418" t="str">
        <f t="shared" si="31"/>
        <v>——</v>
      </c>
      <c r="I99" s="3364">
        <v>0.06</v>
      </c>
      <c r="J99" s="3342">
        <f t="shared" si="27"/>
        <v>6.0000000000000001E-3</v>
      </c>
      <c r="K99" s="3342">
        <f t="shared" si="28"/>
        <v>3.0000000000000001E-3</v>
      </c>
      <c r="L99" s="3342">
        <v>0</v>
      </c>
      <c r="M99" s="3342">
        <f t="shared" si="29"/>
        <v>-3.0000000000000001E-3</v>
      </c>
      <c r="N99" s="3342">
        <f t="shared" si="29"/>
        <v>-6.0000000000000001E-3</v>
      </c>
    </row>
    <row r="100" spans="1:14" ht="24">
      <c r="A100" s="3376" t="s">
        <v>3281</v>
      </c>
      <c r="B100" s="3367" t="str">
        <f>估价对象房地状况!C22</f>
        <v>七通</v>
      </c>
      <c r="C100" s="2044" t="s">
        <v>3533</v>
      </c>
      <c r="D100" s="3363">
        <f t="shared" si="30"/>
        <v>8.9999999999999993E-3</v>
      </c>
      <c r="E100" s="3380"/>
      <c r="F100" s="1814"/>
      <c r="G100" s="3370">
        <v>4.4999999999999997E-3</v>
      </c>
      <c r="H100" s="3418" t="str">
        <f t="shared" si="31"/>
        <v>——</v>
      </c>
      <c r="I100" s="3364">
        <v>0.09</v>
      </c>
      <c r="J100" s="3342">
        <f t="shared" si="27"/>
        <v>8.9999999999999993E-3</v>
      </c>
      <c r="K100" s="3342">
        <f t="shared" si="28"/>
        <v>4.4999999999999997E-3</v>
      </c>
      <c r="L100" s="3342">
        <v>0</v>
      </c>
      <c r="M100" s="3342">
        <f t="shared" si="29"/>
        <v>-4.4999999999999997E-3</v>
      </c>
      <c r="N100" s="3342">
        <f t="shared" si="29"/>
        <v>-8.9999999999999993E-3</v>
      </c>
    </row>
    <row r="101" spans="1:14" ht="24.75" thickBot="1">
      <c r="A101" s="3377" t="s">
        <v>3282</v>
      </c>
      <c r="B101" s="3384" t="str">
        <f>估价对象房地状况!C20</f>
        <v>较好</v>
      </c>
      <c r="C101" s="2044" t="s">
        <v>3500</v>
      </c>
      <c r="D101" s="3363">
        <f t="shared" si="30"/>
        <v>3.5000000000000001E-3</v>
      </c>
      <c r="E101" s="3381"/>
      <c r="F101" s="1814"/>
      <c r="G101" s="3370">
        <v>3.5000000000000001E-3</v>
      </c>
      <c r="H101" s="3418" t="str">
        <f t="shared" si="31"/>
        <v>——</v>
      </c>
      <c r="I101" s="3365">
        <v>7.0000000000000007E-2</v>
      </c>
      <c r="J101" s="3342">
        <f t="shared" si="27"/>
        <v>7.0000000000000001E-3</v>
      </c>
      <c r="K101" s="3342">
        <f t="shared" si="28"/>
        <v>3.5000000000000001E-3</v>
      </c>
      <c r="L101" s="3342">
        <v>0</v>
      </c>
      <c r="M101" s="3342">
        <f t="shared" si="29"/>
        <v>-3.5000000000000001E-3</v>
      </c>
      <c r="N101" s="3342">
        <f t="shared" si="29"/>
        <v>-7.0000000000000001E-3</v>
      </c>
    </row>
    <row r="103" spans="1:14">
      <c r="A103" s="4032" t="s">
        <v>3297</v>
      </c>
      <c r="B103" s="4032"/>
      <c r="C103" s="4032"/>
      <c r="D103" s="4032"/>
      <c r="E103" s="4032"/>
      <c r="F103" s="4032"/>
      <c r="G103" s="4032"/>
      <c r="H103" s="4032"/>
      <c r="I103" s="4032"/>
      <c r="J103" s="4032"/>
      <c r="K103" s="3387"/>
      <c r="L103" s="3387"/>
      <c r="M103" s="3387"/>
      <c r="N103" s="3387"/>
    </row>
    <row r="104" spans="1:14">
      <c r="A104" s="4033" t="s">
        <v>3298</v>
      </c>
      <c r="B104" s="4033" t="s">
        <v>3299</v>
      </c>
      <c r="C104" s="3388" t="s">
        <v>3300</v>
      </c>
      <c r="D104" s="3389"/>
      <c r="E104" s="3389"/>
      <c r="F104" s="3389"/>
      <c r="G104" s="3389"/>
      <c r="H104" s="3389"/>
      <c r="I104" s="3389"/>
      <c r="J104" s="3390"/>
      <c r="K104" s="3391"/>
      <c r="L104" s="3391"/>
      <c r="M104" s="3391"/>
      <c r="N104" s="3391"/>
    </row>
    <row r="105" spans="1:14">
      <c r="A105" s="4033"/>
      <c r="B105" s="4033"/>
      <c r="C105" s="3392" t="s">
        <v>3301</v>
      </c>
      <c r="D105" s="3392" t="s">
        <v>3302</v>
      </c>
      <c r="E105" s="3392" t="s">
        <v>3303</v>
      </c>
      <c r="F105" s="3392" t="s">
        <v>3304</v>
      </c>
      <c r="G105" s="3392" t="s">
        <v>3305</v>
      </c>
      <c r="H105" s="3392" t="s">
        <v>3306</v>
      </c>
      <c r="I105" s="3392" t="s">
        <v>3307</v>
      </c>
      <c r="J105" s="3392" t="s">
        <v>3308</v>
      </c>
      <c r="K105" s="3392" t="s">
        <v>3309</v>
      </c>
      <c r="L105" s="3392" t="s">
        <v>3310</v>
      </c>
      <c r="M105" s="3392" t="s">
        <v>3311</v>
      </c>
      <c r="N105" s="3392" t="s">
        <v>3312</v>
      </c>
    </row>
    <row r="106" spans="1:14">
      <c r="A106" s="4019" t="s">
        <v>3313</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4020"/>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4020"/>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4020"/>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4020"/>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4020"/>
      <c r="B111" s="3392" t="s">
        <v>3271</v>
      </c>
      <c r="C111" s="3393">
        <f>$I$3</f>
        <v>1</v>
      </c>
      <c r="D111" s="3393">
        <f t="shared" ref="D111:M111" si="32">$I$3</f>
        <v>1</v>
      </c>
      <c r="E111" s="3393">
        <f t="shared" si="32"/>
        <v>1</v>
      </c>
      <c r="F111" s="3393">
        <f t="shared" si="32"/>
        <v>1</v>
      </c>
      <c r="G111" s="3393">
        <f t="shared" si="32"/>
        <v>1</v>
      </c>
      <c r="H111" s="3393">
        <f t="shared" si="32"/>
        <v>1</v>
      </c>
      <c r="I111" s="3393">
        <f t="shared" si="32"/>
        <v>1</v>
      </c>
      <c r="J111" s="3393">
        <f t="shared" si="32"/>
        <v>1</v>
      </c>
      <c r="K111" s="3393">
        <f t="shared" si="32"/>
        <v>1</v>
      </c>
      <c r="L111" s="3393">
        <f t="shared" si="32"/>
        <v>1</v>
      </c>
      <c r="M111" s="3393">
        <f t="shared" si="32"/>
        <v>1</v>
      </c>
      <c r="N111" s="3393">
        <f>$I$3</f>
        <v>1</v>
      </c>
    </row>
    <row r="112" spans="1:14">
      <c r="A112" s="4021"/>
      <c r="B112" s="3392">
        <v>6</v>
      </c>
      <c r="C112" s="3385">
        <f>(-0.5556*(C111^2)-0.2719*C111+8944)*(10^(-4))</f>
        <v>0.89431725000000006</v>
      </c>
      <c r="D112" s="3385">
        <f>(-0.5556*(D111^2)-0.2719*D111+8944)*(10^(-4))</f>
        <v>0.89431725000000006</v>
      </c>
      <c r="E112" s="3385">
        <f>(-0.7912*(E111^2)-11.3794*E111+8482)*(10^(-4))</f>
        <v>0.84698294000000007</v>
      </c>
      <c r="F112" s="3385">
        <f t="shared" ref="F112:I112" si="33">(-0.7912*(F111^2)-11.3794*F111+8482)*(10^(-4))</f>
        <v>0.84698294000000007</v>
      </c>
      <c r="G112" s="3385">
        <f t="shared" si="33"/>
        <v>0.84698294000000007</v>
      </c>
      <c r="H112" s="3385">
        <f t="shared" si="33"/>
        <v>0.84698294000000007</v>
      </c>
      <c r="I112" s="3385">
        <f t="shared" si="33"/>
        <v>0.84698294000000007</v>
      </c>
      <c r="J112" s="3385">
        <f>(-0.989*(J111^2)-63.78*J111+7771)*(10^(-4))</f>
        <v>0.77062310000000001</v>
      </c>
      <c r="K112" s="3385">
        <f t="shared" ref="K112:N112" si="34">(-0.989*(K111^2)-63.78*K111+7771)*(10^(-4))</f>
        <v>0.77062310000000001</v>
      </c>
      <c r="L112" s="3385">
        <f t="shared" si="34"/>
        <v>0.77062310000000001</v>
      </c>
      <c r="M112" s="3385">
        <f t="shared" si="34"/>
        <v>0.77062310000000001</v>
      </c>
      <c r="N112" s="3385">
        <f t="shared" si="34"/>
        <v>0.77062310000000001</v>
      </c>
    </row>
    <row r="113" spans="1:14">
      <c r="A113" s="4022" t="s">
        <v>3314</v>
      </c>
      <c r="B113" s="4022"/>
      <c r="C113" s="4022"/>
      <c r="D113" s="4022"/>
      <c r="E113" s="4022"/>
      <c r="F113" s="4022"/>
      <c r="G113" s="4022"/>
      <c r="H113" s="4022"/>
      <c r="I113" s="4022"/>
      <c r="J113" s="4022"/>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3315</v>
      </c>
      <c r="B116" s="3413">
        <f>G3</f>
        <v>2.5</v>
      </c>
      <c r="C116" s="3397" t="s">
        <v>3316</v>
      </c>
      <c r="D116" s="3398">
        <f>SUMPRODUCT((A118:A122=F116)*(B117:M117=H116)*B118:M122)</f>
        <v>0</v>
      </c>
      <c r="E116" s="2000" t="s">
        <v>3317</v>
      </c>
      <c r="F116" s="3399" t="str">
        <f>E2</f>
        <v>商业</v>
      </c>
      <c r="G116" s="2000" t="s">
        <v>3318</v>
      </c>
      <c r="H116" s="3399">
        <f>G2</f>
        <v>0</v>
      </c>
      <c r="I116" s="2000"/>
      <c r="J116" s="3400"/>
      <c r="K116" s="3400"/>
      <c r="L116" s="3400"/>
      <c r="M116" s="3400"/>
      <c r="N116" s="3395"/>
    </row>
    <row r="117" spans="1:14">
      <c r="A117" s="3401"/>
      <c r="B117" s="3402" t="s">
        <v>3319</v>
      </c>
      <c r="C117" s="3402" t="s">
        <v>3320</v>
      </c>
      <c r="D117" s="3402" t="s">
        <v>3321</v>
      </c>
      <c r="E117" s="3403" t="s">
        <v>3322</v>
      </c>
      <c r="F117" s="3403" t="s">
        <v>3323</v>
      </c>
      <c r="G117" s="3403" t="s">
        <v>3324</v>
      </c>
      <c r="H117" s="3404" t="s">
        <v>3325</v>
      </c>
      <c r="I117" s="3404" t="s">
        <v>3326</v>
      </c>
      <c r="J117" s="3405" t="s">
        <v>3327</v>
      </c>
      <c r="K117" s="3405" t="s">
        <v>3328</v>
      </c>
      <c r="L117" s="3405" t="s">
        <v>3329</v>
      </c>
      <c r="M117" s="3406" t="s">
        <v>3330</v>
      </c>
      <c r="N117" s="3395"/>
    </row>
    <row r="118" spans="1:14">
      <c r="A118" s="3407" t="s">
        <v>3331</v>
      </c>
      <c r="B118" s="3385">
        <f>ROUND(0.9968-0.011*B116,4)</f>
        <v>0.96930000000000005</v>
      </c>
      <c r="C118" s="3385">
        <f>B118</f>
        <v>0.96930000000000005</v>
      </c>
      <c r="D118" s="3385">
        <f>ROUND(0.949-0.014*B116,4)</f>
        <v>0.91400000000000003</v>
      </c>
      <c r="E118" s="3385">
        <f>D118</f>
        <v>0.91400000000000003</v>
      </c>
      <c r="F118" s="3385">
        <f>E118</f>
        <v>0.91400000000000003</v>
      </c>
      <c r="G118" s="3385">
        <f>F118</f>
        <v>0.91400000000000003</v>
      </c>
      <c r="H118" s="3385">
        <f>G118</f>
        <v>0.91400000000000003</v>
      </c>
      <c r="I118" s="3385">
        <f>ROUND(0.8486-0.018*B116,4)</f>
        <v>0.80359999999999998</v>
      </c>
      <c r="J118" s="3385">
        <f t="shared" ref="J118:M122" si="35">I118</f>
        <v>0.80359999999999998</v>
      </c>
      <c r="K118" s="3385">
        <f t="shared" si="35"/>
        <v>0.80359999999999998</v>
      </c>
      <c r="L118" s="3385">
        <f t="shared" si="35"/>
        <v>0.80359999999999998</v>
      </c>
      <c r="M118" s="3408">
        <f t="shared" si="35"/>
        <v>0.80359999999999998</v>
      </c>
      <c r="N118" s="3395"/>
    </row>
    <row r="119" spans="1:14">
      <c r="A119" s="3407" t="s">
        <v>3332</v>
      </c>
      <c r="B119" s="3385">
        <f>ROUND(0.993-0.0112*B116,4)</f>
        <v>0.96499999999999997</v>
      </c>
      <c r="C119" s="3385">
        <f>B119</f>
        <v>0.96499999999999997</v>
      </c>
      <c r="D119" s="3385">
        <f>ROUND(0.9415-0.0142*B116,4)</f>
        <v>0.90600000000000003</v>
      </c>
      <c r="E119" s="3385">
        <f t="shared" ref="E119:H120" si="36">D119</f>
        <v>0.90600000000000003</v>
      </c>
      <c r="F119" s="3385">
        <f t="shared" si="36"/>
        <v>0.90600000000000003</v>
      </c>
      <c r="G119" s="3385">
        <f t="shared" si="36"/>
        <v>0.90600000000000003</v>
      </c>
      <c r="H119" s="3385">
        <f t="shared" si="36"/>
        <v>0.90600000000000003</v>
      </c>
      <c r="I119" s="3385">
        <f>ROUND(0.838-0.0182*B116,4)</f>
        <v>0.79249999999999998</v>
      </c>
      <c r="J119" s="3385">
        <f t="shared" si="35"/>
        <v>0.79249999999999998</v>
      </c>
      <c r="K119" s="3385">
        <f t="shared" si="35"/>
        <v>0.79249999999999998</v>
      </c>
      <c r="L119" s="3385">
        <f t="shared" si="35"/>
        <v>0.79249999999999998</v>
      </c>
      <c r="M119" s="3408">
        <f t="shared" si="35"/>
        <v>0.79249999999999998</v>
      </c>
      <c r="N119" s="3395"/>
    </row>
    <row r="120" spans="1:14">
      <c r="A120" s="3407" t="s">
        <v>3333</v>
      </c>
      <c r="B120" s="3385">
        <f>ROUND(0.9448-0.0115*B116,4)</f>
        <v>0.91610000000000003</v>
      </c>
      <c r="C120" s="3385">
        <f>B120</f>
        <v>0.91610000000000003</v>
      </c>
      <c r="D120" s="3385">
        <f>ROUND(0.937-0.0145*B116,4)</f>
        <v>0.90080000000000005</v>
      </c>
      <c r="E120" s="3385">
        <f t="shared" si="36"/>
        <v>0.90080000000000005</v>
      </c>
      <c r="F120" s="3385">
        <f t="shared" si="36"/>
        <v>0.90080000000000005</v>
      </c>
      <c r="G120" s="3385">
        <f t="shared" si="36"/>
        <v>0.90080000000000005</v>
      </c>
      <c r="H120" s="3385">
        <f t="shared" si="36"/>
        <v>0.90080000000000005</v>
      </c>
      <c r="I120" s="3385">
        <f>ROUND(0.7965-0.0185*B116,4)</f>
        <v>0.75029999999999997</v>
      </c>
      <c r="J120" s="3385">
        <f t="shared" si="35"/>
        <v>0.75029999999999997</v>
      </c>
      <c r="K120" s="3385">
        <f t="shared" si="35"/>
        <v>0.75029999999999997</v>
      </c>
      <c r="L120" s="3385">
        <f t="shared" si="35"/>
        <v>0.75029999999999997</v>
      </c>
      <c r="M120" s="3408">
        <f t="shared" si="35"/>
        <v>0.75029999999999997</v>
      </c>
      <c r="N120" s="3395"/>
    </row>
    <row r="121" spans="1:14" ht="13.5" thickBot="1">
      <c r="A121" s="3409" t="s">
        <v>3334</v>
      </c>
      <c r="B121" s="3410">
        <f>ROUND(0.7836-0.012*B116,4)</f>
        <v>0.75360000000000005</v>
      </c>
      <c r="C121" s="3410">
        <f>B121</f>
        <v>0.75360000000000005</v>
      </c>
      <c r="D121" s="3410">
        <f>ROUND(0.753-0.015*B116,4)</f>
        <v>0.71550000000000002</v>
      </c>
      <c r="E121" s="3410">
        <f>D121</f>
        <v>0.71550000000000002</v>
      </c>
      <c r="F121" s="3410">
        <f>E121</f>
        <v>0.71550000000000002</v>
      </c>
      <c r="G121" s="3410">
        <f>ROUND(0.6612-0.018*B116,4)</f>
        <v>0.61619999999999997</v>
      </c>
      <c r="H121" s="3410">
        <f>G121</f>
        <v>0.61619999999999997</v>
      </c>
      <c r="I121" s="3410">
        <f>ROUND(0.5905-0.019*B116,4)</f>
        <v>0.54300000000000004</v>
      </c>
      <c r="J121" s="3410">
        <f t="shared" si="35"/>
        <v>0.54300000000000004</v>
      </c>
      <c r="K121" s="3410">
        <f t="shared" si="35"/>
        <v>0.54300000000000004</v>
      </c>
      <c r="L121" s="3410">
        <f t="shared" si="35"/>
        <v>0.54300000000000004</v>
      </c>
      <c r="M121" s="3411">
        <f t="shared" si="35"/>
        <v>0.54300000000000004</v>
      </c>
      <c r="N121" s="3395"/>
    </row>
    <row r="122" spans="1:14">
      <c r="A122" s="3412" t="s">
        <v>2611</v>
      </c>
      <c r="B122" s="3385">
        <f>ROUND(0.9404-0.0106*B116,4)</f>
        <v>0.91390000000000005</v>
      </c>
      <c r="C122" s="3385">
        <f>B122</f>
        <v>0.91390000000000005</v>
      </c>
      <c r="D122" s="3385">
        <f>ROUND(0.8955-0.0135*B116,4)</f>
        <v>0.86180000000000001</v>
      </c>
      <c r="E122" s="3385">
        <f t="shared" ref="E122:H122" si="37">D122</f>
        <v>0.86180000000000001</v>
      </c>
      <c r="F122" s="3385">
        <f t="shared" si="37"/>
        <v>0.86180000000000001</v>
      </c>
      <c r="G122" s="3385">
        <f t="shared" si="37"/>
        <v>0.86180000000000001</v>
      </c>
      <c r="H122" s="3385">
        <f t="shared" si="37"/>
        <v>0.86180000000000001</v>
      </c>
      <c r="I122" s="3385">
        <f>ROUND(0.7632-0.0166*B116,4)</f>
        <v>0.72170000000000001</v>
      </c>
      <c r="J122" s="3385">
        <f t="shared" si="35"/>
        <v>0.72170000000000001</v>
      </c>
      <c r="K122" s="3385">
        <f t="shared" si="35"/>
        <v>0.72170000000000001</v>
      </c>
      <c r="L122" s="3385">
        <f t="shared" si="35"/>
        <v>0.72170000000000001</v>
      </c>
      <c r="M122" s="3408">
        <f t="shared" si="35"/>
        <v>0.72170000000000001</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pageSetUpPr fitToPage="1"/>
  </sheetPr>
  <dimension ref="A1:AC131"/>
  <sheetViews>
    <sheetView view="pageBreakPreview" topLeftCell="A7" zoomScale="80" zoomScaleNormal="70" zoomScaleSheetLayoutView="80" workbookViewId="0">
      <selection activeCell="Q11" sqref="Q1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3504</v>
      </c>
      <c r="E1" s="3423" t="s">
        <v>3568</v>
      </c>
      <c r="F1" s="1879" t="s">
        <v>3601</v>
      </c>
      <c r="G1" s="1235" t="s">
        <v>1663</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e">
        <f>IF(E1="项目模式",IF(C2="——",ROUND(C49*D3/10000,0),ROUND(C49*D3/10000,0)-D2),IF(E1="单套模式",IF(C2="——",ROUND(C49*D3/10000,4),ROUND(C49*D3/10000,4)-D2)))</f>
        <v>#DIV/0!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1665</v>
      </c>
      <c r="D3" s="353">
        <f>IF(D1="",'数据-汇总表'!E3,SUMIF('数据-汇总表'!$C19:$C33,D1,'数据-汇总表'!$E19:$E33))</f>
        <v>642</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1769</v>
      </c>
      <c r="B4" s="356"/>
      <c r="C4" s="3817" t="s">
        <v>1667</v>
      </c>
      <c r="D4" s="3818"/>
      <c r="E4" s="3819" t="s">
        <v>1668</v>
      </c>
      <c r="F4" s="3820"/>
      <c r="G4" s="3817" t="s">
        <v>1669</v>
      </c>
      <c r="H4" s="3818"/>
      <c r="I4" s="3817" t="s">
        <v>1670</v>
      </c>
      <c r="J4" s="3818"/>
      <c r="K4" s="559" t="s">
        <v>1774</v>
      </c>
      <c r="L4" s="2712"/>
      <c r="M4" s="2713"/>
      <c r="N4" s="2713"/>
      <c r="O4" s="2713"/>
      <c r="P4" s="3821" t="s">
        <v>1672</v>
      </c>
      <c r="Q4" s="3822"/>
      <c r="R4" s="3827" t="s">
        <v>1668</v>
      </c>
      <c r="S4" s="3828"/>
      <c r="T4" s="3827" t="s">
        <v>1669</v>
      </c>
      <c r="U4" s="3828"/>
      <c r="V4" s="3812" t="s">
        <v>1670</v>
      </c>
      <c r="W4" s="3812"/>
      <c r="X4" s="3554"/>
      <c r="Y4" s="3827" t="s">
        <v>1672</v>
      </c>
      <c r="Z4" s="3828"/>
      <c r="AA4" s="3814" t="s">
        <v>1668</v>
      </c>
      <c r="AB4" s="3812" t="s">
        <v>1669</v>
      </c>
      <c r="AC4" s="3814" t="s">
        <v>1670</v>
      </c>
    </row>
    <row r="5" spans="1:29" ht="15">
      <c r="A5" s="358"/>
      <c r="B5" s="359"/>
      <c r="C5" s="3870" t="str">
        <f>'比较法-商业'!C5:D5</f>
        <v>远洋沁山水</v>
      </c>
      <c r="D5" s="3841"/>
      <c r="E5" s="3835" t="s">
        <v>3604</v>
      </c>
      <c r="F5" s="3836"/>
      <c r="G5" s="3835" t="str">
        <f>商业案例!F3</f>
        <v>龙湖唐宁one</v>
      </c>
      <c r="H5" s="3836"/>
      <c r="I5" s="3870" t="str">
        <f>商业案例!F4</f>
        <v>新科祥园</v>
      </c>
      <c r="J5" s="3841"/>
      <c r="K5" s="559"/>
      <c r="L5" s="2712"/>
      <c r="M5" s="2713"/>
      <c r="N5" s="2713"/>
      <c r="O5" s="2713"/>
      <c r="P5" s="3823"/>
      <c r="Q5" s="3824"/>
      <c r="R5" s="3829"/>
      <c r="S5" s="3830"/>
      <c r="T5" s="3829"/>
      <c r="U5" s="3830"/>
      <c r="V5" s="3812"/>
      <c r="W5" s="3812"/>
      <c r="X5" s="3554"/>
      <c r="Y5" s="3829"/>
      <c r="Z5" s="3830"/>
      <c r="AA5" s="3815"/>
      <c r="AB5" s="3812"/>
      <c r="AC5" s="3815"/>
    </row>
    <row r="6" spans="1:29" ht="15.75" thickBot="1">
      <c r="A6" s="360"/>
      <c r="B6" s="361"/>
      <c r="C6" s="3833" t="s">
        <v>1677</v>
      </c>
      <c r="D6" s="3834"/>
      <c r="E6" s="3842" t="s">
        <v>1677</v>
      </c>
      <c r="F6" s="3843"/>
      <c r="G6" s="3833" t="s">
        <v>1677</v>
      </c>
      <c r="H6" s="3834"/>
      <c r="I6" s="3833" t="s">
        <v>1677</v>
      </c>
      <c r="J6" s="3834"/>
      <c r="K6" s="559" t="s">
        <v>1678</v>
      </c>
      <c r="L6" s="2712"/>
      <c r="M6" s="2713"/>
      <c r="N6" s="2713"/>
      <c r="O6" s="2713"/>
      <c r="P6" s="3825"/>
      <c r="Q6" s="3826"/>
      <c r="R6" s="3829"/>
      <c r="S6" s="3830"/>
      <c r="T6" s="3831"/>
      <c r="U6" s="3832"/>
      <c r="V6" s="3812"/>
      <c r="W6" s="3812"/>
      <c r="X6" s="3554"/>
      <c r="Y6" s="3831"/>
      <c r="Z6" s="3832"/>
      <c r="AA6" s="3816"/>
      <c r="AB6" s="3812"/>
      <c r="AC6" s="3816"/>
    </row>
    <row r="7" spans="1:29" s="108" customFormat="1" ht="15.75" thickBot="1">
      <c r="A7" s="362" t="s">
        <v>1679</v>
      </c>
      <c r="B7" s="363"/>
      <c r="C7" s="364">
        <f>'数据-取费表'!B2</f>
        <v>45426</v>
      </c>
      <c r="D7" s="365">
        <v>100</v>
      </c>
      <c r="E7" s="366">
        <v>45231</v>
      </c>
      <c r="F7" s="367">
        <f>SUMIF(58:58,YEAR(E7)&amp;"-"&amp;MONTH(E7),59:59)</f>
        <v>0</v>
      </c>
      <c r="G7" s="366">
        <v>45231</v>
      </c>
      <c r="H7" s="365">
        <f>SUMIF(58:58,YEAR(G7)&amp;"-"&amp;MONTH(G7),59:59)</f>
        <v>0</v>
      </c>
      <c r="I7" s="366">
        <f>G7</f>
        <v>45231</v>
      </c>
      <c r="J7" s="365">
        <f>SUMIF(58:58,YEAR(I7)&amp;"-"&amp;MONTH(I7),59:59)</f>
        <v>0</v>
      </c>
      <c r="K7" s="560"/>
      <c r="L7" s="2714"/>
      <c r="M7" s="2715"/>
      <c r="N7" s="2715"/>
      <c r="O7" s="2715"/>
      <c r="P7" s="3837" t="s">
        <v>1680</v>
      </c>
      <c r="Q7" s="3839"/>
      <c r="R7" s="701" t="s">
        <v>14</v>
      </c>
      <c r="S7" s="702">
        <f t="shared" ref="S7:S15" si="0">F7</f>
        <v>0</v>
      </c>
      <c r="T7" s="701" t="s">
        <v>14</v>
      </c>
      <c r="U7" s="702">
        <f t="shared" ref="U7:U15" si="1">H7</f>
        <v>0</v>
      </c>
      <c r="V7" s="701" t="s">
        <v>14</v>
      </c>
      <c r="W7" s="702">
        <f t="shared" ref="W7:W15" si="2">J7</f>
        <v>0</v>
      </c>
      <c r="X7" s="703"/>
      <c r="Y7" s="3837" t="s">
        <v>1680</v>
      </c>
      <c r="Z7" s="3838"/>
      <c r="AA7" s="704" t="e">
        <f>D7/F7</f>
        <v>#DIV/0!</v>
      </c>
      <c r="AB7" s="704" t="e">
        <f>D7/H7</f>
        <v>#DIV/0!</v>
      </c>
      <c r="AC7" s="704" t="e">
        <f>D7/J7</f>
        <v>#DIV/0!</v>
      </c>
    </row>
    <row r="8" spans="1:29" s="108" customFormat="1" ht="15.75" thickBot="1">
      <c r="A8" s="362" t="s">
        <v>1681</v>
      </c>
      <c r="B8" s="363"/>
      <c r="C8" s="368" t="s">
        <v>3558</v>
      </c>
      <c r="D8" s="365">
        <v>100</v>
      </c>
      <c r="E8" s="368" t="s">
        <v>3602</v>
      </c>
      <c r="F8" s="367">
        <f>SUMIF(61:61,E8,62:62)-SUMIF(61:61,C8,62:62)+100</f>
        <v>105</v>
      </c>
      <c r="G8" s="368" t="s">
        <v>3602</v>
      </c>
      <c r="H8" s="365">
        <f>SUMIF(61:61,G8,62:62)-SUMIF(61:61,C8,62:62)+100</f>
        <v>105</v>
      </c>
      <c r="I8" s="368" t="s">
        <v>3602</v>
      </c>
      <c r="J8" s="365">
        <f>SUMIF(61:61,I8,62:62)-SUMIF(61:61,C8,62:62)+100</f>
        <v>105</v>
      </c>
      <c r="K8" s="560"/>
      <c r="L8" s="2714"/>
      <c r="M8" s="2715"/>
      <c r="N8" s="2715"/>
      <c r="O8" s="2715"/>
      <c r="P8" s="3837" t="s">
        <v>1683</v>
      </c>
      <c r="Q8" s="3838"/>
      <c r="R8" s="701" t="s">
        <v>14</v>
      </c>
      <c r="S8" s="702">
        <f t="shared" si="0"/>
        <v>105</v>
      </c>
      <c r="T8" s="701" t="s">
        <v>14</v>
      </c>
      <c r="U8" s="702">
        <f t="shared" si="1"/>
        <v>105</v>
      </c>
      <c r="V8" s="701" t="s">
        <v>14</v>
      </c>
      <c r="W8" s="702">
        <f t="shared" si="2"/>
        <v>105</v>
      </c>
      <c r="X8" s="703"/>
      <c r="Y8" s="3837" t="s">
        <v>1683</v>
      </c>
      <c r="Z8" s="3838"/>
      <c r="AA8" s="704">
        <f t="shared" ref="AA8:AA46" si="3">D8/F8</f>
        <v>0.95238095238095233</v>
      </c>
      <c r="AB8" s="704">
        <f t="shared" ref="AB8:AB46" si="4">D8/H8</f>
        <v>0.95238095238095233</v>
      </c>
      <c r="AC8" s="704">
        <f t="shared" ref="AC8:AC46" si="5">D8/J8</f>
        <v>0.95238095238095233</v>
      </c>
    </row>
    <row r="9" spans="1:29" s="108" customFormat="1">
      <c r="A9" s="369" t="s">
        <v>1684</v>
      </c>
      <c r="B9" s="63" t="s">
        <v>1685</v>
      </c>
      <c r="C9" s="3537" t="s">
        <v>3559</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813" t="s">
        <v>1686</v>
      </c>
      <c r="Q9" s="3549" t="str">
        <f t="shared" ref="Q9:Q15" si="6">B9</f>
        <v>用途</v>
      </c>
      <c r="R9" s="701" t="s">
        <v>14</v>
      </c>
      <c r="S9" s="702">
        <f t="shared" si="0"/>
        <v>100</v>
      </c>
      <c r="T9" s="701" t="s">
        <v>14</v>
      </c>
      <c r="U9" s="702">
        <f t="shared" si="1"/>
        <v>100</v>
      </c>
      <c r="V9" s="701" t="s">
        <v>14</v>
      </c>
      <c r="W9" s="702">
        <f t="shared" si="2"/>
        <v>100</v>
      </c>
      <c r="X9" s="703"/>
      <c r="Y9" s="3702" t="s">
        <v>1687</v>
      </c>
      <c r="Z9" s="3548" t="str">
        <f t="shared" ref="Z9:Z15" si="7">Q9</f>
        <v>用途</v>
      </c>
      <c r="AA9" s="704">
        <f t="shared" si="3"/>
        <v>1</v>
      </c>
      <c r="AB9" s="704">
        <f t="shared" si="4"/>
        <v>1</v>
      </c>
      <c r="AC9" s="704">
        <f t="shared" si="5"/>
        <v>1</v>
      </c>
    </row>
    <row r="10" spans="1:29" s="378" customFormat="1" ht="27">
      <c r="A10" s="374"/>
      <c r="B10" s="375" t="s">
        <v>1688</v>
      </c>
      <c r="C10" s="3558" t="s">
        <v>3609</v>
      </c>
      <c r="D10" s="127">
        <v>100</v>
      </c>
      <c r="E10" s="3432" t="s">
        <v>3608</v>
      </c>
      <c r="F10" s="376">
        <f>SUMIF(65:65,E10,66:66)-SUMIF(65:65,C10,66:66)+100</f>
        <v>110</v>
      </c>
      <c r="G10" s="3432" t="s">
        <v>3610</v>
      </c>
      <c r="H10" s="127">
        <f>SUMIF(65:65,G10,66:66)-SUMIF(65:65,C10,66:66)+100</f>
        <v>110</v>
      </c>
      <c r="I10" s="3431" t="s">
        <v>3611</v>
      </c>
      <c r="J10" s="127">
        <f>SUMIF(65:65,I10,66:66)-SUMIF(65:65,C10,66:66)+100</f>
        <v>105</v>
      </c>
      <c r="K10" s="560"/>
      <c r="L10" s="2716"/>
      <c r="M10" s="2717"/>
      <c r="N10" s="2717"/>
      <c r="O10" s="2717"/>
      <c r="P10" s="3813"/>
      <c r="Q10" s="3549" t="str">
        <f t="shared" si="6"/>
        <v>土地使用年限（年）</v>
      </c>
      <c r="R10" s="701" t="s">
        <v>14</v>
      </c>
      <c r="S10" s="702">
        <f t="shared" si="0"/>
        <v>110</v>
      </c>
      <c r="T10" s="701" t="s">
        <v>14</v>
      </c>
      <c r="U10" s="702">
        <f t="shared" si="1"/>
        <v>110</v>
      </c>
      <c r="V10" s="701" t="s">
        <v>14</v>
      </c>
      <c r="W10" s="702">
        <f t="shared" si="2"/>
        <v>105</v>
      </c>
      <c r="X10" s="703"/>
      <c r="Y10" s="3702"/>
      <c r="Z10" s="3548" t="str">
        <f t="shared" si="7"/>
        <v>土地使用年限（年）</v>
      </c>
      <c r="AA10" s="704">
        <f t="shared" si="3"/>
        <v>0.90909090909090906</v>
      </c>
      <c r="AB10" s="704">
        <f t="shared" si="4"/>
        <v>0.90909090909090906</v>
      </c>
      <c r="AC10" s="704">
        <f t="shared" si="5"/>
        <v>0.95238095238095233</v>
      </c>
    </row>
    <row r="11" spans="1:29" ht="15.75" thickBot="1">
      <c r="A11" s="379"/>
      <c r="B11" s="375" t="s">
        <v>1689</v>
      </c>
      <c r="C11" s="380"/>
      <c r="D11" s="127">
        <v>100</v>
      </c>
      <c r="E11" s="381"/>
      <c r="F11" s="376">
        <f>LOOKUP(E11,68:68,69:69)-LOOKUP(C11,68:68,69:69)+100</f>
        <v>100</v>
      </c>
      <c r="G11" s="381"/>
      <c r="H11" s="127">
        <f>LOOKUP(G11,68:68,69:69)-LOOKUP(C11,68:68,69:69)+100</f>
        <v>100</v>
      </c>
      <c r="I11" s="380"/>
      <c r="J11" s="127">
        <f>LOOKUP(I11,68:68,69:69)-LOOKUP(C11,68:68,69:69)+100</f>
        <v>100</v>
      </c>
      <c r="K11" s="561"/>
      <c r="L11" s="2718"/>
      <c r="M11" s="2713"/>
      <c r="N11" s="2713"/>
      <c r="O11" s="2713"/>
      <c r="P11" s="3813"/>
      <c r="Q11" s="3549" t="str">
        <f t="shared" si="6"/>
        <v>容积率</v>
      </c>
      <c r="R11" s="701" t="s">
        <v>14</v>
      </c>
      <c r="S11" s="702">
        <f t="shared" si="0"/>
        <v>100</v>
      </c>
      <c r="T11" s="701" t="s">
        <v>14</v>
      </c>
      <c r="U11" s="702">
        <f t="shared" si="1"/>
        <v>100</v>
      </c>
      <c r="V11" s="701" t="s">
        <v>14</v>
      </c>
      <c r="W11" s="702">
        <f t="shared" si="2"/>
        <v>100</v>
      </c>
      <c r="X11" s="703"/>
      <c r="Y11" s="3702"/>
      <c r="Z11" s="3548" t="str">
        <f t="shared" si="7"/>
        <v>容积率</v>
      </c>
      <c r="AA11" s="704">
        <f t="shared" si="3"/>
        <v>1</v>
      </c>
      <c r="AB11" s="704">
        <f t="shared" si="4"/>
        <v>1</v>
      </c>
      <c r="AC11" s="704">
        <f t="shared" si="5"/>
        <v>1</v>
      </c>
    </row>
    <row r="12" spans="1:29" s="108" customFormat="1" ht="15.75" hidden="1" thickBot="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813"/>
      <c r="Q12" s="3549">
        <f t="shared" si="6"/>
        <v>111</v>
      </c>
      <c r="R12" s="701" t="s">
        <v>14</v>
      </c>
      <c r="S12" s="702">
        <f t="shared" si="0"/>
        <v>100</v>
      </c>
      <c r="T12" s="701" t="s">
        <v>14</v>
      </c>
      <c r="U12" s="702">
        <f t="shared" si="1"/>
        <v>100</v>
      </c>
      <c r="V12" s="701" t="s">
        <v>14</v>
      </c>
      <c r="W12" s="702">
        <f t="shared" si="2"/>
        <v>100</v>
      </c>
      <c r="X12" s="703"/>
      <c r="Y12" s="3702"/>
      <c r="Z12" s="3548">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813"/>
      <c r="Q13" s="3549">
        <f t="shared" si="6"/>
        <v>111</v>
      </c>
      <c r="R13" s="701" t="s">
        <v>14</v>
      </c>
      <c r="S13" s="702">
        <f t="shared" si="0"/>
        <v>100</v>
      </c>
      <c r="T13" s="701" t="s">
        <v>14</v>
      </c>
      <c r="U13" s="702">
        <f t="shared" si="1"/>
        <v>100</v>
      </c>
      <c r="V13" s="701" t="s">
        <v>14</v>
      </c>
      <c r="W13" s="702">
        <f t="shared" si="2"/>
        <v>100</v>
      </c>
      <c r="X13" s="703"/>
      <c r="Y13" s="3702"/>
      <c r="Z13" s="3548">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813"/>
      <c r="Q14" s="3549">
        <f t="shared" si="6"/>
        <v>111</v>
      </c>
      <c r="R14" s="701" t="s">
        <v>14</v>
      </c>
      <c r="S14" s="702">
        <f t="shared" si="0"/>
        <v>100</v>
      </c>
      <c r="T14" s="701" t="s">
        <v>14</v>
      </c>
      <c r="U14" s="702">
        <f t="shared" si="1"/>
        <v>100</v>
      </c>
      <c r="V14" s="701" t="s">
        <v>14</v>
      </c>
      <c r="W14" s="702">
        <f t="shared" si="2"/>
        <v>100</v>
      </c>
      <c r="X14" s="703"/>
      <c r="Y14" s="3702"/>
      <c r="Z14" s="3548">
        <f t="shared" si="7"/>
        <v>111</v>
      </c>
      <c r="AA14" s="704">
        <f t="shared" si="3"/>
        <v>1</v>
      </c>
      <c r="AB14" s="704">
        <f t="shared" si="4"/>
        <v>1</v>
      </c>
      <c r="AC14" s="704">
        <f t="shared" si="5"/>
        <v>1</v>
      </c>
    </row>
    <row r="15" spans="1:29" ht="18.75" customHeight="1">
      <c r="A15" s="391" t="s">
        <v>1690</v>
      </c>
      <c r="B15" s="61" t="s">
        <v>1777</v>
      </c>
      <c r="C15" s="1896" t="str">
        <f>估价对象房地状况!C4</f>
        <v>较好</v>
      </c>
      <c r="D15" s="392">
        <v>100</v>
      </c>
      <c r="E15" s="3557" t="s">
        <v>3605</v>
      </c>
      <c r="F15" s="394">
        <f>SUMIF(76:76,E16,77:77)-SUMIF(76:76,C16,77:77)+100</f>
        <v>95</v>
      </c>
      <c r="G15" s="403" t="s">
        <v>3500</v>
      </c>
      <c r="H15" s="392">
        <f>SUMIF(76:76,G16,77:77)-SUMIF(76:76,C16,77:77)+100</f>
        <v>100</v>
      </c>
      <c r="I15" s="393" t="s">
        <v>3500</v>
      </c>
      <c r="J15" s="392">
        <f>SUMIF(76:76,I16,77:77)-SUMIF(76:76,C16,77:77)+100</f>
        <v>100</v>
      </c>
      <c r="K15" s="563">
        <v>5</v>
      </c>
      <c r="L15" s="2719"/>
      <c r="M15" s="2713"/>
      <c r="N15" s="2713"/>
      <c r="O15" s="2713"/>
      <c r="P15" s="3803" t="s">
        <v>1691</v>
      </c>
      <c r="Q15" s="3550" t="str">
        <f t="shared" si="6"/>
        <v>商业繁华度</v>
      </c>
      <c r="R15" s="705" t="s">
        <v>14</v>
      </c>
      <c r="S15" s="706">
        <f t="shared" si="0"/>
        <v>95</v>
      </c>
      <c r="T15" s="705" t="s">
        <v>14</v>
      </c>
      <c r="U15" s="706">
        <f t="shared" si="1"/>
        <v>100</v>
      </c>
      <c r="V15" s="705" t="s">
        <v>14</v>
      </c>
      <c r="W15" s="706">
        <f t="shared" si="2"/>
        <v>100</v>
      </c>
      <c r="X15" s="3554"/>
      <c r="Y15" s="3805" t="s">
        <v>1691</v>
      </c>
      <c r="Z15" s="3553" t="str">
        <f t="shared" si="7"/>
        <v>商业繁华度</v>
      </c>
      <c r="AA15" s="3551">
        <f t="shared" si="3"/>
        <v>1.0526315789473684</v>
      </c>
      <c r="AB15" s="3551">
        <f t="shared" si="4"/>
        <v>1</v>
      </c>
      <c r="AC15" s="3551">
        <f t="shared" si="5"/>
        <v>1</v>
      </c>
    </row>
    <row r="16" spans="1:29" ht="18.75" customHeight="1">
      <c r="A16" s="379"/>
      <c r="B16" s="397"/>
      <c r="C16" s="398" t="s">
        <v>3500</v>
      </c>
      <c r="D16" s="399"/>
      <c r="E16" s="1903" t="s">
        <v>3532</v>
      </c>
      <c r="F16" s="400"/>
      <c r="G16" s="1903" t="s">
        <v>3500</v>
      </c>
      <c r="H16" s="401"/>
      <c r="I16" s="398" t="s">
        <v>3500</v>
      </c>
      <c r="J16" s="399"/>
      <c r="K16" s="564"/>
      <c r="L16" s="2719"/>
      <c r="M16" s="2713"/>
      <c r="N16" s="2713"/>
      <c r="O16" s="2713"/>
      <c r="P16" s="3804"/>
      <c r="Q16" s="3550"/>
      <c r="R16" s="705"/>
      <c r="S16" s="706"/>
      <c r="T16" s="705"/>
      <c r="U16" s="706"/>
      <c r="V16" s="705"/>
      <c r="W16" s="706"/>
      <c r="X16" s="3554"/>
      <c r="Y16" s="3806"/>
      <c r="Z16" s="3553"/>
      <c r="AA16" s="3551">
        <v>1</v>
      </c>
      <c r="AB16" s="3551">
        <v>1</v>
      </c>
      <c r="AC16" s="3551">
        <v>1</v>
      </c>
    </row>
    <row r="17" spans="1:29" ht="18.75" customHeight="1">
      <c r="A17" s="379"/>
      <c r="B17" s="402" t="s">
        <v>1259</v>
      </c>
      <c r="C17" s="1900" t="str">
        <f>估价对象房地状况!C6</f>
        <v>较好</v>
      </c>
      <c r="D17" s="401">
        <v>100</v>
      </c>
      <c r="E17" s="403" t="s">
        <v>3500</v>
      </c>
      <c r="F17" s="404">
        <f>SUMIF(78:78,E18,79:79)-SUMIF(78:78,C18,79:79)+100</f>
        <v>100</v>
      </c>
      <c r="G17" s="3557" t="s">
        <v>3605</v>
      </c>
      <c r="H17" s="406">
        <f>SUMIF(78:78,G18,79:79)-SUMIF(78:78,C18,79:79)+100</f>
        <v>98</v>
      </c>
      <c r="I17" s="403" t="s">
        <v>3500</v>
      </c>
      <c r="J17" s="406">
        <f>SUMIF(78:78,I18,79:79)-SUMIF(78:78,C18,79:79)+100</f>
        <v>100</v>
      </c>
      <c r="K17" s="563">
        <v>2</v>
      </c>
      <c r="L17" s="2719"/>
      <c r="M17" s="2713"/>
      <c r="N17" s="2713"/>
      <c r="O17" s="2713"/>
      <c r="P17" s="3804"/>
      <c r="Q17" s="3550" t="str">
        <f>B17</f>
        <v>交通便捷度</v>
      </c>
      <c r="R17" s="705" t="s">
        <v>14</v>
      </c>
      <c r="S17" s="706">
        <f>F17</f>
        <v>100</v>
      </c>
      <c r="T17" s="705" t="s">
        <v>14</v>
      </c>
      <c r="U17" s="706">
        <f>H17</f>
        <v>98</v>
      </c>
      <c r="V17" s="705" t="s">
        <v>14</v>
      </c>
      <c r="W17" s="706">
        <f>J17</f>
        <v>100</v>
      </c>
      <c r="X17" s="3554"/>
      <c r="Y17" s="3806"/>
      <c r="Z17" s="3553" t="str">
        <f>Q17</f>
        <v>交通便捷度</v>
      </c>
      <c r="AA17" s="3551">
        <f t="shared" si="3"/>
        <v>1</v>
      </c>
      <c r="AB17" s="3551">
        <f t="shared" si="4"/>
        <v>1.0204081632653061</v>
      </c>
      <c r="AC17" s="3551">
        <f t="shared" si="5"/>
        <v>1</v>
      </c>
    </row>
    <row r="18" spans="1:29" ht="18.75" customHeight="1">
      <c r="A18" s="379"/>
      <c r="B18" s="407"/>
      <c r="C18" s="1901" t="s">
        <v>3500</v>
      </c>
      <c r="D18" s="401"/>
      <c r="E18" s="1903" t="s">
        <v>3500</v>
      </c>
      <c r="F18" s="404"/>
      <c r="G18" s="1903" t="s">
        <v>3532</v>
      </c>
      <c r="H18" s="399"/>
      <c r="I18" s="1903" t="s">
        <v>3500</v>
      </c>
      <c r="J18" s="399"/>
      <c r="K18" s="564"/>
      <c r="L18" s="2719"/>
      <c r="M18" s="2713"/>
      <c r="N18" s="2713"/>
      <c r="O18" s="2713"/>
      <c r="P18" s="3804"/>
      <c r="Q18" s="3550"/>
      <c r="R18" s="705"/>
      <c r="S18" s="706"/>
      <c r="T18" s="705"/>
      <c r="U18" s="706"/>
      <c r="V18" s="705"/>
      <c r="W18" s="706"/>
      <c r="X18" s="3554"/>
      <c r="Y18" s="3806"/>
      <c r="Z18" s="3553"/>
      <c r="AA18" s="3551">
        <v>1</v>
      </c>
      <c r="AB18" s="3551">
        <v>1</v>
      </c>
      <c r="AC18" s="3551">
        <v>1</v>
      </c>
    </row>
    <row r="19" spans="1:29" ht="18.75" customHeight="1">
      <c r="A19" s="379"/>
      <c r="B19" s="402" t="s">
        <v>1778</v>
      </c>
      <c r="C19" s="1900" t="str">
        <f>估价对象房地状况!C7</f>
        <v>较好</v>
      </c>
      <c r="D19" s="406">
        <v>100</v>
      </c>
      <c r="E19" s="408" t="s">
        <v>3500</v>
      </c>
      <c r="F19" s="409">
        <f>SUMIF(80:80,E20,81:81)-SUMIF(80:80,C20,81:81)+100</f>
        <v>100</v>
      </c>
      <c r="G19" s="408" t="s">
        <v>3500</v>
      </c>
      <c r="H19" s="401">
        <f>SUMIF(80:80,G20,81:81)-SUMIF(80:80,C20,81:81)+100</f>
        <v>100</v>
      </c>
      <c r="I19" s="408" t="s">
        <v>3500</v>
      </c>
      <c r="J19" s="401">
        <f>SUMIF(80:80,I20,81:81)-SUMIF(80:80,C20,81:81)+100</f>
        <v>100</v>
      </c>
      <c r="K19" s="563">
        <v>2</v>
      </c>
      <c r="L19" s="2719"/>
      <c r="M19" s="2713"/>
      <c r="N19" s="2713"/>
      <c r="O19" s="2713"/>
      <c r="P19" s="3804"/>
      <c r="Q19" s="3550" t="str">
        <f>B19</f>
        <v>公共配套设施</v>
      </c>
      <c r="R19" s="705" t="s">
        <v>14</v>
      </c>
      <c r="S19" s="706">
        <f>F19</f>
        <v>100</v>
      </c>
      <c r="T19" s="705" t="s">
        <v>14</v>
      </c>
      <c r="U19" s="706">
        <f>H19</f>
        <v>100</v>
      </c>
      <c r="V19" s="705" t="s">
        <v>14</v>
      </c>
      <c r="W19" s="706">
        <f>J19</f>
        <v>100</v>
      </c>
      <c r="X19" s="3554"/>
      <c r="Y19" s="3806"/>
      <c r="Z19" s="3553" t="str">
        <f>Q19</f>
        <v>公共配套设施</v>
      </c>
      <c r="AA19" s="3551">
        <f t="shared" si="3"/>
        <v>1</v>
      </c>
      <c r="AB19" s="3551">
        <f t="shared" si="4"/>
        <v>1</v>
      </c>
      <c r="AC19" s="3551">
        <f t="shared" si="5"/>
        <v>1</v>
      </c>
    </row>
    <row r="20" spans="1:29" ht="18.75" customHeight="1">
      <c r="A20" s="379"/>
      <c r="B20" s="407"/>
      <c r="C20" s="398" t="s">
        <v>3500</v>
      </c>
      <c r="D20" s="399"/>
      <c r="E20" s="1898" t="s">
        <v>3500</v>
      </c>
      <c r="F20" s="400"/>
      <c r="G20" s="1898" t="s">
        <v>3500</v>
      </c>
      <c r="H20" s="399"/>
      <c r="I20" s="1898" t="s">
        <v>3500</v>
      </c>
      <c r="J20" s="399"/>
      <c r="K20" s="564"/>
      <c r="L20" s="2719"/>
      <c r="M20" s="2713"/>
      <c r="N20" s="2713"/>
      <c r="O20" s="2713"/>
      <c r="P20" s="3804"/>
      <c r="Q20" s="3550"/>
      <c r="R20" s="705"/>
      <c r="S20" s="706"/>
      <c r="T20" s="705"/>
      <c r="U20" s="706"/>
      <c r="V20" s="705"/>
      <c r="W20" s="706"/>
      <c r="X20" s="3554"/>
      <c r="Y20" s="3806"/>
      <c r="Z20" s="3553"/>
      <c r="AA20" s="3551">
        <v>1</v>
      </c>
      <c r="AB20" s="3551">
        <v>1</v>
      </c>
      <c r="AC20" s="3551">
        <v>1</v>
      </c>
    </row>
    <row r="21" spans="1:29" ht="18.75" customHeight="1">
      <c r="A21" s="379"/>
      <c r="B21" s="1131" t="s">
        <v>1779</v>
      </c>
      <c r="C21" s="1900" t="str">
        <f>估价对象房地状况!C8</f>
        <v>七通</v>
      </c>
      <c r="D21" s="406">
        <v>100</v>
      </c>
      <c r="E21" s="408" t="s">
        <v>3501</v>
      </c>
      <c r="F21" s="409">
        <f>SUMIF(82:82,E22,83:83)-SUMIF(82:82,C22,83:83)+100</f>
        <v>100</v>
      </c>
      <c r="G21" s="408" t="s">
        <v>3501</v>
      </c>
      <c r="H21" s="401">
        <f>SUMIF(82:82,G22,83:83)-SUMIF(82:82,C22,83:83)+100</f>
        <v>100</v>
      </c>
      <c r="I21" s="408" t="s">
        <v>3501</v>
      </c>
      <c r="J21" s="401">
        <f>SUMIF(82:82,I22,83:83)-SUMIF(82:82,C22,83:83)+100</f>
        <v>100</v>
      </c>
      <c r="K21" s="563">
        <v>2</v>
      </c>
      <c r="L21" s="2719"/>
      <c r="M21" s="2713"/>
      <c r="N21" s="2713"/>
      <c r="O21" s="2713"/>
      <c r="P21" s="3804"/>
      <c r="Q21" s="3550" t="str">
        <f>B21</f>
        <v>基础设施水平</v>
      </c>
      <c r="R21" s="705" t="s">
        <v>14</v>
      </c>
      <c r="S21" s="706">
        <f>F21</f>
        <v>100</v>
      </c>
      <c r="T21" s="705" t="s">
        <v>14</v>
      </c>
      <c r="U21" s="706">
        <f>H21</f>
        <v>100</v>
      </c>
      <c r="V21" s="705" t="s">
        <v>14</v>
      </c>
      <c r="W21" s="706">
        <f>J21</f>
        <v>100</v>
      </c>
      <c r="X21" s="3554"/>
      <c r="Y21" s="3806"/>
      <c r="Z21" s="3553" t="str">
        <f>Q21</f>
        <v>基础设施水平</v>
      </c>
      <c r="AA21" s="3551">
        <f t="shared" ref="AA21" si="8">D21/F21</f>
        <v>1</v>
      </c>
      <c r="AB21" s="3551">
        <f t="shared" ref="AB21" si="9">D21/H21</f>
        <v>1</v>
      </c>
      <c r="AC21" s="3551">
        <f t="shared" ref="AC21" si="10">D21/J21</f>
        <v>1</v>
      </c>
    </row>
    <row r="22" spans="1:29" ht="18.75" customHeight="1">
      <c r="A22" s="379"/>
      <c r="B22" s="1131"/>
      <c r="C22" s="1901" t="s">
        <v>3501</v>
      </c>
      <c r="D22" s="399"/>
      <c r="E22" s="398" t="s">
        <v>3501</v>
      </c>
      <c r="F22" s="400"/>
      <c r="G22" s="398" t="s">
        <v>3501</v>
      </c>
      <c r="H22" s="399"/>
      <c r="I22" s="398" t="s">
        <v>3501</v>
      </c>
      <c r="J22" s="399"/>
      <c r="K22" s="1130"/>
      <c r="L22" s="2719"/>
      <c r="M22" s="2713"/>
      <c r="N22" s="2713"/>
      <c r="O22" s="2713"/>
      <c r="P22" s="3804"/>
      <c r="Q22" s="3550"/>
      <c r="R22" s="705"/>
      <c r="S22" s="706"/>
      <c r="T22" s="705"/>
      <c r="U22" s="706"/>
      <c r="V22" s="705"/>
      <c r="W22" s="706"/>
      <c r="X22" s="3554"/>
      <c r="Y22" s="3806"/>
      <c r="Z22" s="3553"/>
      <c r="AA22" s="3551">
        <v>1</v>
      </c>
      <c r="AB22" s="3551">
        <v>1</v>
      </c>
      <c r="AC22" s="3551">
        <v>1</v>
      </c>
    </row>
    <row r="23" spans="1:29" ht="18.75" customHeight="1">
      <c r="A23" s="379"/>
      <c r="B23" s="402" t="s">
        <v>1261</v>
      </c>
      <c r="C23" s="1955" t="str">
        <f>估价对象房地状况!C9</f>
        <v>较好</v>
      </c>
      <c r="D23" s="401">
        <v>100</v>
      </c>
      <c r="E23" s="403" t="s">
        <v>3500</v>
      </c>
      <c r="F23" s="404">
        <f>SUMIF(84:84,E24,85:85)-SUMIF(84:84,C24,85:85)+100</f>
        <v>100</v>
      </c>
      <c r="G23" s="403" t="s">
        <v>3500</v>
      </c>
      <c r="H23" s="401">
        <f>SUMIF(84:84,G24,85:85)-SUMIF(84:84,C24,85:85)+100</f>
        <v>100</v>
      </c>
      <c r="I23" s="403" t="s">
        <v>3500</v>
      </c>
      <c r="J23" s="401">
        <f>SUMIF(84:84,I24,85:85)-SUMIF(84:84,C24,85:85)+100</f>
        <v>100</v>
      </c>
      <c r="K23" s="563">
        <v>2</v>
      </c>
      <c r="L23" s="2719"/>
      <c r="M23" s="2713"/>
      <c r="N23" s="2713"/>
      <c r="O23" s="2713"/>
      <c r="P23" s="3804"/>
      <c r="Q23" s="3550" t="str">
        <f>B23</f>
        <v>自然及人文环境</v>
      </c>
      <c r="R23" s="705" t="s">
        <v>14</v>
      </c>
      <c r="S23" s="706">
        <f>F23</f>
        <v>100</v>
      </c>
      <c r="T23" s="705" t="s">
        <v>14</v>
      </c>
      <c r="U23" s="706">
        <f>H23</f>
        <v>100</v>
      </c>
      <c r="V23" s="705" t="s">
        <v>14</v>
      </c>
      <c r="W23" s="706">
        <f>J23</f>
        <v>100</v>
      </c>
      <c r="X23" s="3554"/>
      <c r="Y23" s="3806"/>
      <c r="Z23" s="3553" t="str">
        <f>Q23</f>
        <v>自然及人文环境</v>
      </c>
      <c r="AA23" s="3551">
        <f t="shared" si="3"/>
        <v>1</v>
      </c>
      <c r="AB23" s="3551">
        <f t="shared" si="4"/>
        <v>1</v>
      </c>
      <c r="AC23" s="3551">
        <f t="shared" si="5"/>
        <v>1</v>
      </c>
    </row>
    <row r="24" spans="1:29" ht="15">
      <c r="A24" s="379"/>
      <c r="B24" s="407"/>
      <c r="C24" s="398" t="s">
        <v>3500</v>
      </c>
      <c r="D24" s="399"/>
      <c r="E24" s="1898" t="s">
        <v>3500</v>
      </c>
      <c r="F24" s="400"/>
      <c r="G24" s="1898" t="s">
        <v>3500</v>
      </c>
      <c r="H24" s="399"/>
      <c r="I24" s="1898" t="s">
        <v>3500</v>
      </c>
      <c r="J24" s="399"/>
      <c r="K24" s="564"/>
      <c r="L24" s="2719"/>
      <c r="M24" s="2713"/>
      <c r="N24" s="2713"/>
      <c r="O24" s="2713"/>
      <c r="P24" s="3804"/>
      <c r="Q24" s="3550"/>
      <c r="R24" s="705"/>
      <c r="S24" s="706"/>
      <c r="T24" s="705"/>
      <c r="U24" s="706"/>
      <c r="V24" s="705"/>
      <c r="W24" s="706"/>
      <c r="X24" s="3554"/>
      <c r="Y24" s="3806"/>
      <c r="Z24" s="3553"/>
      <c r="AA24" s="3551">
        <v>1</v>
      </c>
      <c r="AB24" s="3551">
        <v>1</v>
      </c>
      <c r="AC24" s="3551">
        <v>1</v>
      </c>
    </row>
    <row r="25" spans="1:29" ht="15">
      <c r="A25" s="379"/>
      <c r="B25" s="375" t="s">
        <v>1780</v>
      </c>
      <c r="C25" s="565" t="s">
        <v>3502</v>
      </c>
      <c r="D25" s="386">
        <v>100</v>
      </c>
      <c r="E25" s="565" t="s">
        <v>3502</v>
      </c>
      <c r="F25" s="412">
        <f>SUMIF(86:86,E25,87:87)-SUMIF(86:86,C25,87:87)+100</f>
        <v>100</v>
      </c>
      <c r="G25" s="565" t="s">
        <v>3502</v>
      </c>
      <c r="H25" s="386">
        <f>SUMIF(86:86,G25,87:87)-SUMIF(86:86,C25,87:87)+100</f>
        <v>100</v>
      </c>
      <c r="I25" s="565" t="s">
        <v>3502</v>
      </c>
      <c r="J25" s="386">
        <f>SUMIF(86:86,I25,87:87)-SUMIF(86:86,C25,87:87)+100</f>
        <v>100</v>
      </c>
      <c r="K25" s="561">
        <v>2</v>
      </c>
      <c r="L25" s="2719"/>
      <c r="M25" s="2713"/>
      <c r="N25" s="2713"/>
      <c r="O25" s="2713"/>
      <c r="P25" s="3804"/>
      <c r="Q25" s="3550" t="str">
        <f t="shared" ref="Q25:Q46" si="11">B25</f>
        <v>临街状况</v>
      </c>
      <c r="R25" s="705" t="s">
        <v>14</v>
      </c>
      <c r="S25" s="706">
        <f>F25</f>
        <v>100</v>
      </c>
      <c r="T25" s="705" t="s">
        <v>14</v>
      </c>
      <c r="U25" s="706">
        <f>H25</f>
        <v>100</v>
      </c>
      <c r="V25" s="705" t="s">
        <v>14</v>
      </c>
      <c r="W25" s="706">
        <f>J25</f>
        <v>100</v>
      </c>
      <c r="X25" s="3554"/>
      <c r="Y25" s="3806"/>
      <c r="Z25" s="3553" t="str">
        <f>Q25</f>
        <v>临街状况</v>
      </c>
      <c r="AA25" s="3551">
        <f t="shared" si="3"/>
        <v>1</v>
      </c>
      <c r="AB25" s="3551">
        <f t="shared" si="4"/>
        <v>1</v>
      </c>
      <c r="AC25" s="3551">
        <f t="shared" si="5"/>
        <v>1</v>
      </c>
    </row>
    <row r="26" spans="1:29" ht="15">
      <c r="A26" s="379"/>
      <c r="B26" s="1133" t="s">
        <v>1781</v>
      </c>
      <c r="C26" s="3538" t="s">
        <v>3560</v>
      </c>
      <c r="D26" s="386">
        <v>100</v>
      </c>
      <c r="E26" s="385" t="s">
        <v>3503</v>
      </c>
      <c r="F26" s="412">
        <f>SUMIF(88:88,E26,89:89)-SUMIF(88:88,C26,89:89)+100</f>
        <v>100</v>
      </c>
      <c r="G26" s="385" t="s">
        <v>3503</v>
      </c>
      <c r="H26" s="386">
        <f>SUMIF(88:88,G26,89:89)-SUMIF(88:88,C26,89:89)+100</f>
        <v>100</v>
      </c>
      <c r="I26" s="385" t="s">
        <v>3503</v>
      </c>
      <c r="J26" s="386">
        <f>SUMIF(88:88,I26,89:89)-SUMIF(88:88,C26,89:89)+100</f>
        <v>100</v>
      </c>
      <c r="K26" s="562"/>
      <c r="L26" s="2719"/>
      <c r="M26" s="2713"/>
      <c r="N26" s="2713"/>
      <c r="O26" s="2713"/>
      <c r="P26" s="3804"/>
      <c r="Q26" s="3550" t="str">
        <f t="shared" si="11"/>
        <v>平面位置/可视性</v>
      </c>
      <c r="R26" s="705" t="s">
        <v>14</v>
      </c>
      <c r="S26" s="706">
        <f>F26</f>
        <v>100</v>
      </c>
      <c r="T26" s="705" t="s">
        <v>14</v>
      </c>
      <c r="U26" s="706">
        <f>H26</f>
        <v>100</v>
      </c>
      <c r="V26" s="705" t="s">
        <v>14</v>
      </c>
      <c r="W26" s="706">
        <f>J26</f>
        <v>100</v>
      </c>
      <c r="X26" s="3554"/>
      <c r="Y26" s="3806"/>
      <c r="Z26" s="3553" t="str">
        <f>Q26</f>
        <v>平面位置/可视性</v>
      </c>
      <c r="AA26" s="3551">
        <f t="shared" si="3"/>
        <v>1</v>
      </c>
      <c r="AB26" s="3551">
        <f t="shared" si="4"/>
        <v>1</v>
      </c>
      <c r="AC26" s="3551">
        <f t="shared" si="5"/>
        <v>1</v>
      </c>
    </row>
    <row r="27" spans="1:29" s="108" customFormat="1" ht="15">
      <c r="A27" s="382"/>
      <c r="B27" s="402" t="s">
        <v>1782</v>
      </c>
      <c r="C27" s="1956" t="s">
        <v>3500</v>
      </c>
      <c r="D27" s="413">
        <v>100</v>
      </c>
      <c r="E27" s="1956" t="s">
        <v>3500</v>
      </c>
      <c r="F27" s="415">
        <f>SUMIF(90:90,E27,91:91)-SUMIF(90:90,C27,91:91)+100</f>
        <v>100</v>
      </c>
      <c r="G27" s="1956" t="s">
        <v>3500</v>
      </c>
      <c r="H27" s="413">
        <f>SUMIF(90:90,G27,91:91)-SUMIF(90:90,C27,91:91)+100</f>
        <v>100</v>
      </c>
      <c r="I27" s="1956" t="s">
        <v>3500</v>
      </c>
      <c r="J27" s="413">
        <f>SUMIF(90:90,I27,91:91)-SUMIF(90:90,C27,91:91)+100</f>
        <v>100</v>
      </c>
      <c r="K27" s="561">
        <v>3</v>
      </c>
      <c r="L27" s="2714"/>
      <c r="M27" s="2715"/>
      <c r="N27" s="2715"/>
      <c r="O27" s="2715"/>
      <c r="P27" s="3804"/>
      <c r="Q27" s="3549" t="str">
        <f t="shared" si="11"/>
        <v>人流量</v>
      </c>
      <c r="R27" s="701" t="s">
        <v>14</v>
      </c>
      <c r="S27" s="702">
        <f>F27</f>
        <v>100</v>
      </c>
      <c r="T27" s="701" t="s">
        <v>14</v>
      </c>
      <c r="U27" s="702">
        <f>H27</f>
        <v>100</v>
      </c>
      <c r="V27" s="701" t="s">
        <v>14</v>
      </c>
      <c r="W27" s="702">
        <f>J27</f>
        <v>100</v>
      </c>
      <c r="X27" s="703"/>
      <c r="Y27" s="3806"/>
      <c r="Z27" s="3548" t="str">
        <f>Q27</f>
        <v>人流量</v>
      </c>
      <c r="AA27" s="3551">
        <f>D27/F27</f>
        <v>1</v>
      </c>
      <c r="AB27" s="3551">
        <f>D27/H27</f>
        <v>1</v>
      </c>
      <c r="AC27" s="3551">
        <f>D27/J27</f>
        <v>1</v>
      </c>
    </row>
    <row r="28" spans="1:29" ht="15.75" thickBot="1">
      <c r="A28" s="379"/>
      <c r="B28" s="375" t="s">
        <v>1783</v>
      </c>
      <c r="C28" s="565" t="s">
        <v>3504</v>
      </c>
      <c r="D28" s="386">
        <v>100</v>
      </c>
      <c r="E28" s="565" t="s">
        <v>3504</v>
      </c>
      <c r="F28" s="412">
        <f>SUMIF(92:92,E28,93:93)-SUMIF(92:92,C28,93:93)+100</f>
        <v>100</v>
      </c>
      <c r="G28" s="565" t="s">
        <v>3504</v>
      </c>
      <c r="H28" s="386">
        <f>SUMIF(92:92,G28,93:93)-SUMIF(92:92,C28,93:93)+100</f>
        <v>100</v>
      </c>
      <c r="I28" s="565" t="s">
        <v>3504</v>
      </c>
      <c r="J28" s="386">
        <f>SUMIF(92:92,I28,93:93)-SUMIF(92:92,C28,93:93)+100</f>
        <v>100</v>
      </c>
      <c r="K28" s="562"/>
      <c r="L28" s="2719"/>
      <c r="M28" s="2713"/>
      <c r="N28" s="2713"/>
      <c r="O28" s="2713"/>
      <c r="P28" s="3804"/>
      <c r="Q28" s="3550" t="str">
        <f t="shared" si="11"/>
        <v>楼层</v>
      </c>
      <c r="R28" s="705" t="s">
        <v>14</v>
      </c>
      <c r="S28" s="706">
        <f t="shared" ref="S28:S46" si="12">F28</f>
        <v>100</v>
      </c>
      <c r="T28" s="705" t="s">
        <v>14</v>
      </c>
      <c r="U28" s="706">
        <f t="shared" ref="U28:U46" si="13">H28</f>
        <v>100</v>
      </c>
      <c r="V28" s="705" t="s">
        <v>14</v>
      </c>
      <c r="W28" s="706">
        <f t="shared" ref="W28:W46" si="14">J28</f>
        <v>100</v>
      </c>
      <c r="X28" s="3554"/>
      <c r="Y28" s="3806"/>
      <c r="Z28" s="3553" t="str">
        <f t="shared" ref="Z28:Z46" si="15">Q28</f>
        <v>楼层</v>
      </c>
      <c r="AA28" s="3551">
        <f t="shared" si="3"/>
        <v>1</v>
      </c>
      <c r="AB28" s="3551">
        <f t="shared" si="4"/>
        <v>1</v>
      </c>
      <c r="AC28" s="3551">
        <f t="shared" si="5"/>
        <v>1</v>
      </c>
    </row>
    <row r="29" spans="1:29" ht="15.75" hidden="1" thickBot="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804"/>
      <c r="Q29" s="3550">
        <f t="shared" si="11"/>
        <v>111</v>
      </c>
      <c r="R29" s="705" t="s">
        <v>14</v>
      </c>
      <c r="S29" s="706">
        <f t="shared" si="12"/>
        <v>100</v>
      </c>
      <c r="T29" s="705" t="s">
        <v>14</v>
      </c>
      <c r="U29" s="706">
        <f t="shared" si="13"/>
        <v>100</v>
      </c>
      <c r="V29" s="705" t="s">
        <v>14</v>
      </c>
      <c r="W29" s="706">
        <f t="shared" si="14"/>
        <v>100</v>
      </c>
      <c r="X29" s="3554"/>
      <c r="Y29" s="3806"/>
      <c r="Z29" s="3553">
        <f t="shared" si="15"/>
        <v>111</v>
      </c>
      <c r="AA29" s="3551">
        <f t="shared" si="3"/>
        <v>1</v>
      </c>
      <c r="AB29" s="3551">
        <f t="shared" si="4"/>
        <v>1</v>
      </c>
      <c r="AC29" s="3551">
        <f t="shared" si="5"/>
        <v>1</v>
      </c>
    </row>
    <row r="30" spans="1:29" ht="15.75" hidden="1" thickBot="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804"/>
      <c r="Q30" s="3550">
        <f t="shared" si="11"/>
        <v>111</v>
      </c>
      <c r="R30" s="705" t="s">
        <v>14</v>
      </c>
      <c r="S30" s="706">
        <f t="shared" si="12"/>
        <v>100</v>
      </c>
      <c r="T30" s="705" t="s">
        <v>14</v>
      </c>
      <c r="U30" s="706">
        <f t="shared" si="13"/>
        <v>100</v>
      </c>
      <c r="V30" s="705" t="s">
        <v>14</v>
      </c>
      <c r="W30" s="706">
        <f t="shared" si="14"/>
        <v>100</v>
      </c>
      <c r="X30" s="3554"/>
      <c r="Y30" s="3806"/>
      <c r="Z30" s="3553">
        <f t="shared" si="15"/>
        <v>111</v>
      </c>
      <c r="AA30" s="3551">
        <f t="shared" si="3"/>
        <v>1</v>
      </c>
      <c r="AB30" s="3551">
        <f t="shared" si="4"/>
        <v>1</v>
      </c>
      <c r="AC30" s="3551">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804"/>
      <c r="Q31" s="3550">
        <f t="shared" si="11"/>
        <v>111</v>
      </c>
      <c r="R31" s="705" t="s">
        <v>14</v>
      </c>
      <c r="S31" s="706">
        <f t="shared" si="12"/>
        <v>100</v>
      </c>
      <c r="T31" s="705" t="s">
        <v>14</v>
      </c>
      <c r="U31" s="706">
        <f t="shared" si="13"/>
        <v>100</v>
      </c>
      <c r="V31" s="705" t="s">
        <v>14</v>
      </c>
      <c r="W31" s="706">
        <f t="shared" si="14"/>
        <v>100</v>
      </c>
      <c r="X31" s="3554"/>
      <c r="Y31" s="3806"/>
      <c r="Z31" s="3553">
        <f t="shared" si="15"/>
        <v>111</v>
      </c>
      <c r="AA31" s="3551">
        <f t="shared" si="3"/>
        <v>1</v>
      </c>
      <c r="AB31" s="3551">
        <f t="shared" si="4"/>
        <v>1</v>
      </c>
      <c r="AC31" s="3551">
        <f t="shared" si="5"/>
        <v>1</v>
      </c>
    </row>
    <row r="32" spans="1:29" ht="15">
      <c r="A32" s="391" t="s">
        <v>1694</v>
      </c>
      <c r="B32" s="63" t="s">
        <v>1784</v>
      </c>
      <c r="C32" s="1910" t="s">
        <v>3561</v>
      </c>
      <c r="D32" s="418">
        <v>100</v>
      </c>
      <c r="E32" s="1910" t="s">
        <v>3561</v>
      </c>
      <c r="F32" s="412">
        <f>SUMIF(100:100,E32,101:101)-SUMIF(100:100,C32,101:101)+100</f>
        <v>100</v>
      </c>
      <c r="G32" s="1910" t="s">
        <v>3505</v>
      </c>
      <c r="H32" s="386">
        <f>SUMIF(100:100,G32,101:101)-SUMIF(100:100,C32,101:101)+100</f>
        <v>95</v>
      </c>
      <c r="I32" s="1910" t="s">
        <v>3505</v>
      </c>
      <c r="J32" s="418">
        <f>SUMIF(100:100,I32,101:101)-SUMIF(100:100,C32,101:101)+100</f>
        <v>95</v>
      </c>
      <c r="K32" s="561">
        <v>5</v>
      </c>
      <c r="L32" s="2719"/>
      <c r="M32" s="2713"/>
      <c r="N32" s="2713"/>
      <c r="O32" s="2713"/>
      <c r="P32" s="3807" t="s">
        <v>1696</v>
      </c>
      <c r="Q32" s="3550" t="str">
        <f t="shared" si="11"/>
        <v>商业类型</v>
      </c>
      <c r="R32" s="705" t="s">
        <v>14</v>
      </c>
      <c r="S32" s="706">
        <f t="shared" si="12"/>
        <v>100</v>
      </c>
      <c r="T32" s="705" t="s">
        <v>14</v>
      </c>
      <c r="U32" s="706">
        <f t="shared" si="13"/>
        <v>95</v>
      </c>
      <c r="V32" s="705" t="s">
        <v>14</v>
      </c>
      <c r="W32" s="706">
        <f t="shared" si="14"/>
        <v>95</v>
      </c>
      <c r="X32" s="3554"/>
      <c r="Y32" s="3810" t="s">
        <v>1696</v>
      </c>
      <c r="Z32" s="3553" t="str">
        <f t="shared" si="15"/>
        <v>商业类型</v>
      </c>
      <c r="AA32" s="3551">
        <f t="shared" si="3"/>
        <v>1</v>
      </c>
      <c r="AB32" s="3551">
        <f t="shared" si="4"/>
        <v>1.0526315789473684</v>
      </c>
      <c r="AC32" s="3551">
        <f t="shared" si="5"/>
        <v>1.0526315789473684</v>
      </c>
    </row>
    <row r="33" spans="1:29" s="422" customFormat="1" ht="15">
      <c r="A33" s="419"/>
      <c r="B33" s="375" t="s">
        <v>1697</v>
      </c>
      <c r="C33" s="420">
        <f>'数据-汇总表'!F19</f>
        <v>642</v>
      </c>
      <c r="D33" s="127">
        <v>100</v>
      </c>
      <c r="E33" s="381">
        <f>商业案例!G2</f>
        <v>265.51</v>
      </c>
      <c r="F33" s="376">
        <f>LOOKUP(E33,103:103,104:104)-LOOKUP(C33,103:103,104:104)+100</f>
        <v>102</v>
      </c>
      <c r="G33" s="380">
        <f>商业案例!G3</f>
        <v>119.3</v>
      </c>
      <c r="H33" s="127">
        <f>LOOKUP(G33,103:103,104:104)-LOOKUP(C33,103:103,104:104)+100</f>
        <v>104</v>
      </c>
      <c r="I33" s="380">
        <f>商业案例!G4</f>
        <v>45.87</v>
      </c>
      <c r="J33" s="127">
        <f>LOOKUP(I33,103:103,104:104)-LOOKUP(C33,103:103,104:104)+100</f>
        <v>108</v>
      </c>
      <c r="K33" s="562"/>
      <c r="L33" s="2718"/>
      <c r="M33" s="2720"/>
      <c r="N33" s="2720"/>
      <c r="O33" s="2720"/>
      <c r="P33" s="3808"/>
      <c r="Q33" s="707" t="str">
        <f t="shared" si="11"/>
        <v>项目建筑规模</v>
      </c>
      <c r="R33" s="708" t="s">
        <v>14</v>
      </c>
      <c r="S33" s="709">
        <f t="shared" si="12"/>
        <v>102</v>
      </c>
      <c r="T33" s="708" t="s">
        <v>14</v>
      </c>
      <c r="U33" s="709">
        <f t="shared" si="13"/>
        <v>104</v>
      </c>
      <c r="V33" s="708" t="s">
        <v>14</v>
      </c>
      <c r="W33" s="709">
        <f t="shared" si="14"/>
        <v>108</v>
      </c>
      <c r="X33" s="710"/>
      <c r="Y33" s="3810"/>
      <c r="Z33" s="711" t="str">
        <f t="shared" si="15"/>
        <v>项目建筑规模</v>
      </c>
      <c r="AA33" s="3551">
        <f t="shared" si="3"/>
        <v>0.98039215686274506</v>
      </c>
      <c r="AB33" s="3551">
        <f t="shared" si="4"/>
        <v>0.96153846153846156</v>
      </c>
      <c r="AC33" s="3551">
        <f t="shared" si="5"/>
        <v>0.92592592592592593</v>
      </c>
    </row>
    <row r="34" spans="1:29" ht="15">
      <c r="A34" s="423"/>
      <c r="B34" s="375" t="s">
        <v>1698</v>
      </c>
      <c r="C34" s="1912" t="s">
        <v>3506</v>
      </c>
      <c r="D34" s="386">
        <v>100</v>
      </c>
      <c r="E34" s="1912" t="s">
        <v>3506</v>
      </c>
      <c r="F34" s="412">
        <f>SUMIF(105:105,E34,106:106)-SUMIF(105:105,C34,106:106)+100</f>
        <v>100</v>
      </c>
      <c r="G34" s="1912" t="s">
        <v>3506</v>
      </c>
      <c r="H34" s="386">
        <f>SUMIF(105:105,G34,106:106)-SUMIF(105:105,C34,106:106)+100</f>
        <v>100</v>
      </c>
      <c r="I34" s="1912" t="s">
        <v>3506</v>
      </c>
      <c r="J34" s="386">
        <f>SUMIF(105:105,I34,106:106)-SUMIF(105:105,C34,106:106)+100</f>
        <v>100</v>
      </c>
      <c r="K34" s="561">
        <v>2</v>
      </c>
      <c r="L34" s="2719"/>
      <c r="M34" s="2713"/>
      <c r="N34" s="2713"/>
      <c r="O34" s="2713"/>
      <c r="P34" s="3808"/>
      <c r="Q34" s="3550" t="str">
        <f t="shared" si="11"/>
        <v>建筑结构</v>
      </c>
      <c r="R34" s="705" t="s">
        <v>14</v>
      </c>
      <c r="S34" s="706">
        <f t="shared" si="12"/>
        <v>100</v>
      </c>
      <c r="T34" s="705" t="s">
        <v>14</v>
      </c>
      <c r="U34" s="706">
        <f t="shared" si="13"/>
        <v>100</v>
      </c>
      <c r="V34" s="705" t="s">
        <v>14</v>
      </c>
      <c r="W34" s="706">
        <f t="shared" si="14"/>
        <v>100</v>
      </c>
      <c r="X34" s="3554"/>
      <c r="Y34" s="3810"/>
      <c r="Z34" s="3553" t="str">
        <f t="shared" si="15"/>
        <v>建筑结构</v>
      </c>
      <c r="AA34" s="3551">
        <f t="shared" si="3"/>
        <v>1</v>
      </c>
      <c r="AB34" s="3551">
        <f t="shared" si="4"/>
        <v>1</v>
      </c>
      <c r="AC34" s="3551">
        <f t="shared" si="5"/>
        <v>1</v>
      </c>
    </row>
    <row r="35" spans="1:29" ht="15">
      <c r="A35" s="423"/>
      <c r="B35" s="375" t="s">
        <v>1785</v>
      </c>
      <c r="C35" s="1906" t="s">
        <v>3507</v>
      </c>
      <c r="D35" s="386">
        <v>100</v>
      </c>
      <c r="E35" s="1906" t="s">
        <v>3507</v>
      </c>
      <c r="F35" s="412">
        <f>SUMIF(107:107,E35,108:108)-SUMIF(107:107,C35,108:108)+100</f>
        <v>100</v>
      </c>
      <c r="G35" s="1906" t="s">
        <v>3507</v>
      </c>
      <c r="H35" s="386">
        <f>SUMIF(107:107,G35,108:108)-SUMIF(107:107,C35,108:108)+100</f>
        <v>100</v>
      </c>
      <c r="I35" s="1906" t="s">
        <v>3507</v>
      </c>
      <c r="J35" s="386">
        <f>SUMIF(107:107,I35,108:108)-SUMIF(107:107,C35,108:108)+100</f>
        <v>100</v>
      </c>
      <c r="K35" s="561">
        <v>2</v>
      </c>
      <c r="L35" s="2719"/>
      <c r="M35" s="2713"/>
      <c r="N35" s="2713"/>
      <c r="O35" s="2713"/>
      <c r="P35" s="3808"/>
      <c r="Q35" s="3550" t="str">
        <f t="shared" si="11"/>
        <v>公共部分装修</v>
      </c>
      <c r="R35" s="705" t="s">
        <v>14</v>
      </c>
      <c r="S35" s="706">
        <f t="shared" si="12"/>
        <v>100</v>
      </c>
      <c r="T35" s="705" t="s">
        <v>14</v>
      </c>
      <c r="U35" s="706">
        <f t="shared" si="13"/>
        <v>100</v>
      </c>
      <c r="V35" s="705" t="s">
        <v>14</v>
      </c>
      <c r="W35" s="706">
        <f t="shared" si="14"/>
        <v>100</v>
      </c>
      <c r="X35" s="3554"/>
      <c r="Y35" s="3810"/>
      <c r="Z35" s="3553" t="str">
        <f t="shared" si="15"/>
        <v>公共部分装修</v>
      </c>
      <c r="AA35" s="3551">
        <f t="shared" si="3"/>
        <v>1</v>
      </c>
      <c r="AB35" s="3551">
        <f t="shared" si="4"/>
        <v>1</v>
      </c>
      <c r="AC35" s="3551">
        <f t="shared" si="5"/>
        <v>1</v>
      </c>
    </row>
    <row r="36" spans="1:29" ht="15" hidden="1">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c r="L36" s="2719"/>
      <c r="M36" s="2713"/>
      <c r="N36" s="2713"/>
      <c r="O36" s="2713"/>
      <c r="P36" s="3808"/>
      <c r="Q36" s="3550" t="str">
        <f t="shared" si="11"/>
        <v>成新度</v>
      </c>
      <c r="R36" s="705" t="s">
        <v>14</v>
      </c>
      <c r="S36" s="706">
        <f t="shared" si="12"/>
        <v>100</v>
      </c>
      <c r="T36" s="705" t="s">
        <v>14</v>
      </c>
      <c r="U36" s="706">
        <f t="shared" si="13"/>
        <v>100</v>
      </c>
      <c r="V36" s="705" t="s">
        <v>14</v>
      </c>
      <c r="W36" s="706">
        <f t="shared" si="14"/>
        <v>100</v>
      </c>
      <c r="X36" s="3554"/>
      <c r="Y36" s="3810"/>
      <c r="Z36" s="3553" t="str">
        <f t="shared" si="15"/>
        <v>成新度</v>
      </c>
      <c r="AA36" s="3551">
        <f t="shared" si="3"/>
        <v>1</v>
      </c>
      <c r="AB36" s="3551">
        <f t="shared" si="4"/>
        <v>1</v>
      </c>
      <c r="AC36" s="3551">
        <f t="shared" si="5"/>
        <v>1</v>
      </c>
    </row>
    <row r="37" spans="1:29" s="108" customFormat="1" ht="15">
      <c r="A37" s="424"/>
      <c r="B37" s="375" t="s">
        <v>1787</v>
      </c>
      <c r="C37" s="1906" t="s">
        <v>3508</v>
      </c>
      <c r="D37" s="127">
        <v>100</v>
      </c>
      <c r="E37" s="1906" t="s">
        <v>3508</v>
      </c>
      <c r="F37" s="412">
        <f>SUMIF(112:112,E37,113:113)-SUMIF(112:112,C37,113:113)+100</f>
        <v>100</v>
      </c>
      <c r="G37" s="1906" t="s">
        <v>3508</v>
      </c>
      <c r="H37" s="386">
        <f>SUMIF(112:112,G37,113:113)-SUMIF(112:112,C37,113:113)+100</f>
        <v>100</v>
      </c>
      <c r="I37" s="1906" t="s">
        <v>3508</v>
      </c>
      <c r="J37" s="386">
        <f>SUMIF(112:112,I37,113:113)-SUMIF(112:112,C37,113:113)+100</f>
        <v>100</v>
      </c>
      <c r="K37" s="561">
        <v>1</v>
      </c>
      <c r="L37" s="2714"/>
      <c r="M37" s="2715"/>
      <c r="N37" s="2715"/>
      <c r="O37" s="2715"/>
      <c r="P37" s="3808"/>
      <c r="Q37" s="3549" t="str">
        <f t="shared" si="11"/>
        <v>市政基础设施</v>
      </c>
      <c r="R37" s="701" t="s">
        <v>14</v>
      </c>
      <c r="S37" s="702">
        <f t="shared" si="12"/>
        <v>100</v>
      </c>
      <c r="T37" s="701" t="s">
        <v>14</v>
      </c>
      <c r="U37" s="702">
        <f t="shared" si="13"/>
        <v>100</v>
      </c>
      <c r="V37" s="701" t="s">
        <v>14</v>
      </c>
      <c r="W37" s="702">
        <f t="shared" si="14"/>
        <v>100</v>
      </c>
      <c r="X37" s="703"/>
      <c r="Y37" s="3810"/>
      <c r="Z37" s="3548" t="str">
        <f t="shared" si="15"/>
        <v>市政基础设施</v>
      </c>
      <c r="AA37" s="704">
        <f t="shared" si="3"/>
        <v>1</v>
      </c>
      <c r="AB37" s="704">
        <f t="shared" si="4"/>
        <v>1</v>
      </c>
      <c r="AC37" s="704">
        <f t="shared" si="5"/>
        <v>1</v>
      </c>
    </row>
    <row r="38" spans="1:29" ht="15" hidden="1">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808" t="s">
        <v>1696</v>
      </c>
      <c r="Q38" s="3550" t="str">
        <f t="shared" si="11"/>
        <v>业态</v>
      </c>
      <c r="R38" s="705" t="s">
        <v>14</v>
      </c>
      <c r="S38" s="706">
        <f t="shared" si="12"/>
        <v>100</v>
      </c>
      <c r="T38" s="705" t="s">
        <v>14</v>
      </c>
      <c r="U38" s="706">
        <f t="shared" si="13"/>
        <v>100</v>
      </c>
      <c r="V38" s="705" t="s">
        <v>14</v>
      </c>
      <c r="W38" s="706">
        <f t="shared" si="14"/>
        <v>100</v>
      </c>
      <c r="X38" s="3554"/>
      <c r="Y38" s="3810" t="s">
        <v>1696</v>
      </c>
      <c r="Z38" s="3553" t="str">
        <f t="shared" si="15"/>
        <v>业态</v>
      </c>
      <c r="AA38" s="3551">
        <f t="shared" si="3"/>
        <v>1</v>
      </c>
      <c r="AB38" s="3551">
        <f t="shared" si="4"/>
        <v>1</v>
      </c>
      <c r="AC38" s="3551">
        <f t="shared" si="5"/>
        <v>1</v>
      </c>
    </row>
    <row r="39" spans="1:29" ht="15">
      <c r="A39" s="423"/>
      <c r="B39" s="375" t="s">
        <v>1789</v>
      </c>
      <c r="C39" s="1906" t="s">
        <v>3509</v>
      </c>
      <c r="D39" s="386">
        <v>100</v>
      </c>
      <c r="E39" s="1906" t="s">
        <v>3509</v>
      </c>
      <c r="F39" s="412">
        <f>SUMIF(116:116,E39,117:117)-SUMIF(116:116,C39,117:117)+100</f>
        <v>100</v>
      </c>
      <c r="G39" s="1906" t="s">
        <v>3509</v>
      </c>
      <c r="H39" s="386">
        <f>SUMIF(116:116,G39,117:117)-SUMIF(116:116,C39,117:117)+100</f>
        <v>100</v>
      </c>
      <c r="I39" s="1906" t="s">
        <v>3509</v>
      </c>
      <c r="J39" s="386">
        <f>SUMIF(116:116,I39,117:117)-SUMIF(116:116,C39,117:117)+100</f>
        <v>100</v>
      </c>
      <c r="K39" s="561">
        <v>2</v>
      </c>
      <c r="L39" s="2719"/>
      <c r="M39" s="2713"/>
      <c r="N39" s="2713"/>
      <c r="O39" s="2713"/>
      <c r="P39" s="3808"/>
      <c r="Q39" s="3550" t="str">
        <f t="shared" si="11"/>
        <v>层高</v>
      </c>
      <c r="R39" s="705" t="s">
        <v>14</v>
      </c>
      <c r="S39" s="706">
        <f t="shared" si="12"/>
        <v>100</v>
      </c>
      <c r="T39" s="705" t="s">
        <v>14</v>
      </c>
      <c r="U39" s="706">
        <f t="shared" si="13"/>
        <v>100</v>
      </c>
      <c r="V39" s="705" t="s">
        <v>14</v>
      </c>
      <c r="W39" s="706">
        <f t="shared" si="14"/>
        <v>100</v>
      </c>
      <c r="X39" s="3554"/>
      <c r="Y39" s="3810"/>
      <c r="Z39" s="3553" t="str">
        <f t="shared" si="15"/>
        <v>层高</v>
      </c>
      <c r="AA39" s="3551">
        <f t="shared" si="3"/>
        <v>1</v>
      </c>
      <c r="AB39" s="3551">
        <f t="shared" si="4"/>
        <v>1</v>
      </c>
      <c r="AC39" s="3551">
        <f t="shared" si="5"/>
        <v>1</v>
      </c>
    </row>
    <row r="40" spans="1:29" ht="15" hidden="1">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808"/>
      <c r="Q40" s="3550" t="str">
        <f t="shared" si="11"/>
        <v>单套建筑面积</v>
      </c>
      <c r="R40" s="705" t="s">
        <v>14</v>
      </c>
      <c r="S40" s="706">
        <f t="shared" si="12"/>
        <v>100</v>
      </c>
      <c r="T40" s="705" t="s">
        <v>14</v>
      </c>
      <c r="U40" s="706">
        <f t="shared" si="13"/>
        <v>100</v>
      </c>
      <c r="V40" s="705" t="s">
        <v>14</v>
      </c>
      <c r="W40" s="706">
        <f t="shared" si="14"/>
        <v>100</v>
      </c>
      <c r="X40" s="3554"/>
      <c r="Y40" s="3810"/>
      <c r="Z40" s="3553" t="str">
        <f t="shared" si="15"/>
        <v>单套建筑面积</v>
      </c>
      <c r="AA40" s="3551">
        <f t="shared" si="3"/>
        <v>1</v>
      </c>
      <c r="AB40" s="3551">
        <f t="shared" si="4"/>
        <v>1</v>
      </c>
      <c r="AC40" s="3551">
        <f t="shared" si="5"/>
        <v>1</v>
      </c>
    </row>
    <row r="41" spans="1:29" s="422" customFormat="1" ht="15">
      <c r="A41" s="419"/>
      <c r="B41" s="3552" t="s">
        <v>1791</v>
      </c>
      <c r="C41" s="565" t="s">
        <v>3510</v>
      </c>
      <c r="D41" s="386">
        <v>100</v>
      </c>
      <c r="E41" s="565" t="s">
        <v>3510</v>
      </c>
      <c r="F41" s="412">
        <f>SUMIF(120:120,E41,121:121)-SUMIF(120:120,C41,121:121)+100</f>
        <v>100</v>
      </c>
      <c r="G41" s="565" t="s">
        <v>3510</v>
      </c>
      <c r="H41" s="386">
        <f>SUMIF(120:120,G41,121:121)-SUMIF(120:120,C41,121:121)+100</f>
        <v>100</v>
      </c>
      <c r="I41" s="565" t="s">
        <v>3510</v>
      </c>
      <c r="J41" s="386">
        <f>SUMIF(120:120,I41,121:121)-SUMIF(120:120,C41,121:121)+100</f>
        <v>100</v>
      </c>
      <c r="K41" s="561">
        <v>2</v>
      </c>
      <c r="L41" s="2718"/>
      <c r="M41" s="2720"/>
      <c r="N41" s="2720"/>
      <c r="O41" s="2720"/>
      <c r="P41" s="3808"/>
      <c r="Q41" s="707" t="str">
        <f t="shared" si="11"/>
        <v>进深比</v>
      </c>
      <c r="R41" s="708" t="s">
        <v>14</v>
      </c>
      <c r="S41" s="709">
        <f t="shared" si="12"/>
        <v>100</v>
      </c>
      <c r="T41" s="708" t="s">
        <v>14</v>
      </c>
      <c r="U41" s="709">
        <f t="shared" si="13"/>
        <v>100</v>
      </c>
      <c r="V41" s="708" t="s">
        <v>14</v>
      </c>
      <c r="W41" s="709">
        <f t="shared" si="14"/>
        <v>100</v>
      </c>
      <c r="X41" s="710"/>
      <c r="Y41" s="3810"/>
      <c r="Z41" s="711" t="str">
        <f t="shared" si="15"/>
        <v>进深比</v>
      </c>
      <c r="AA41" s="3551">
        <f t="shared" si="3"/>
        <v>1</v>
      </c>
      <c r="AB41" s="3551">
        <f t="shared" si="4"/>
        <v>1</v>
      </c>
      <c r="AC41" s="3551">
        <f t="shared" si="5"/>
        <v>1</v>
      </c>
    </row>
    <row r="42" spans="1:29" ht="15">
      <c r="A42" s="423"/>
      <c r="B42" s="375" t="s">
        <v>1792</v>
      </c>
      <c r="C42" s="411" t="s">
        <v>3603</v>
      </c>
      <c r="D42" s="386">
        <v>100</v>
      </c>
      <c r="E42" s="411" t="s">
        <v>3603</v>
      </c>
      <c r="F42" s="412">
        <f>SUMIF(122:122,E42,123:123)-SUMIF(122:122,C42,123:123)+100</f>
        <v>100</v>
      </c>
      <c r="G42" s="411" t="s">
        <v>3603</v>
      </c>
      <c r="H42" s="386">
        <f>SUMIF(122:122,G42,123:123)-SUMIF(122:122,C42,123:123)+100</f>
        <v>100</v>
      </c>
      <c r="I42" s="411" t="s">
        <v>3603</v>
      </c>
      <c r="J42" s="386">
        <f>SUMIF(122:122,I42,123:123)-SUMIF(122:122,C42,123:123)+100</f>
        <v>100</v>
      </c>
      <c r="K42" s="561">
        <v>3</v>
      </c>
      <c r="L42" s="2719"/>
      <c r="M42" s="2713"/>
      <c r="N42" s="2713"/>
      <c r="O42" s="2713"/>
      <c r="P42" s="3808"/>
      <c r="Q42" s="3550" t="str">
        <f t="shared" si="11"/>
        <v>内部装修</v>
      </c>
      <c r="R42" s="705" t="s">
        <v>14</v>
      </c>
      <c r="S42" s="706">
        <f t="shared" si="12"/>
        <v>100</v>
      </c>
      <c r="T42" s="705" t="s">
        <v>14</v>
      </c>
      <c r="U42" s="706">
        <f t="shared" si="13"/>
        <v>100</v>
      </c>
      <c r="V42" s="705" t="s">
        <v>14</v>
      </c>
      <c r="W42" s="706">
        <f t="shared" si="14"/>
        <v>100</v>
      </c>
      <c r="X42" s="3554"/>
      <c r="Y42" s="3810"/>
      <c r="Z42" s="3553" t="str">
        <f t="shared" si="15"/>
        <v>内部装修</v>
      </c>
      <c r="AA42" s="3551">
        <f t="shared" si="3"/>
        <v>1</v>
      </c>
      <c r="AB42" s="3551">
        <f t="shared" si="4"/>
        <v>1</v>
      </c>
      <c r="AC42" s="3551">
        <f t="shared" si="5"/>
        <v>1</v>
      </c>
    </row>
    <row r="43" spans="1:29" ht="15">
      <c r="A43" s="423"/>
      <c r="B43" s="375" t="s">
        <v>1707</v>
      </c>
      <c r="C43" s="1906" t="s">
        <v>3500</v>
      </c>
      <c r="D43" s="386">
        <v>100</v>
      </c>
      <c r="E43" s="1906" t="s">
        <v>3500</v>
      </c>
      <c r="F43" s="412">
        <f>SUMIF(124:124,E43,125:125)-SUMIF(124:124,C43,125:125)+100</f>
        <v>100</v>
      </c>
      <c r="G43" s="1906" t="s">
        <v>3500</v>
      </c>
      <c r="H43" s="386">
        <f>SUMIF(124:124,G43,125:125)-SUMIF(124:124,C43,125:125)+100</f>
        <v>100</v>
      </c>
      <c r="I43" s="1906" t="s">
        <v>3500</v>
      </c>
      <c r="J43" s="386">
        <f>SUMIF(124:124,I43,125:125)-SUMIF(124:124,C43,125:125)+100</f>
        <v>100</v>
      </c>
      <c r="K43" s="561">
        <v>2</v>
      </c>
      <c r="L43" s="2719"/>
      <c r="M43" s="2713"/>
      <c r="N43" s="2713"/>
      <c r="O43" s="2713"/>
      <c r="P43" s="3808"/>
      <c r="Q43" s="3550" t="str">
        <f t="shared" si="11"/>
        <v>内部装修维护情况</v>
      </c>
      <c r="R43" s="705" t="s">
        <v>14</v>
      </c>
      <c r="S43" s="706">
        <f t="shared" si="12"/>
        <v>100</v>
      </c>
      <c r="T43" s="705" t="s">
        <v>14</v>
      </c>
      <c r="U43" s="706">
        <f t="shared" si="13"/>
        <v>100</v>
      </c>
      <c r="V43" s="705" t="s">
        <v>14</v>
      </c>
      <c r="W43" s="706">
        <f t="shared" si="14"/>
        <v>100</v>
      </c>
      <c r="X43" s="3554"/>
      <c r="Y43" s="3810"/>
      <c r="Z43" s="3553" t="str">
        <f t="shared" si="15"/>
        <v>内部装修维护情况</v>
      </c>
      <c r="AA43" s="3551">
        <f t="shared" si="3"/>
        <v>1</v>
      </c>
      <c r="AB43" s="3551">
        <f t="shared" si="4"/>
        <v>1</v>
      </c>
      <c r="AC43" s="3551">
        <f t="shared" si="5"/>
        <v>1</v>
      </c>
    </row>
    <row r="44" spans="1:29" s="108" customFormat="1" ht="15">
      <c r="A44" s="424"/>
      <c r="B44" s="3555" t="s">
        <v>3607</v>
      </c>
      <c r="C44" s="420">
        <v>1999</v>
      </c>
      <c r="D44" s="127">
        <v>100</v>
      </c>
      <c r="E44" s="385">
        <v>2007</v>
      </c>
      <c r="F44" s="376">
        <f>SUMIF(126:126,E44,127:127)-SUMIF(126:126,C44,127:127)+100</f>
        <v>100</v>
      </c>
      <c r="G44" s="385">
        <v>2010</v>
      </c>
      <c r="H44" s="127">
        <f>SUMIF(126:126,G44,127:127)-SUMIF(126:126,C44,127:127)+100</f>
        <v>100</v>
      </c>
      <c r="I44" s="385">
        <v>2002</v>
      </c>
      <c r="J44" s="127">
        <f>SUMIF(126:126,I44,127:127)-SUMIF(126:126,C44,127:127)+100</f>
        <v>100</v>
      </c>
      <c r="K44" s="562"/>
      <c r="L44" s="2714"/>
      <c r="M44" s="2715"/>
      <c r="N44" s="2715"/>
      <c r="O44" s="2715"/>
      <c r="P44" s="3808"/>
      <c r="Q44" s="3549" t="str">
        <f t="shared" si="11"/>
        <v>建成时间</v>
      </c>
      <c r="R44" s="701" t="s">
        <v>14</v>
      </c>
      <c r="S44" s="702">
        <f t="shared" si="12"/>
        <v>100</v>
      </c>
      <c r="T44" s="701" t="s">
        <v>14</v>
      </c>
      <c r="U44" s="702">
        <f t="shared" si="13"/>
        <v>100</v>
      </c>
      <c r="V44" s="701" t="s">
        <v>14</v>
      </c>
      <c r="W44" s="702">
        <f t="shared" si="14"/>
        <v>100</v>
      </c>
      <c r="X44" s="703"/>
      <c r="Y44" s="3810"/>
      <c r="Z44" s="3548" t="str">
        <f t="shared" si="15"/>
        <v>建成时间</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808"/>
      <c r="Q45" s="3550">
        <f t="shared" si="11"/>
        <v>111</v>
      </c>
      <c r="R45" s="705" t="s">
        <v>14</v>
      </c>
      <c r="S45" s="706">
        <f t="shared" si="12"/>
        <v>100</v>
      </c>
      <c r="T45" s="705" t="s">
        <v>14</v>
      </c>
      <c r="U45" s="706">
        <f t="shared" si="13"/>
        <v>100</v>
      </c>
      <c r="V45" s="705" t="s">
        <v>14</v>
      </c>
      <c r="W45" s="706">
        <f t="shared" si="14"/>
        <v>100</v>
      </c>
      <c r="X45" s="3554"/>
      <c r="Y45" s="3810"/>
      <c r="Z45" s="3553">
        <f t="shared" si="15"/>
        <v>111</v>
      </c>
      <c r="AA45" s="3551">
        <f t="shared" si="3"/>
        <v>1</v>
      </c>
      <c r="AB45" s="3551">
        <f t="shared" si="4"/>
        <v>1</v>
      </c>
      <c r="AC45" s="3551">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809"/>
      <c r="Q46" s="3550">
        <f t="shared" si="11"/>
        <v>111</v>
      </c>
      <c r="R46" s="705" t="s">
        <v>14</v>
      </c>
      <c r="S46" s="706">
        <f t="shared" si="12"/>
        <v>100</v>
      </c>
      <c r="T46" s="705" t="s">
        <v>14</v>
      </c>
      <c r="U46" s="706">
        <f t="shared" si="13"/>
        <v>100</v>
      </c>
      <c r="V46" s="705" t="s">
        <v>14</v>
      </c>
      <c r="W46" s="706">
        <f t="shared" si="14"/>
        <v>100</v>
      </c>
      <c r="X46" s="3554"/>
      <c r="Y46" s="3811"/>
      <c r="Z46" s="3553">
        <f t="shared" si="15"/>
        <v>111</v>
      </c>
      <c r="AA46" s="3551">
        <f t="shared" si="3"/>
        <v>1</v>
      </c>
      <c r="AB46" s="3551">
        <f t="shared" si="4"/>
        <v>1</v>
      </c>
      <c r="AC46" s="3551">
        <f t="shared" si="5"/>
        <v>1</v>
      </c>
    </row>
    <row r="47" spans="1:29" ht="15">
      <c r="A47" s="430" t="s">
        <v>1708</v>
      </c>
      <c r="B47" s="431"/>
      <c r="C47" s="1154" t="s">
        <v>0</v>
      </c>
      <c r="D47" s="1155"/>
      <c r="E47" s="1156">
        <f>商业案例!I2</f>
        <v>69678</v>
      </c>
      <c r="F47" s="1157"/>
      <c r="G47" s="1158">
        <f>商业案例!I3</f>
        <v>71249</v>
      </c>
      <c r="H47" s="1159"/>
      <c r="I47" s="1156">
        <f>商业案例!I4</f>
        <v>70000</v>
      </c>
      <c r="J47" s="1159"/>
      <c r="K47" s="714"/>
      <c r="L47" s="2721"/>
      <c r="M47" s="2722">
        <f>15*365*0.8/0.05</f>
        <v>87600</v>
      </c>
      <c r="N47" s="2713"/>
      <c r="O47" s="2722"/>
      <c r="P47" s="3798" t="str">
        <f>A47</f>
        <v>成交单价（元/平方米）</v>
      </c>
      <c r="Q47" s="3798"/>
      <c r="R47" s="3812">
        <f>E47</f>
        <v>69678</v>
      </c>
      <c r="S47" s="3812"/>
      <c r="T47" s="3812">
        <f>G47</f>
        <v>71249</v>
      </c>
      <c r="U47" s="3812"/>
      <c r="V47" s="3812">
        <f>I47</f>
        <v>70000</v>
      </c>
      <c r="W47" s="381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1"/>
      <c r="M48" s="2722"/>
      <c r="N48" s="2713"/>
      <c r="O48" s="2722"/>
      <c r="P48" s="3798" t="str">
        <f>A48</f>
        <v>比较价值（元/平方米）</v>
      </c>
      <c r="Q48" s="3798"/>
      <c r="R48" s="3799" t="e">
        <f>IF(F1="售价",ROUND(PRODUCT(R47,AA7:AA46),0),ROUND(PRODUCT(R47,AA7:AA46),1))</f>
        <v>#DIV/0!</v>
      </c>
      <c r="S48" s="3799"/>
      <c r="T48" s="3799" t="e">
        <f>IF(F1="售价",ROUND(PRODUCT(T47,AB7:AB46),0),ROUND(PRODUCT(T47,AB7:AB46),1))</f>
        <v>#DIV/0!</v>
      </c>
      <c r="U48" s="3799"/>
      <c r="V48" s="3799" t="e">
        <f>IF(F1="售价",ROUND(PRODUCT(V47,AC7:AC46),0),ROUND(PRODUCT(V47,AC7:AC46),1))</f>
        <v>#DIV/0!</v>
      </c>
      <c r="W48" s="3799"/>
      <c r="X48" s="690"/>
      <c r="Y48" s="690"/>
      <c r="Z48" s="690"/>
      <c r="AA48" s="690"/>
      <c r="AB48" s="690"/>
      <c r="AC48" s="690"/>
    </row>
    <row r="49" spans="1:29" ht="15.75" thickBot="1">
      <c r="A49" s="441" t="s">
        <v>1710</v>
      </c>
      <c r="B49" s="442"/>
      <c r="C49" s="1163" t="e">
        <f>R49</f>
        <v>#DIV/0!</v>
      </c>
      <c r="D49" s="1163"/>
      <c r="E49" s="1163"/>
      <c r="F49" s="1163"/>
      <c r="G49" s="1163"/>
      <c r="H49" s="1163"/>
      <c r="I49" s="1163"/>
      <c r="J49" s="1163"/>
      <c r="K49" s="715"/>
      <c r="L49" s="2721"/>
      <c r="M49" s="2722"/>
      <c r="N49" s="2713"/>
      <c r="O49" s="2722"/>
      <c r="P49" s="3800" t="str">
        <f>A49</f>
        <v>估价对象XX用房的比较价值（楼面单价，元/平方米）</v>
      </c>
      <c r="Q49" s="3801"/>
      <c r="R49" s="3802" t="e">
        <f>IF(F1="售价",ROUND(IF(D48="简单平均",AVERAGE(R48:V48),R48*F48+T48*H48+V48*J48),0),ROUND(IF(D48="简单平均",AVERAGE(R48:V48),R48*F48+T48*H48+V48*J48),1))</f>
        <v>#DIV/0!</v>
      </c>
      <c r="S49" s="3802"/>
      <c r="T49" s="3802"/>
      <c r="U49" s="3802"/>
      <c r="V49" s="3802"/>
      <c r="W49" s="3802"/>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1713</v>
      </c>
      <c r="D54" s="450"/>
      <c r="E54" s="448">
        <f>IF(E47&lt;G47,G47/E47-1,E47/G47-1)</f>
        <v>2.2546571371164559E-2</v>
      </c>
      <c r="F54" s="449" t="str">
        <f>IF(OR(E54&gt;=0.3,E54&lt;=-0.3),"超过30%","")</f>
        <v/>
      </c>
      <c r="G54" s="448">
        <f>IF(G47&lt;I47,I47/G47-1,G47/I47-1)</f>
        <v>1.7842857142857049E-2</v>
      </c>
      <c r="H54" s="449" t="str">
        <f>IF(OR(G54&gt;=0.3,G54&lt;=-0.3),"超过30%","")</f>
        <v/>
      </c>
      <c r="I54" s="448">
        <f>IF(I47&lt;E47,E47/I47-1,I47/E47-1)</f>
        <v>4.6212577858146808E-3</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1714</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1679</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1718</v>
      </c>
      <c r="D61" s="3532" t="s">
        <v>3537</v>
      </c>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v>105</v>
      </c>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3559" t="s">
        <v>3609</v>
      </c>
      <c r="D65" s="3559" t="s">
        <v>3612</v>
      </c>
      <c r="E65" s="3559" t="s">
        <v>3610</v>
      </c>
      <c r="F65" s="3559" t="s">
        <v>3613</v>
      </c>
      <c r="G65" s="3559"/>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v>100</v>
      </c>
      <c r="D66" s="485">
        <f>C66+5</f>
        <v>105</v>
      </c>
      <c r="E66" s="485">
        <f>D66+5</f>
        <v>110</v>
      </c>
      <c r="F66" s="485">
        <f>E66+5</f>
        <v>115</v>
      </c>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0（含）-1</v>
      </c>
      <c r="D67" s="496" t="str">
        <f t="shared" ref="D67:L67" si="17">D68&amp;"（含）"&amp;"-"&amp;E68</f>
        <v>1（含）-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1</v>
      </c>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95</v>
      </c>
      <c r="E77" s="493">
        <f>D77-$K15</f>
        <v>90</v>
      </c>
      <c r="F77" s="493">
        <f>E77-$K15</f>
        <v>85</v>
      </c>
      <c r="G77" s="493">
        <f>F77-$K15</f>
        <v>80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98</v>
      </c>
      <c r="E81" s="493">
        <f>D81-$K19</f>
        <v>96</v>
      </c>
      <c r="F81" s="493">
        <f>E81-$K19</f>
        <v>94</v>
      </c>
      <c r="G81" s="493">
        <f>F81-$K19</f>
        <v>92</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98</v>
      </c>
      <c r="E83" s="493">
        <f t="shared" ref="E83:G83" si="19">D83-$K21</f>
        <v>96</v>
      </c>
      <c r="F83" s="493">
        <f t="shared" si="19"/>
        <v>94</v>
      </c>
      <c r="G83" s="493">
        <f t="shared" si="19"/>
        <v>92</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98</v>
      </c>
      <c r="E85" s="493">
        <f>D85-$K23</f>
        <v>96</v>
      </c>
      <c r="F85" s="493">
        <f>E85-$K23</f>
        <v>94</v>
      </c>
      <c r="G85" s="493">
        <f>F85-$K23</f>
        <v>92</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3533" t="s">
        <v>3538</v>
      </c>
      <c r="D86" s="3533" t="s">
        <v>3539</v>
      </c>
      <c r="E86" s="3533" t="s">
        <v>3540</v>
      </c>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t="s">
        <v>3541</v>
      </c>
      <c r="D88" s="503" t="s">
        <v>3542</v>
      </c>
      <c r="E88" s="503"/>
      <c r="F88" s="1927"/>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v>100</v>
      </c>
      <c r="D89" s="485">
        <v>95</v>
      </c>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t="s">
        <v>3533</v>
      </c>
      <c r="D90" s="503" t="s">
        <v>3500</v>
      </c>
      <c r="E90" s="503" t="s">
        <v>3532</v>
      </c>
      <c r="F90" s="503" t="s">
        <v>3543</v>
      </c>
      <c r="G90" s="503" t="s">
        <v>3536</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t="s">
        <v>3544</v>
      </c>
      <c r="D92" s="503" t="s">
        <v>3545</v>
      </c>
      <c r="E92" s="3534" t="s">
        <v>3546</v>
      </c>
      <c r="F92" s="3533" t="s">
        <v>3547</v>
      </c>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105</v>
      </c>
      <c r="D93" s="485">
        <v>100</v>
      </c>
      <c r="E93" s="485">
        <v>102</v>
      </c>
      <c r="F93" s="485">
        <v>104</v>
      </c>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3534" t="s">
        <v>3548</v>
      </c>
      <c r="D100" s="3535" t="s">
        <v>3549</v>
      </c>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95</v>
      </c>
      <c r="E101" s="493">
        <f t="shared" si="22"/>
        <v>90</v>
      </c>
      <c r="F101" s="493">
        <f t="shared" si="22"/>
        <v>85</v>
      </c>
      <c r="G101" s="493">
        <f t="shared" si="22"/>
        <v>80</v>
      </c>
      <c r="H101" s="493">
        <f t="shared" si="22"/>
        <v>75</v>
      </c>
      <c r="I101" s="493">
        <f t="shared" si="22"/>
        <v>70</v>
      </c>
      <c r="J101" s="493">
        <f t="shared" si="22"/>
        <v>65</v>
      </c>
      <c r="K101" s="493">
        <f t="shared" si="22"/>
        <v>60</v>
      </c>
      <c r="L101" s="493">
        <f t="shared" si="22"/>
        <v>55</v>
      </c>
      <c r="M101" s="494">
        <f t="shared" si="22"/>
        <v>50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0(含)-30</v>
      </c>
      <c r="D102" s="527" t="str">
        <f t="shared" ref="D102:L102" si="23">D103&amp;"(含)"&amp;"-"&amp;E103</f>
        <v>30(含)-50</v>
      </c>
      <c r="E102" s="527" t="str">
        <f t="shared" si="23"/>
        <v>50(含)-100</v>
      </c>
      <c r="F102" s="527" t="str">
        <f t="shared" si="23"/>
        <v>100(含)-200</v>
      </c>
      <c r="G102" s="527" t="str">
        <f t="shared" si="23"/>
        <v>200(含)-400</v>
      </c>
      <c r="H102" s="527" t="str">
        <f t="shared" si="23"/>
        <v>400(含)-800</v>
      </c>
      <c r="I102" s="527" t="str">
        <f t="shared" si="23"/>
        <v>800(含)-2000</v>
      </c>
      <c r="J102" s="527" t="str">
        <f t="shared" si="23"/>
        <v>2000(含)-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30</v>
      </c>
      <c r="E103" s="544">
        <v>50</v>
      </c>
      <c r="F103" s="544">
        <v>100</v>
      </c>
      <c r="G103" s="544">
        <v>200</v>
      </c>
      <c r="H103" s="544">
        <v>400</v>
      </c>
      <c r="I103" s="544">
        <v>800</v>
      </c>
      <c r="J103" s="545">
        <v>2000</v>
      </c>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f>C104-2</f>
        <v>98</v>
      </c>
      <c r="E104" s="485">
        <f t="shared" ref="E104:I104" si="24">D104-2</f>
        <v>96</v>
      </c>
      <c r="F104" s="485">
        <f t="shared" si="24"/>
        <v>94</v>
      </c>
      <c r="G104" s="485">
        <f t="shared" si="24"/>
        <v>92</v>
      </c>
      <c r="H104" s="485">
        <f t="shared" si="24"/>
        <v>90</v>
      </c>
      <c r="I104" s="485">
        <f t="shared" si="24"/>
        <v>88</v>
      </c>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3533" t="s">
        <v>3550</v>
      </c>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3533" t="s">
        <v>3551</v>
      </c>
      <c r="D107" s="3533" t="s">
        <v>3552</v>
      </c>
      <c r="E107" s="3533" t="s">
        <v>3553</v>
      </c>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3533" t="s">
        <v>3554</v>
      </c>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3533" t="s">
        <v>3555</v>
      </c>
      <c r="D116" s="3533" t="s">
        <v>3556</v>
      </c>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3536" t="s">
        <v>3557</v>
      </c>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3533" t="s">
        <v>3551</v>
      </c>
      <c r="D122" s="3533" t="s">
        <v>3552</v>
      </c>
      <c r="E122" s="3533" t="s">
        <v>3553</v>
      </c>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1">C123-$K42</f>
        <v>97</v>
      </c>
      <c r="E123" s="493">
        <f t="shared" si="31"/>
        <v>94</v>
      </c>
      <c r="F123" s="493">
        <f t="shared" si="31"/>
        <v>91</v>
      </c>
      <c r="G123" s="493">
        <f t="shared" si="31"/>
        <v>88</v>
      </c>
      <c r="H123" s="493">
        <f t="shared" si="31"/>
        <v>85</v>
      </c>
      <c r="I123" s="493">
        <f t="shared" si="31"/>
        <v>82</v>
      </c>
      <c r="J123" s="493">
        <f t="shared" si="31"/>
        <v>79</v>
      </c>
      <c r="K123" s="493">
        <f t="shared" si="31"/>
        <v>76</v>
      </c>
      <c r="L123" s="493">
        <f t="shared" si="31"/>
        <v>73</v>
      </c>
      <c r="M123" s="494">
        <f t="shared" si="31"/>
        <v>70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t="str">
        <f>B44</f>
        <v>建成时间</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disablePrompts="1"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J5"/>
  <sheetViews>
    <sheetView zoomScale="80" zoomScaleNormal="80" workbookViewId="0">
      <selection activeCell="Q11" sqref="Q11"/>
    </sheetView>
  </sheetViews>
  <sheetFormatPr defaultColWidth="8.875" defaultRowHeight="13.5"/>
  <cols>
    <col min="1" max="7" width="8.875" style="3539"/>
    <col min="8" max="8" width="10.5" style="3539" bestFit="1" customWidth="1"/>
    <col min="9" max="16384" width="8.875" style="3539"/>
  </cols>
  <sheetData>
    <row r="1" spans="6:10">
      <c r="G1" s="3539" t="s">
        <v>3563</v>
      </c>
      <c r="H1" s="3539" t="s">
        <v>3564</v>
      </c>
      <c r="I1" s="3539" t="s">
        <v>3565</v>
      </c>
      <c r="J1" s="3539" t="s">
        <v>3566</v>
      </c>
    </row>
    <row r="2" spans="6:10">
      <c r="F2" s="3539" t="s">
        <v>3599</v>
      </c>
      <c r="G2" s="3539">
        <v>265.51</v>
      </c>
      <c r="H2" s="3540">
        <v>45231</v>
      </c>
      <c r="I2" s="3539">
        <v>69678</v>
      </c>
      <c r="J2" s="3539" t="s">
        <v>3567</v>
      </c>
    </row>
    <row r="3" spans="6:10">
      <c r="F3" s="3539" t="s">
        <v>3606</v>
      </c>
      <c r="G3" s="3539">
        <v>119.3</v>
      </c>
      <c r="H3" s="3540">
        <f>H2</f>
        <v>45231</v>
      </c>
      <c r="I3" s="3539">
        <v>71249</v>
      </c>
      <c r="J3" s="3539" t="s">
        <v>3567</v>
      </c>
    </row>
    <row r="4" spans="6:10">
      <c r="F4" s="3539" t="s">
        <v>3600</v>
      </c>
      <c r="G4" s="3539">
        <v>45.87</v>
      </c>
      <c r="H4" s="3541">
        <f>H3</f>
        <v>45231</v>
      </c>
      <c r="I4" s="3539">
        <v>70000</v>
      </c>
      <c r="J4" s="3539" t="s">
        <v>3567</v>
      </c>
    </row>
    <row r="5" spans="6:10">
      <c r="F5"/>
      <c r="G5"/>
      <c r="H5"/>
      <c r="I5"/>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630" t="str">
        <f>IF(项目基本情况!B9="房地产市场价值","估价结果一览表","结果表-2")</f>
        <v>估价结果一览表</v>
      </c>
      <c r="B1" s="3630"/>
      <c r="C1" s="3630"/>
      <c r="D1" s="3630"/>
      <c r="E1" s="3630"/>
      <c r="F1" s="3630"/>
      <c r="G1" s="3630"/>
      <c r="H1" s="3630"/>
      <c r="I1" s="3630"/>
    </row>
    <row r="2" spans="1:9" ht="30" customHeight="1" thickTop="1">
      <c r="A2" s="3631" t="s">
        <v>928</v>
      </c>
      <c r="B2" s="3631" t="s">
        <v>929</v>
      </c>
      <c r="C2" s="3631" t="s">
        <v>930</v>
      </c>
      <c r="D2" s="3631" t="str">
        <f>结果表!D116</f>
        <v>出让国有建设用地使用权价值</v>
      </c>
      <c r="E2" s="3631"/>
      <c r="F2" s="3631" t="str">
        <f>结果表!F116</f>
        <v>在建建筑物价值</v>
      </c>
      <c r="G2" s="3631"/>
      <c r="H2" s="3631" t="str">
        <f>IF(项目基本情况!B9="房地产市场价值","房地产市场价值","房地产价值")</f>
        <v>房地产市场价值</v>
      </c>
      <c r="I2" s="3631"/>
    </row>
    <row r="3" spans="1:9" ht="15">
      <c r="A3" s="3626"/>
      <c r="B3" s="3626"/>
      <c r="C3" s="3626"/>
      <c r="D3" s="854" t="s">
        <v>925</v>
      </c>
      <c r="E3" s="854" t="s">
        <v>931</v>
      </c>
      <c r="F3" s="854" t="s">
        <v>925</v>
      </c>
      <c r="G3" s="854" t="s">
        <v>926</v>
      </c>
      <c r="H3" s="854" t="s">
        <v>925</v>
      </c>
      <c r="I3" s="854" t="s">
        <v>926</v>
      </c>
    </row>
    <row r="4" spans="1:9" ht="30">
      <c r="A4" s="1505" t="str">
        <f>项目基本情况!S2</f>
        <v>北京市石景山区玉泉西里一区2号楼1层107房地产</v>
      </c>
      <c r="B4" s="854">
        <f>项目基本情况!C17</f>
        <v>642</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626" t="s">
        <v>927</v>
      </c>
      <c r="B5" s="3626"/>
      <c r="C5" s="3626"/>
      <c r="D5" s="3626" t="e">
        <f ca="1">结果表!D119</f>
        <v>#REF!</v>
      </c>
      <c r="E5" s="3626"/>
      <c r="F5" s="3626" t="e">
        <f ca="1">结果表!F119</f>
        <v>#REF!</v>
      </c>
      <c r="G5" s="3626"/>
      <c r="H5" s="3626" t="e">
        <f ca="1">结果表!H119</f>
        <v>#REF!</v>
      </c>
      <c r="I5" s="3626"/>
    </row>
    <row r="6" spans="1:9" ht="15.75">
      <c r="A6" s="3625" t="str">
        <f>结果表!A120</f>
        <v/>
      </c>
      <c r="B6" s="3625"/>
      <c r="C6" s="3625"/>
      <c r="D6" s="3625">
        <f>结果表!D120</f>
        <v>0</v>
      </c>
      <c r="E6" s="3625"/>
      <c r="F6" s="3625"/>
      <c r="G6" s="3625"/>
      <c r="H6" s="3625"/>
      <c r="I6" s="3625"/>
    </row>
    <row r="7" spans="1:9" ht="15">
      <c r="A7" s="3626" t="s">
        <v>927</v>
      </c>
      <c r="B7" s="3626"/>
      <c r="C7" s="3626"/>
      <c r="D7" s="3627" t="str">
        <f>结果表!D121</f>
        <v>零元整</v>
      </c>
      <c r="E7" s="3628"/>
      <c r="F7" s="3628"/>
      <c r="G7" s="3628"/>
      <c r="H7" s="3628"/>
      <c r="I7" s="3629"/>
    </row>
    <row r="8" spans="1:9" ht="15.75">
      <c r="A8" s="3625" t="str">
        <f>结果表!A122</f>
        <v/>
      </c>
      <c r="B8" s="3625"/>
      <c r="C8" s="3625"/>
      <c r="D8" s="3625" t="e">
        <f ca="1">结果表!D122</f>
        <v>#REF!</v>
      </c>
      <c r="E8" s="3625"/>
      <c r="F8" s="3625"/>
      <c r="G8" s="3625"/>
      <c r="H8" s="3625"/>
      <c r="I8" s="3625"/>
    </row>
    <row r="9" spans="1:9" ht="15">
      <c r="A9" s="3626" t="s">
        <v>927</v>
      </c>
      <c r="B9" s="3626"/>
      <c r="C9" s="3626"/>
      <c r="D9" s="3626" t="e">
        <f ca="1">结果表!D123</f>
        <v>#REF!</v>
      </c>
      <c r="E9" s="3626"/>
      <c r="F9" s="3626"/>
      <c r="G9" s="3626"/>
      <c r="H9" s="3626"/>
      <c r="I9" s="3626"/>
    </row>
    <row r="10" spans="1:9" ht="15.75">
      <c r="A10" s="3625" t="str">
        <f>结果表!A124</f>
        <v/>
      </c>
      <c r="B10" s="3625"/>
      <c r="C10" s="3625"/>
      <c r="D10" s="3625" t="str">
        <f>结果表!D124</f>
        <v>——</v>
      </c>
      <c r="E10" s="3625"/>
      <c r="F10" s="3625"/>
      <c r="G10" s="3625"/>
      <c r="H10" s="3625"/>
      <c r="I10" s="3625"/>
    </row>
    <row r="11" spans="1:9" ht="15">
      <c r="A11" s="3626" t="s">
        <v>927</v>
      </c>
      <c r="B11" s="3626"/>
      <c r="C11" s="3626"/>
      <c r="D11" s="3626" t="e">
        <f>结果表!D125</f>
        <v>#VALUE!</v>
      </c>
      <c r="E11" s="3626"/>
      <c r="F11" s="3626"/>
      <c r="G11" s="3626"/>
      <c r="H11" s="3626"/>
      <c r="I11" s="3626"/>
    </row>
    <row r="12" spans="1:9" ht="15.75">
      <c r="A12" s="3625" t="str">
        <f>结果表!A126</f>
        <v/>
      </c>
      <c r="B12" s="3625"/>
      <c r="C12" s="3625"/>
      <c r="D12" s="3625" t="str">
        <f>结果表!D126</f>
        <v>——</v>
      </c>
      <c r="E12" s="3625"/>
      <c r="F12" s="3625"/>
      <c r="G12" s="3625"/>
      <c r="H12" s="3625"/>
      <c r="I12" s="3625"/>
    </row>
    <row r="13" spans="1:9" ht="15.75" thickBot="1">
      <c r="A13" s="3623" t="s">
        <v>927</v>
      </c>
      <c r="B13" s="3623"/>
      <c r="C13" s="3623"/>
      <c r="D13" s="3623" t="e">
        <f>结果表!D127</f>
        <v>#VALUE!</v>
      </c>
      <c r="E13" s="3623"/>
      <c r="F13" s="3623"/>
      <c r="G13" s="3623"/>
      <c r="H13" s="3623"/>
      <c r="I13" s="3623"/>
    </row>
    <row r="14" spans="1:9" ht="15" thickTop="1">
      <c r="A14" s="3624" t="s">
        <v>932</v>
      </c>
      <c r="B14" s="3624"/>
      <c r="C14" s="3624"/>
      <c r="D14" s="3624"/>
      <c r="E14" s="3624"/>
      <c r="F14" s="3624"/>
      <c r="G14" s="3624"/>
      <c r="H14" s="3624"/>
      <c r="I14" s="362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638" t="s">
        <v>949</v>
      </c>
      <c r="B1" s="3638"/>
      <c r="C1" s="3638"/>
      <c r="D1" s="3638"/>
    </row>
    <row r="2" spans="1:4" ht="18">
      <c r="A2" s="3639" t="s">
        <v>933</v>
      </c>
      <c r="B2" s="3639"/>
      <c r="C2" s="3639"/>
      <c r="D2" s="3639"/>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639" t="s">
        <v>939</v>
      </c>
      <c r="B6" s="3639"/>
      <c r="C6" s="3639"/>
      <c r="D6" s="363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640" t="s">
        <v>942</v>
      </c>
      <c r="B11" s="3632"/>
      <c r="C11" s="3632"/>
      <c r="D11" s="3632"/>
    </row>
    <row r="12" spans="1:4" ht="15.75">
      <c r="A12" s="36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7"/>
      <c r="C12" s="3637"/>
      <c r="D12" s="3637"/>
    </row>
    <row r="13" spans="1:4" ht="30" customHeight="1">
      <c r="A13" s="3632" t="str">
        <f>IF(项目基本情况!B8="抵押","3.抵押双方在办理抵押登记手续时，应使用本公司出具的正式《房地产评估报告》，特提醒报告使用者注意。","——")</f>
        <v>——</v>
      </c>
      <c r="B13" s="3637"/>
      <c r="C13" s="3637"/>
      <c r="D13" s="3637"/>
    </row>
    <row r="14" spans="1:4" ht="15.75" customHeight="1">
      <c r="A14" s="3632" t="str">
        <f>IF(项目基本情况!B8="抵押","4.本次评估估价师所知悉的法定优先受偿款情况说明如下：","——")</f>
        <v>——</v>
      </c>
      <c r="B14" s="3637"/>
      <c r="C14" s="3637"/>
      <c r="D14" s="3637"/>
    </row>
    <row r="15" spans="1:4" ht="42" customHeight="1">
      <c r="A15" s="3632" t="str">
        <f>IF(项目基本情况!B8="抵押","（1）"&amp;CONCATENATE(项目基本情况!L20,项目基本情况!L21,项目基本情况!L22),"——")</f>
        <v>——</v>
      </c>
      <c r="B15" s="3632"/>
      <c r="C15" s="3632"/>
      <c r="D15" s="3632"/>
    </row>
    <row r="16" spans="1:4" ht="30" customHeight="1">
      <c r="A16" s="3634" t="s">
        <v>943</v>
      </c>
      <c r="B16" s="3634"/>
      <c r="C16" s="3634"/>
      <c r="D16" s="3634"/>
    </row>
    <row r="17" spans="1:4" ht="144" customHeight="1">
      <c r="A17" s="3634" t="s">
        <v>944</v>
      </c>
      <c r="B17" s="3634"/>
      <c r="C17" s="3634"/>
      <c r="D17" s="3634"/>
    </row>
    <row r="18" spans="1:4" ht="15.75" customHeight="1">
      <c r="A18" s="3632" t="str">
        <f>IF(项目基本情况!B8="抵押",结果表!K120,"——")</f>
        <v>——</v>
      </c>
      <c r="B18" s="3632"/>
      <c r="C18" s="3632"/>
      <c r="D18" s="3632"/>
    </row>
    <row r="19" spans="1:4" ht="46.5" customHeight="1">
      <c r="A19" s="36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2"/>
      <c r="C19" s="3632"/>
      <c r="D19" s="3632"/>
    </row>
    <row r="20" spans="1:4" ht="57.75" customHeight="1">
      <c r="A20" s="36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32"/>
      <c r="C20" s="3632"/>
      <c r="D20" s="3632"/>
    </row>
    <row r="21" spans="1:4" ht="57.75" customHeight="1">
      <c r="A21" s="36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35"/>
      <c r="C21" s="3635"/>
      <c r="D21" s="3635"/>
    </row>
    <row r="22" spans="1:4" ht="18.75" customHeight="1">
      <c r="A22" s="3636" t="s">
        <v>945</v>
      </c>
      <c r="B22" s="3636"/>
      <c r="C22" s="3636"/>
      <c r="D22" s="363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633">
        <v>42551</v>
      </c>
      <c r="D31" s="363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646" t="s">
        <v>956</v>
      </c>
      <c r="B15" s="3641" t="s">
        <v>109</v>
      </c>
      <c r="C15" s="3642"/>
    </row>
    <row r="16" spans="1:7" ht="13.5">
      <c r="A16" s="3647"/>
      <c r="B16" s="3641" t="s">
        <v>42</v>
      </c>
      <c r="C16" s="3642"/>
    </row>
    <row r="17" spans="1:3" ht="13.5">
      <c r="A17" s="3647"/>
      <c r="B17" s="3644" t="s">
        <v>957</v>
      </c>
      <c r="C17" s="1532" t="s">
        <v>956</v>
      </c>
    </row>
    <row r="18" spans="1:3" ht="13.5">
      <c r="A18" s="3647"/>
      <c r="B18" s="3644"/>
      <c r="C18" s="1532" t="s">
        <v>958</v>
      </c>
    </row>
    <row r="19" spans="1:3" ht="13.5">
      <c r="A19" s="3647"/>
      <c r="B19" s="3644"/>
      <c r="C19" s="1532" t="s">
        <v>959</v>
      </c>
    </row>
    <row r="20" spans="1:3" ht="13.5">
      <c r="A20" s="3648"/>
      <c r="B20" s="3643" t="s">
        <v>960</v>
      </c>
      <c r="C20" s="3642"/>
    </row>
    <row r="21" spans="1:3" ht="13.5">
      <c r="A21" s="1533" t="s">
        <v>961</v>
      </c>
      <c r="B21" s="1534"/>
      <c r="C21" s="1535"/>
    </row>
    <row r="22" spans="1:3" ht="13.5">
      <c r="A22" s="3645" t="s">
        <v>962</v>
      </c>
      <c r="B22" s="3643" t="s">
        <v>963</v>
      </c>
      <c r="C22" s="3642"/>
    </row>
    <row r="23" spans="1:3" ht="13.5">
      <c r="A23" s="3645"/>
      <c r="B23" s="3643" t="s">
        <v>964</v>
      </c>
      <c r="C23" s="3642"/>
    </row>
    <row r="24" spans="1:3" ht="13.5">
      <c r="A24" s="3645"/>
      <c r="B24" s="3643" t="s">
        <v>965</v>
      </c>
      <c r="C24" s="3642"/>
    </row>
    <row r="25" spans="1:3" ht="13.5">
      <c r="A25" s="3645"/>
      <c r="B25" s="3644" t="s">
        <v>966</v>
      </c>
      <c r="C25" s="1532" t="s">
        <v>967</v>
      </c>
    </row>
    <row r="26" spans="1:3" ht="13.5">
      <c r="A26" s="3645"/>
      <c r="B26" s="3644"/>
      <c r="C26" s="1532" t="s">
        <v>968</v>
      </c>
    </row>
    <row r="27" spans="1:3" ht="13.5">
      <c r="A27" s="3645"/>
      <c r="B27" s="3644"/>
      <c r="C27" s="1532" t="s">
        <v>969</v>
      </c>
    </row>
    <row r="28" spans="1:3" ht="13.5">
      <c r="A28" s="3645"/>
      <c r="B28" s="3644"/>
      <c r="C28" s="1532" t="s">
        <v>970</v>
      </c>
    </row>
    <row r="29" spans="1:3" ht="13.5">
      <c r="A29" s="3645"/>
      <c r="B29" s="3644"/>
      <c r="C29" s="1532" t="s">
        <v>971</v>
      </c>
    </row>
    <row r="30" spans="1:3" ht="13.5">
      <c r="A30" s="3645"/>
      <c r="B30" s="3644"/>
      <c r="C30" s="1532" t="s">
        <v>972</v>
      </c>
    </row>
    <row r="31" spans="1:3" ht="13.5">
      <c r="A31" s="3645"/>
      <c r="B31" s="3644"/>
      <c r="C31" s="1532" t="s">
        <v>973</v>
      </c>
    </row>
    <row r="32" spans="1:3" ht="13.5">
      <c r="A32" s="3645"/>
      <c r="B32" s="3644"/>
      <c r="C32" s="1532" t="s">
        <v>974</v>
      </c>
    </row>
    <row r="33" spans="1:3" ht="13.5">
      <c r="A33" s="3645"/>
      <c r="B33" s="364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45489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2436</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649" t="s">
        <v>2160</v>
      </c>
      <c r="B17" s="3649"/>
      <c r="C17" s="3649"/>
      <c r="D17" s="3649"/>
      <c r="E17" s="3649"/>
      <c r="F17" s="3649"/>
      <c r="G17" s="3649"/>
      <c r="H17" s="3649"/>
    </row>
    <row r="18" spans="1:8" ht="24" customHeight="1">
      <c r="A18" s="3650" t="s">
        <v>2161</v>
      </c>
      <c r="B18" s="3650"/>
      <c r="C18" s="3650"/>
      <c r="D18" s="2343"/>
      <c r="E18" s="3651" t="s">
        <v>2162</v>
      </c>
      <c r="F18" s="3650"/>
      <c r="G18" s="365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169</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租金表</vt:lpstr>
      <vt:lpstr>收益法倒推-商业</vt:lpstr>
      <vt:lpstr>修正</vt:lpstr>
      <vt:lpstr>容积率修正</vt:lpstr>
      <vt:lpstr>成本法（废）</vt:lpstr>
      <vt:lpstr>区片价</vt:lpstr>
      <vt:lpstr>因素修正幅度</vt:lpstr>
      <vt:lpstr>区片价（范围）</vt:lpstr>
      <vt:lpstr>地价-分区</vt:lpstr>
      <vt:lpstr>地价</vt:lpstr>
      <vt:lpstr>存贷款利率</vt:lpstr>
      <vt:lpstr>成本法 (元)</vt:lpstr>
      <vt:lpstr>基准地价修正</vt:lpstr>
      <vt:lpstr>比较法-商业售价</vt:lpstr>
      <vt:lpstr>商业案例</vt:lpstr>
      <vt:lpstr>'比较法-办公'!Print_Area</vt:lpstr>
      <vt:lpstr>'比较法-仓储'!Print_Area</vt:lpstr>
      <vt:lpstr>'比较法-车位'!Print_Area</vt:lpstr>
      <vt:lpstr>'比较法-工业'!Print_Area</vt:lpstr>
      <vt:lpstr>'比较法-商业'!Print_Area</vt:lpstr>
      <vt:lpstr>'比较法-商业售价'!Print_Area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2024-07-16T01:40:15Z</dcterms:modified>
</cp:coreProperties>
</file>