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90" windowWidth="15720" windowHeight="1246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表" sheetId="84" r:id="rId35"/>
    <sheet name="收益法倒推-商业" sheetId="8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state="hidden" r:id="rId48"/>
    <sheet name="商业案例" sheetId="83" state="hidden" r:id="rId49"/>
  </sheets>
  <externalReferences>
    <externalReference r:id="rId50"/>
    <externalReference r:id="rId51"/>
    <externalReference r:id="rId52"/>
    <externalReference r:id="rId53"/>
    <externalReference r:id="rId5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7"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7">'比较法-商业售价'!$A$1:$K$54,'比较法-商业售价'!$A$57:$M$131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'[1]租金比较法-商业'!$B$119:$M$119</definedName>
    <definedName name="办公层高" localSheetId="35">'[2]比较法-办公'!$B$119:$M$119</definedName>
    <definedName name="办公层高">'比较法-办公'!$B$119:$M$119</definedName>
    <definedName name="办公朝向" localSheetId="48">'[1]租金比较法-商业'!$B$91:$M$91</definedName>
    <definedName name="办公朝向" localSheetId="35">'[2]比较法-办公'!$B$91:$M$91</definedName>
    <definedName name="办公朝向">'比较法-办公'!$B$91:$M$91</definedName>
    <definedName name="办公道路级别" localSheetId="48">'[1]租金比较法-商业'!$B$87:$M$87</definedName>
    <definedName name="办公道路级别" localSheetId="35">'[2]比较法-办公'!$B$87:$M$87</definedName>
    <definedName name="办公道路级别">'比较法-办公'!$B$87:$M$87</definedName>
    <definedName name="办公公共部分装修" localSheetId="48">'[1]租金比较法-商业'!$B$108:$M$108</definedName>
    <definedName name="办公公共部分装修" localSheetId="35">'[2]比较法-办公'!$B$108:$M$108</definedName>
    <definedName name="办公公共部分装修">'比较法-办公'!$B$108:$M$108</definedName>
    <definedName name="办公基础设施水平" localSheetId="48">'[1]租金比较法-商业'!$B$117:$M$117</definedName>
    <definedName name="办公基础设施水平" localSheetId="35">'[2]比较法-办公'!$B$117:$M$117</definedName>
    <definedName name="办公基础设施水平">'比较法-办公'!$B$117:$M$117</definedName>
    <definedName name="办公集聚程度" localSheetId="48">[1]定义!$M$1:$M$6</definedName>
    <definedName name="办公集聚程度" localSheetId="35">[2]定义!$M$1:$M$6</definedName>
    <definedName name="办公集聚程度">定义!$M$1:$M$6</definedName>
    <definedName name="办公建筑结构" localSheetId="48">'[1]租金比较法-商业'!$B$106:$M$106</definedName>
    <definedName name="办公建筑结构" localSheetId="35">'[2]比较法-办公'!$B$106:$M$106</definedName>
    <definedName name="办公建筑结构">'比较法-办公'!$B$106:$M$106</definedName>
    <definedName name="办公建筑类型" localSheetId="48">'[1]租金比较法-商业'!$B$101:$M$101</definedName>
    <definedName name="办公建筑类型" localSheetId="35">'[2]比较法-办公'!$B$101:$M$101</definedName>
    <definedName name="办公建筑类型">'比较法-办公'!$B$101:$M$101</definedName>
    <definedName name="办公交易情况" localSheetId="48">'[1]租金比较法-商业'!$A$62:$M$62</definedName>
    <definedName name="办公交易情况" localSheetId="35">'[2]比较法-办公'!$A$62:$M$62</definedName>
    <definedName name="办公交易情况">'比较法-办公'!$A$62:$M$62</definedName>
    <definedName name="办公楼层" localSheetId="48">'[1]租金比较法-商业'!$B$89:$M$89</definedName>
    <definedName name="办公楼层" localSheetId="35">'[2]比较法-办公'!$B$89:$M$89</definedName>
    <definedName name="办公楼层">'比较法-办公'!$B$89:$M$89</definedName>
    <definedName name="办公内部装修" localSheetId="48">'[1]租金比较法-商业'!$B$123:$M$123</definedName>
    <definedName name="办公内部装修" localSheetId="35">'[2]比较法-办公'!$B$123:$M$123</definedName>
    <definedName name="办公内部装修">'比较法-办公'!$B$123:$M$123</definedName>
    <definedName name="办公物业管理" localSheetId="48">'[1]租金比较法-商业'!$B$115:$M$115</definedName>
    <definedName name="办公物业管理" localSheetId="35">'[2]比较法-办公'!$B$115:$M$115</definedName>
    <definedName name="办公物业管理">'比较法-办公'!$B$115:$M$115</definedName>
    <definedName name="办公用途" localSheetId="48">'[1]租金比较法-商业'!$B$64:$M$64</definedName>
    <definedName name="办公用途" localSheetId="35">'[2]比较法-办公'!$B$64:$M$64</definedName>
    <definedName name="办公用途">'比较法-办公'!$B$64:$M$64</definedName>
    <definedName name="仓储公共部分装修" localSheetId="48">'[1]比较法-仓储'!$B$77:$M$77</definedName>
    <definedName name="仓储公共部分装修" localSheetId="35">'[2]比较法-仓储'!$B$77:$M$77</definedName>
    <definedName name="仓储公共部分装修">'比较法-仓储'!$B$77:$M$77</definedName>
    <definedName name="仓储交易情况" localSheetId="48">'[1]比较法-仓储'!$A$49:$M$49</definedName>
    <definedName name="仓储交易情况" localSheetId="35">'[2]比较法-仓储'!$A$49:$M$49</definedName>
    <definedName name="仓储交易情况">'比较法-仓储'!$A$49:$M$49</definedName>
    <definedName name="仓储楼层" localSheetId="48">'[1]比较法-仓储'!$B$69:$M$69</definedName>
    <definedName name="仓储楼层" localSheetId="35">'[2]比较法-仓储'!$B$69:$M$69</definedName>
    <definedName name="仓储楼层">'比较法-仓储'!$B$69:$M$69</definedName>
    <definedName name="仓储物业等级" localSheetId="48">'[1]比较法-仓储'!$B$82:$M$82</definedName>
    <definedName name="仓储物业等级" localSheetId="35">'[2]比较法-仓储'!$B$82:$M$82</definedName>
    <definedName name="仓储物业等级">'比较法-仓储'!$B$82:$M$82</definedName>
    <definedName name="仓储用途" localSheetId="48">'[1]比较法-仓储'!$B$51:$M$51</definedName>
    <definedName name="仓储用途" localSheetId="35">'[2]比较法-仓储'!$B$51:$M$51</definedName>
    <definedName name="仓储用途">'比较法-仓储'!$B$51:$M$51</definedName>
    <definedName name="产业集聚程度" localSheetId="48">[1]定义!$N$1:$N$6</definedName>
    <definedName name="产业集聚程度" localSheetId="35">[2]定义!$N$1:$N$6</definedName>
    <definedName name="产业集聚程度">定义!$N$1:$N$6</definedName>
    <definedName name="车位公共部分装修" localSheetId="48">'[1]比较法-车位'!$B$83:$M$83</definedName>
    <definedName name="车位公共部分装修" localSheetId="35">'[2]比较法-车位'!$B$83:$M$83</definedName>
    <definedName name="车位公共部分装修">'比较法-车位'!$B$83:$M$83</definedName>
    <definedName name="车位交易情况" localSheetId="48">'[1]比较法-车位'!$A$51:$M$51</definedName>
    <definedName name="车位交易情况" localSheetId="35">'[2]比较法-车位'!$A$51:$M$51</definedName>
    <definedName name="车位交易情况">'比较法-车位'!$A$51:$M$51</definedName>
    <definedName name="车位类型" localSheetId="48">'[1]比较法-车位'!$B$93:$M$93</definedName>
    <definedName name="车位类型" localSheetId="35">'[2]比较法-车位'!$B$93:$M$93</definedName>
    <definedName name="车位类型">'比较法-车位'!$B$93:$M$93</definedName>
    <definedName name="车位楼层" localSheetId="48">'[1]比较法-车位'!$B$71:$M$71</definedName>
    <definedName name="车位楼层" localSheetId="35">'[2]比较法-车位'!$B$71:$M$71</definedName>
    <definedName name="车位楼层">'比较法-车位'!$B$71:$M$71</definedName>
    <definedName name="车位配套类型" localSheetId="48">'[1]比较法-车位'!$B$79:$M$79</definedName>
    <definedName name="车位配套类型" localSheetId="35">'[2]比较法-车位'!$B$79:$M$79</definedName>
    <definedName name="车位配套类型">'比较法-车位'!$B$79:$M$79</definedName>
    <definedName name="车位物业等级" localSheetId="48">'[1]比较法-车位'!$B$88:$M$88</definedName>
    <definedName name="车位物业等级" localSheetId="35">'[2]比较法-车位'!$B$88:$M$88</definedName>
    <definedName name="车位物业等级">'比较法-车位'!$B$88:$M$88</definedName>
    <definedName name="车位用途" localSheetId="48">'[1]比较法-车位'!$B$53:$M$53</definedName>
    <definedName name="车位用途" localSheetId="35">'[2]比较法-车位'!$B$53:$M$53</definedName>
    <definedName name="车位用途">'比较法-车位'!$B$53:$M$53</definedName>
    <definedName name="城镇土地纳税等级分级范围" localSheetId="48">'[1]数据-取费表'!$A$53:$A$63</definedName>
    <definedName name="城镇土地纳税等级分级范围" localSheetId="35">'[2]数据-取费表'!$A$53:$A$63</definedName>
    <definedName name="城镇土地纳税等级分级范围">'数据-取费表'!$A$53:$A$63</definedName>
    <definedName name="单价内涵" localSheetId="48">[1]定义!$V$1:$V$3</definedName>
    <definedName name="单价内涵" localSheetId="35">[2]定义!$V$1:$V$3</definedName>
    <definedName name="单价内涵">定义!$V$1:$V$3</definedName>
    <definedName name="地类判定" localSheetId="48">[1]定义!$H$1:$H$9</definedName>
    <definedName name="地类判定" localSheetId="35">[2]定义!$H$1:$H$9</definedName>
    <definedName name="地类判定">定义!$H$1:$H$9</definedName>
    <definedName name="二级">区片价!$J$1:$J$21</definedName>
    <definedName name="二级分类" localSheetId="48">[1]修正!$C$17:$C$39</definedName>
    <definedName name="二级分类" localSheetId="35">[2]修正!$C$17:$C$39</definedName>
    <definedName name="二级分类">修正!$C$19:$C$51</definedName>
    <definedName name="法定最高年限" localSheetId="48">[1]定义!$G$1:$G$4</definedName>
    <definedName name="法定最高年限" localSheetId="35">[2]定义!$G$1:$G$4</definedName>
    <definedName name="法定最高年限">定义!$G$1:$G$6</definedName>
    <definedName name="工业公共部分装修" localSheetId="48">'[1]比较法-工业'!$B$95:$M$95</definedName>
    <definedName name="工业公共部分装修" localSheetId="35">'[2]比较法-工业'!$B$95:$M$95</definedName>
    <definedName name="工业公共部分装修">'比较法-工业'!$B$95:$M$95</definedName>
    <definedName name="工业基础设施水平" localSheetId="48">'[1]比较法-工业'!$B$102:$M$102</definedName>
    <definedName name="工业基础设施水平" localSheetId="35">'[2]比较法-工业'!$B$102:$M$102</definedName>
    <definedName name="工业基础设施水平">'比较法-工业'!$B$102:$M$102</definedName>
    <definedName name="工业建筑结构" localSheetId="48">'[1]比较法-工业'!$B$93:$M$93</definedName>
    <definedName name="工业建筑结构" localSheetId="35">'[2]比较法-工业'!$B$93:$M$93</definedName>
    <definedName name="工业建筑结构">'比较法-工业'!$B$93:$M$93</definedName>
    <definedName name="工业建筑类型" localSheetId="48">'[1]比较法-工业'!$B$88:$M$88</definedName>
    <definedName name="工业建筑类型" localSheetId="35">'[2]比较法-工业'!$B$88:$M$88</definedName>
    <definedName name="工业建筑类型">'比较法-工业'!$B$88:$M$88</definedName>
    <definedName name="工业交易情况" localSheetId="48">'[1]比较法-工业'!$A$55:$M$55</definedName>
    <definedName name="工业交易情况" localSheetId="35">'[2]比较法-工业'!$A$55:$M$55</definedName>
    <definedName name="工业交易情况">'比较法-工业'!$A$55:$M$55</definedName>
    <definedName name="工业内部装修" localSheetId="48">'[1]比较法-工业'!$B$104:$M$104</definedName>
    <definedName name="工业内部装修" localSheetId="35">'[2]比较法-工业'!$B$104:$M$104</definedName>
    <definedName name="工业内部装修">'比较法-工业'!$B$104:$M$104</definedName>
    <definedName name="工业物业管理" localSheetId="48">'[1]比较法-工业'!$B$100:$M$100</definedName>
    <definedName name="工业物业管理" localSheetId="35">'[2]比较法-工业'!$B$100:$M$100</definedName>
    <definedName name="工业物业管理">'比较法-工业'!$B$100:$M$100</definedName>
    <definedName name="工业用途" localSheetId="48">'[1]比较法-工业'!$B$57:$M$57</definedName>
    <definedName name="工业用途" localSheetId="35">'[2]比较法-工业'!$B$57:$M$57</definedName>
    <definedName name="工业用途">'比较法-工业'!$B$57:$M$57</definedName>
    <definedName name="公共配套设施" localSheetId="48">[1]定义!$Q$1:$Q$6</definedName>
    <definedName name="公共配套设施" localSheetId="35">[2]定义!$Q$1:$Q$6</definedName>
    <definedName name="公共配套设施">定义!$Q$1:$Q$6</definedName>
    <definedName name="估价范围判定">定义!$D$1:$D$4</definedName>
    <definedName name="估价方法" localSheetId="48">[1]定义!$B$1:$B$50</definedName>
    <definedName name="估价方法" localSheetId="35">[2]定义!$B$1:$B$50</definedName>
    <definedName name="估价方法">定义!$B$1:$B$50</definedName>
    <definedName name="环境" localSheetId="48">[1]定义!$S$1:$S$6</definedName>
    <definedName name="环境" localSheetId="35">[2]定义!$S$1:$S$6</definedName>
    <definedName name="环境">定义!$S$1:$S$6</definedName>
    <definedName name="基础设施水平" localSheetId="48">[1]定义!$R$1:$R$6</definedName>
    <definedName name="基础设施水平" localSheetId="35">[2]定义!$R$1:$R$6</definedName>
    <definedName name="基础设施水平">定义!$R$1:$R$6</definedName>
    <definedName name="季度">基准地价修正!$Q$19:$AD$19</definedName>
    <definedName name="价值类型2" localSheetId="48">[1]定义!$B$54:$B$56</definedName>
    <definedName name="价值类型2" localSheetId="35">[2]定义!$B$54:$B$56</definedName>
    <definedName name="价值类型2">定义!$B$54:$B$56</definedName>
    <definedName name="交通便捷度" localSheetId="48">[1]定义!$O$1:$O$6</definedName>
    <definedName name="交通便捷度" localSheetId="35">[2]定义!$O$1:$O$6</definedName>
    <definedName name="交通便捷度">定义!$O$1:$O$6</definedName>
    <definedName name="九级">区片价!$Q$1:$Q$51</definedName>
    <definedName name="居住社区成熟度" localSheetId="48">[1]定义!$K$1:$K$6</definedName>
    <definedName name="居住社区成熟度" localSheetId="35">[2]定义!$K$1:$K$6</definedName>
    <definedName name="居住社区成熟度">定义!$K$1:$K$6</definedName>
    <definedName name="类别" localSheetId="48">[1]定义!$J$1:$J$3</definedName>
    <definedName name="类别" localSheetId="35">[2]定义!$J$1:$J$3</definedName>
    <definedName name="类别">定义!$J$1:$J$3</definedName>
    <definedName name="临街状况" localSheetId="48">[1]定义!$T$1:$T$5</definedName>
    <definedName name="临街状况" localSheetId="35">[2]定义!$T$1:$T$5</definedName>
    <definedName name="临街状况">定义!$T$1:$T$5</definedName>
    <definedName name="六级">区片价!$N$1:$N$64</definedName>
    <definedName name="内部装修维护情况" localSheetId="48">[1]定义!$U$1:$U$6</definedName>
    <definedName name="内部装修维护情况" localSheetId="35">[2]定义!$U$1:$U$6</definedName>
    <definedName name="内部装修维护情况">定义!$U$1:$U$6</definedName>
    <definedName name="判定" localSheetId="48">[1]定义!$D$1:$D$4</definedName>
    <definedName name="判定" localSheetId="35">[2]定义!$D$1:$D$4</definedName>
    <definedName name="判定">定义!$D$1:$D$4</definedName>
    <definedName name="评估方法">[3]定义!$B$1:$B$50</definedName>
    <definedName name="七级">区片价!$O$1:$O$45</definedName>
    <definedName name="七通一平" localSheetId="48">[1]修正!$A$6:$A$14</definedName>
    <definedName name="七通一平" localSheetId="35">[2]修正!$A$6:$A$14</definedName>
    <definedName name="七通一平">修正!$A$8:$A$16</definedName>
    <definedName name="区域土地利用方向" localSheetId="48">[1]定义!$P$1:$P$6</definedName>
    <definedName name="区域土地利用方向" localSheetId="35">[2]定义!$P$1:$P$6</definedName>
    <definedName name="区域土地利用方向">定义!$P$1:$P$6</definedName>
    <definedName name="三级">区片价!$K$1:$K$26</definedName>
    <definedName name="商业层高" localSheetId="47">'比较法-商业售价'!$B$116:$M$116</definedName>
    <definedName name="商业层高" localSheetId="48">'[1]比较法-商业-售价'!$B$116:$M$116</definedName>
    <definedName name="商业层高" localSheetId="35">'[2]比较法-商业'!$B$116:$M$116</definedName>
    <definedName name="商业层高">'比较法-商业'!$B$116:$M$116</definedName>
    <definedName name="商业成新度" localSheetId="47">'比较法-商业售价'!$B$109:$M$109</definedName>
    <definedName name="商业成新度">'比较法-商业'!$B$109:$M$109</definedName>
    <definedName name="商业繁华度" localSheetId="48">[1]定义!$L$1:$L$6</definedName>
    <definedName name="商业繁华度" localSheetId="35">[2]定义!$L$1:$L$6</definedName>
    <definedName name="商业繁华度">定义!$L$1:$L$6</definedName>
    <definedName name="商业公共部分装修" localSheetId="47">'比较法-商业售价'!$B$107:$M$107</definedName>
    <definedName name="商业公共部分装修" localSheetId="48">'[1]比较法-商业-售价'!$B$107:$M$107</definedName>
    <definedName name="商业公共部分装修" localSheetId="35">'[2]比较法-商业'!$B$107:$M$107</definedName>
    <definedName name="商业公共部分装修">'比较法-商业'!$B$107:$M$107</definedName>
    <definedName name="商业基础设施水平" localSheetId="47">'比较法-商业售价'!$B$112:$M$112</definedName>
    <definedName name="商业基础设施水平" localSheetId="48">'[1]比较法-商业-售价'!$B$112:$M$112</definedName>
    <definedName name="商业基础设施水平" localSheetId="35">'[2]比较法-商业'!$B$112:$M$112</definedName>
    <definedName name="商业基础设施水平">'比较法-商业'!$B$112:$M$112</definedName>
    <definedName name="商业建筑结构" localSheetId="47">'比较法-商业售价'!$B$105:$M$105</definedName>
    <definedName name="商业建筑结构" localSheetId="48">'[1]比较法-商业-售价'!$B$105:$M$105</definedName>
    <definedName name="商业建筑结构" localSheetId="35">'[2]比较法-商业'!$B$105:$M$105</definedName>
    <definedName name="商业建筑结构">'比较法-商业'!$B$105:$M$105</definedName>
    <definedName name="商业交易情况" localSheetId="47">'比较法-商业售价'!$A$61:$M$61</definedName>
    <definedName name="商业交易情况" localSheetId="48">'[1]比较法-商业-售价'!$A$61:$M$61</definedName>
    <definedName name="商业交易情况" localSheetId="35">'[2]比较法-商业'!$A$61:$M$61</definedName>
    <definedName name="商业交易情况">'比较法-商业'!$A$61:$M$61</definedName>
    <definedName name="商业街名称" localSheetId="48">[1]修正!$C$59:$C$119</definedName>
    <definedName name="商业街名称" localSheetId="35">[2]修正!$C$59:$C$119</definedName>
    <definedName name="商业街名称">修正!$C$71:$C$138</definedName>
    <definedName name="商业进深比" localSheetId="47">'比较法-商业售价'!$B$120:$M$120</definedName>
    <definedName name="商业进深比" localSheetId="48">'[1]比较法-商业-售价'!$B$120:$M$120</definedName>
    <definedName name="商业进深比" localSheetId="35">'[2]比较法-商业'!$B$120:$M$120</definedName>
    <definedName name="商业进深比">'比较法-商业'!$B$120:$M$120</definedName>
    <definedName name="商业类型" localSheetId="47">'比较法-商业售价'!$B$100:$M$100</definedName>
    <definedName name="商业类型" localSheetId="48">'[1]比较法-商业-售价'!$B$100:$M$100</definedName>
    <definedName name="商业类型" localSheetId="35">'[2]比较法-商业'!$B$100:$M$100</definedName>
    <definedName name="商业类型">'比较法-商业'!$B$100:$M$100</definedName>
    <definedName name="商业临街状况" localSheetId="47">'比较法-商业售价'!$B$86:$M$86</definedName>
    <definedName name="商业临街状况" localSheetId="48">'[1]比较法-商业-售价'!$B$86:$M$86</definedName>
    <definedName name="商业临街状况" localSheetId="35">'[2]比较法-商业'!$B$86:$M$86</definedName>
    <definedName name="商业临街状况">'比较法-商业'!$B$86:$M$86</definedName>
    <definedName name="商业楼层" localSheetId="47">'比较法-商业售价'!$B$92:$M$92</definedName>
    <definedName name="商业楼层" localSheetId="48">'[1]比较法-商业-售价'!$B$92:$M$92</definedName>
    <definedName name="商业楼层" localSheetId="35">'[2]比较法-商业'!$B$92:$M$92</definedName>
    <definedName name="商业楼层">'比较法-商业'!$B$92:$M$92</definedName>
    <definedName name="商业内部装修" localSheetId="47">'比较法-商业售价'!$B$122:$M$122</definedName>
    <definedName name="商业内部装修" localSheetId="48">'[1]比较法-商业-售价'!$B$122:$M$122</definedName>
    <definedName name="商业内部装修" localSheetId="35">'[2]比较法-商业'!$B$122:$M$122</definedName>
    <definedName name="商业内部装修">'比较法-商业'!$B$122:$M$122</definedName>
    <definedName name="商业人流量" localSheetId="47">'比较法-商业售价'!$B$90:$M$90</definedName>
    <definedName name="商业人流量" localSheetId="48">'[1]比较法-商业-售价'!$B$90:$M$90</definedName>
    <definedName name="商业人流量" localSheetId="35">'[2]比较法-商业'!$B$90:$M$90</definedName>
    <definedName name="商业人流量">'比较法-商业'!$B$90:$M$90</definedName>
    <definedName name="商业业态" localSheetId="47">'比较法-商业售价'!$B$114:$M$114</definedName>
    <definedName name="商业业态" localSheetId="48">'[1]比较法-商业-售价'!$B$114:$M$114</definedName>
    <definedName name="商业业态" localSheetId="35">'[2]比较法-商业'!$B$114:$M$114</definedName>
    <definedName name="商业业态">'比较法-商业'!$B$114:$M$114</definedName>
    <definedName name="商业用途" localSheetId="47">'比较法-商业售价'!$B$63:$M$63</definedName>
    <definedName name="商业用途" localSheetId="48">'[1]比较法-商业-售价'!$B$63:$M$63</definedName>
    <definedName name="商业用途" localSheetId="3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35">'[2]比较法-仓储'!$B$89:$M$89</definedName>
    <definedName name="是否封闭">'比较法-仓储'!$B$89:$M$89</definedName>
    <definedName name="是否直接入户" localSheetId="48">'[1]比较法-车位'!$B$95:$M$95</definedName>
    <definedName name="是否直接入户" localSheetId="35">'[2]比较法-车位'!$B$95:$M$95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35">'[2]土地比较法-工业'!$B$97:$M$97</definedName>
    <definedName name="套工道路等级">'土地比较法-工业'!$B$97:$M$97</definedName>
    <definedName name="套工地质条件" localSheetId="48">'[1]土地比较法-工业'!$B$114:$M$114</definedName>
    <definedName name="套工地质条件" localSheetId="35">'[2]土地比较法-工业'!$B$114:$M$114</definedName>
    <definedName name="套工地质条件">'土地比较法-工业'!$B$114:$M$114</definedName>
    <definedName name="套工交易情况" localSheetId="48">'[1]土地比较法-住宅、综合'!$A$73:$M$73</definedName>
    <definedName name="套工交易情况" localSheetId="35">'[2]土地比较法-住宅、综合'!$A$73:$M$73</definedName>
    <definedName name="套工交易情况">'土地比较法-住宅、综合'!$A$72:$M$72</definedName>
    <definedName name="套工土地级别" localSheetId="48">'[1]土地比较法-工业'!$B$99:$M$99</definedName>
    <definedName name="套工土地级别" localSheetId="35">'[2]土地比较法-工业'!$B$99:$M$99</definedName>
    <definedName name="套工土地级别">'土地比较法-工业'!$B$99:$M$99</definedName>
    <definedName name="套工用途" localSheetId="48">'[1]土地比较法-工业'!$B$70:$M$70</definedName>
    <definedName name="套工用途" localSheetId="35">'[2]土地比较法-工业'!$B$70:$M$70</definedName>
    <definedName name="套工用途">'土地比较法-工业'!$B$70:$M$70</definedName>
    <definedName name="套工宗地开发程度" localSheetId="48">'[1]土地比较法-工业'!$B$112:$M$112</definedName>
    <definedName name="套工宗地开发程度" localSheetId="35">'[2]土地比较法-工业'!$B$112:$M$112</definedName>
    <definedName name="套工宗地开发程度">'土地比较法-工业'!$B$112:$M$112</definedName>
    <definedName name="套工宗地形状" localSheetId="48">'[1]土地比较法-工业'!$B$110:$M$110</definedName>
    <definedName name="套工宗地形状" localSheetId="35">'[2]土地比较法-工业'!$B$110:$M$110</definedName>
    <definedName name="套工宗地形状">'土地比较法-工业'!$B$110:$M$110</definedName>
    <definedName name="套综道路等级" localSheetId="48">'[1]土地比较法-住宅、综合'!$B$106:$M$106</definedName>
    <definedName name="套综道路等级" localSheetId="35">'[2]土地比较法-住宅、综合'!$B$106:$M$106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48">'[1]土地比较法-住宅、综合'!$A$73:$M$73</definedName>
    <definedName name="套综交易情况" localSheetId="35">'[2]土地比较法-住宅、综合'!$A$73:$M$73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35">'[2]土地比较法-住宅、综合'!$B$108:$M$108</definedName>
    <definedName name="套综土地级别">'土地比较法-住宅、综合'!$B$107:$M$107</definedName>
    <definedName name="套综用途" localSheetId="48">'[1]土地比较法-住宅、综合'!$B$75:$M$75</definedName>
    <definedName name="套综用途" localSheetId="35">'[2]土地比较法-住宅、综合'!$B$75:$M$75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35">'[2]土地比较法-住宅、综合'!$B$119:$M$119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35">[2]定义!$C$1:$C$14</definedName>
    <definedName name="土地级别">定义!$C$1:$C$14</definedName>
    <definedName name="土地利用方向">定义!$P$1:$P$6</definedName>
    <definedName name="土地年限区间" localSheetId="48">[1]定义!$I$1:$I$8</definedName>
    <definedName name="土地年限区间" localSheetId="35">[2]定义!$I$1:$I$8</definedName>
    <definedName name="土地年限区间">定义!$I$1:$I$16</definedName>
    <definedName name="位置" localSheetId="48">[1]定义!$E$2:$E$4</definedName>
    <definedName name="位置" localSheetId="35">[2]定义!$E$2:$E$4</definedName>
    <definedName name="位置">定义!$E$2:$E$4</definedName>
    <definedName name="五等判定" localSheetId="48">[1]定义!$W$1:$W$6</definedName>
    <definedName name="五等判定" localSheetId="35">[2]定义!$W$1:$W$6</definedName>
    <definedName name="五等判定">定义!$W$1:$W$6</definedName>
    <definedName name="五级">区片价!$M$1:$M$41</definedName>
    <definedName name="项目类型" localSheetId="48">'[1]数据-汇总表'!$C$17:$C$26</definedName>
    <definedName name="项目类型" localSheetId="35">'[2]数据-汇总表'!$C$17:$C$26</definedName>
    <definedName name="项目类型" localSheetId="23">'[4]数据-汇总表'!$C$17:$C$26</definedName>
    <definedName name="项目类型">'数据-汇总表'!$C$17:$C$26</definedName>
    <definedName name="写字楼等级" localSheetId="48">'[1]租金比较法-商业'!$B$113:$M$113</definedName>
    <definedName name="写字楼等级" localSheetId="35">'[2]比较法-办公'!$B$113:$M$113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35">[2]典型户型修正!$5:$5</definedName>
    <definedName name="一修多修正项2">典型户型修正!$5:$5</definedName>
    <definedName name="一修多修正项3" localSheetId="48">[1]典型户型修正!$7:$7</definedName>
    <definedName name="一修多修正项3" localSheetId="35">[2]典型户型修正!$7:$7</definedName>
    <definedName name="一修多修正项3">典型户型修正!$7:$7</definedName>
    <definedName name="一修多修正项4" localSheetId="48">[1]典型户型修正!$9:$9</definedName>
    <definedName name="一修多修正项4" localSheetId="35">[2]典型户型修正!$9:$9</definedName>
    <definedName name="一修多修正项4">典型户型修正!$9:$9</definedName>
    <definedName name="一修多修正项5" localSheetId="48">[1]典型户型修正!$11:$11</definedName>
    <definedName name="一修多修正项5" localSheetId="35">[2]典型户型修正!$11:$11</definedName>
    <definedName name="一修多修正项5">典型户型修正!$11:$11</definedName>
    <definedName name="一修多修正项6" localSheetId="48">[1]典型户型修正!$13:$13</definedName>
    <definedName name="一修多修正项6" localSheetId="35">[2]典型户型修正!$13:$13</definedName>
    <definedName name="一修多修正项6">典型户型修正!$13:$13</definedName>
    <definedName name="一修多修正项7" localSheetId="48">[1]典型户型修正!$15:$15</definedName>
    <definedName name="一修多修正项7" localSheetId="35">[2]典型户型修正!$15:$15</definedName>
    <definedName name="一修多修正项7">典型户型修正!$15:$15</definedName>
    <definedName name="一修多修正项8" localSheetId="48">[1]典型户型修正!$17:$17</definedName>
    <definedName name="一修多修正项8" localSheetId="35">[2]典型户型修正!$17:$17</definedName>
    <definedName name="一修多修正项8">典型户型修正!$17:$17</definedName>
    <definedName name="用途明细" localSheetId="48">[1]定义!$A$1:$A$50</definedName>
    <definedName name="用途明细" localSheetId="35">[2]定义!$A$1:$A$50</definedName>
    <definedName name="用途明细">定义!$A$1:$A$50</definedName>
    <definedName name="有无电梯" localSheetId="48">'[1]比较法-仓储'!$B$84:$M$84</definedName>
    <definedName name="有无电梯" localSheetId="35">'[2]比较法-仓储'!$B$84:$M$84</definedName>
    <definedName name="有无电梯">'比较法-仓储'!$B$84:$M$84</definedName>
    <definedName name="主用途" localSheetId="48">[1]定义!$F$1:$F$10</definedName>
    <definedName name="主用途" localSheetId="35">[2]定义!$F$1:$F$10</definedName>
    <definedName name="主用途">定义!$F$1:$F$12</definedName>
    <definedName name="住宅朝向" localSheetId="48">'[1]比较法-住宅'!$B$88:$M$88</definedName>
    <definedName name="住宅朝向" localSheetId="35">'[2]比较法-住宅'!$B$88:$M$88</definedName>
    <definedName name="住宅朝向">'比较法-住宅'!$B$88:$M$88</definedName>
    <definedName name="住宅房型" localSheetId="48">'[1]比较法-住宅'!$B$118:$M$118</definedName>
    <definedName name="住宅房型" localSheetId="35">'[2]比较法-住宅'!$B$118:$M$118</definedName>
    <definedName name="住宅房型">'比较法-住宅'!$B$118:$M$118</definedName>
    <definedName name="住宅公共部分装修" localSheetId="48">'[1]比较法-住宅'!$B$109:$M$109</definedName>
    <definedName name="住宅公共部分装修" localSheetId="35">'[2]比较法-住宅'!$B$109:$M$109</definedName>
    <definedName name="住宅公共部分装修">'比较法-住宅'!$B$109:$M$109</definedName>
    <definedName name="住宅基础设施水平" localSheetId="48">'[1]比较法-住宅'!$B$116:$M$116</definedName>
    <definedName name="住宅基础设施水平" localSheetId="35">'[2]比较法-住宅'!$B$116:$M$116</definedName>
    <definedName name="住宅基础设施水平">'比较法-住宅'!$B$116:$M$116</definedName>
    <definedName name="住宅建筑结构" localSheetId="48">'[1]比较法-住宅'!$B$105:$M$105</definedName>
    <definedName name="住宅建筑结构" localSheetId="35">'[2]比较法-住宅'!$B$105:$M$105</definedName>
    <definedName name="住宅建筑结构">'比较法-住宅'!$B$105:$M$105</definedName>
    <definedName name="住宅建筑类型" localSheetId="48">'[1]比较法-住宅'!$B$100:$M$100</definedName>
    <definedName name="住宅建筑类型" localSheetId="35">'[2]比较法-住宅'!$B$100:$M$100</definedName>
    <definedName name="住宅建筑类型">'比较法-住宅'!$B$100:$M$100</definedName>
    <definedName name="住宅建筑品质" localSheetId="48">'[1]比较法-住宅'!$B$107:$M$107</definedName>
    <definedName name="住宅建筑品质" localSheetId="35">'[2]比较法-住宅'!$B$107:$M$107</definedName>
    <definedName name="住宅建筑品质">'比较法-住宅'!$B$107:$M$107</definedName>
    <definedName name="住宅交易情况" localSheetId="48">'[1]比较法-住宅'!$A$61:$M$61</definedName>
    <definedName name="住宅交易情况" localSheetId="35">'[2]比较法-住宅'!$A$61:$M$61</definedName>
    <definedName name="住宅交易情况">'比较法-住宅'!$A$61:$M$61</definedName>
    <definedName name="住宅楼层" localSheetId="48">'[1]比较法-住宅'!$B$86:$M$86</definedName>
    <definedName name="住宅楼层" localSheetId="35">'[2]比较法-住宅'!$B$86:$M$86</definedName>
    <definedName name="住宅楼层">'比较法-住宅'!$B$86:$M$86</definedName>
    <definedName name="住宅内部装修" localSheetId="48">'[1]比较法-住宅'!$B$122:$M$122</definedName>
    <definedName name="住宅内部装修" localSheetId="35">'[2]比较法-住宅'!$B$122:$M$122</definedName>
    <definedName name="住宅内部装修">'比较法-住宅'!$B$122:$M$122</definedName>
    <definedName name="住宅物业管理" localSheetId="48">'[1]比较法-住宅'!$B$114:$M$114</definedName>
    <definedName name="住宅物业管理" localSheetId="35">'[2]比较法-住宅'!$B$114:$M$114</definedName>
    <definedName name="住宅物业管理">'比较法-住宅'!$B$114:$M$114</definedName>
    <definedName name="住宅用途" localSheetId="48">'[1]比较法-住宅'!$B$63:$M$63</definedName>
    <definedName name="住宅用途" localSheetId="35">'[2]比较法-住宅'!$B$63:$M$63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35">[2]估价师及机构信息!$A$3:$A$24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O16" i="84" l="1"/>
  <c r="G21" i="84"/>
  <c r="G20" i="84"/>
  <c r="E47" i="33" l="1"/>
  <c r="E33" i="33"/>
  <c r="N16" i="84" l="1"/>
  <c r="L16" i="84"/>
  <c r="K16" i="84"/>
  <c r="J16" i="84"/>
  <c r="I16" i="84"/>
  <c r="I47" i="33" l="1"/>
  <c r="I5" i="33"/>
  <c r="H2" i="84"/>
  <c r="I33" i="33"/>
  <c r="I7" i="33"/>
  <c r="G7" i="33"/>
  <c r="E7" i="33"/>
  <c r="H6" i="84"/>
  <c r="D6" i="84"/>
  <c r="C6" i="84"/>
  <c r="AY11" i="84"/>
  <c r="AT11" i="84"/>
  <c r="AY10" i="84"/>
  <c r="AT10" i="84"/>
  <c r="K2" i="84" l="1"/>
  <c r="D3" i="84"/>
  <c r="H3" i="84" l="1"/>
  <c r="G47" i="33" s="1"/>
  <c r="G33" i="33"/>
  <c r="T22" i="81" l="1"/>
  <c r="S21" i="81"/>
  <c r="N27" i="81"/>
  <c r="M26" i="81"/>
  <c r="M28" i="81" s="1"/>
  <c r="M47" i="85"/>
  <c r="D66" i="85" l="1"/>
  <c r="E66" i="85" s="1"/>
  <c r="I47" i="85"/>
  <c r="G47" i="85"/>
  <c r="T47" i="85" s="1"/>
  <c r="E47" i="85"/>
  <c r="I33" i="85"/>
  <c r="G33" i="85"/>
  <c r="E33" i="85"/>
  <c r="I5" i="85"/>
  <c r="G5" i="85"/>
  <c r="C5" i="85"/>
  <c r="H3" i="83"/>
  <c r="H4" i="83" s="1"/>
  <c r="I20" i="81"/>
  <c r="H9" i="81"/>
  <c r="I8"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E91" i="85"/>
  <c r="F91" i="85" s="1"/>
  <c r="G91" i="85" s="1"/>
  <c r="H91" i="85" s="1"/>
  <c r="I91" i="85" s="1"/>
  <c r="J91" i="85" s="1"/>
  <c r="K91" i="85" s="1"/>
  <c r="L91" i="85" s="1"/>
  <c r="M91" i="85" s="1"/>
  <c r="D91" i="85"/>
  <c r="B90" i="85"/>
  <c r="H27" i="85" s="1"/>
  <c r="AB27" i="85" s="1"/>
  <c r="B88" i="85"/>
  <c r="E87" i="85"/>
  <c r="F87" i="85" s="1"/>
  <c r="G87" i="85" s="1"/>
  <c r="H87" i="85" s="1"/>
  <c r="I87" i="85" s="1"/>
  <c r="J87" i="85" s="1"/>
  <c r="K87" i="85" s="1"/>
  <c r="L87" i="85" s="1"/>
  <c r="M87" i="85" s="1"/>
  <c r="D87" i="85"/>
  <c r="E85" i="85"/>
  <c r="F85" i="85" s="1"/>
  <c r="G85" i="85" s="1"/>
  <c r="D85" i="85"/>
  <c r="E83" i="85"/>
  <c r="F83" i="85" s="1"/>
  <c r="G83" i="85" s="1"/>
  <c r="D83" i="85"/>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J29" i="85"/>
  <c r="AC29" i="85" s="1"/>
  <c r="Q28" i="85"/>
  <c r="Z28" i="85" s="1"/>
  <c r="J28" i="85"/>
  <c r="AC28" i="85" s="1"/>
  <c r="H28" i="85"/>
  <c r="AB28" i="85" s="1"/>
  <c r="F28" i="85"/>
  <c r="AA28" i="85" s="1"/>
  <c r="Q27" i="85"/>
  <c r="Z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I7" i="85"/>
  <c r="H26" i="81"/>
  <c r="E26" i="81" s="1"/>
  <c r="D2" i="85"/>
  <c r="J27" i="85" l="1"/>
  <c r="AC27" i="85" s="1"/>
  <c r="F29" i="85"/>
  <c r="AA29" i="85" s="1"/>
  <c r="J31" i="85"/>
  <c r="AC31" i="85" s="1"/>
  <c r="F10" i="85"/>
  <c r="AA10" i="85" s="1"/>
  <c r="F66" i="85"/>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S10" i="85"/>
  <c r="W10" i="85"/>
  <c r="U11" i="85"/>
  <c r="W12" i="85"/>
  <c r="U13" i="85"/>
  <c r="S14" i="85"/>
  <c r="W14" i="85"/>
  <c r="S15" i="85"/>
  <c r="W15" i="85"/>
  <c r="S17" i="85"/>
  <c r="W17" i="85"/>
  <c r="AA19" i="85"/>
  <c r="S19" i="85"/>
  <c r="AC19" i="85"/>
  <c r="W19" i="85"/>
  <c r="AA8" i="85"/>
  <c r="AC8" i="85"/>
  <c r="S9" i="85"/>
  <c r="W9" i="85"/>
  <c r="U10" i="85"/>
  <c r="S11" i="85"/>
  <c r="W11" i="85"/>
  <c r="U12" i="85"/>
  <c r="S13" i="85"/>
  <c r="W13" i="85"/>
  <c r="U14" i="85"/>
  <c r="U15" i="85"/>
  <c r="U17" i="85"/>
  <c r="U19" i="85"/>
  <c r="U21" i="85"/>
  <c r="U23" i="85"/>
  <c r="S25" i="85"/>
  <c r="W25" i="85"/>
  <c r="U26" i="85"/>
  <c r="S27" i="85"/>
  <c r="W27" i="85"/>
  <c r="U28" i="85"/>
  <c r="S29" i="85"/>
  <c r="W29" i="85"/>
  <c r="U30" i="85"/>
  <c r="S31" i="85"/>
  <c r="W31" i="85"/>
  <c r="U32" i="85"/>
  <c r="U34" i="85"/>
  <c r="S35" i="85"/>
  <c r="W35" i="85"/>
  <c r="U36" i="85"/>
  <c r="S37" i="85"/>
  <c r="W37" i="85"/>
  <c r="U38" i="85"/>
  <c r="W39" i="85"/>
  <c r="U40" i="85"/>
  <c r="S41" i="85"/>
  <c r="W41" i="85"/>
  <c r="U42" i="85"/>
  <c r="W43" i="85"/>
  <c r="U44" i="85"/>
  <c r="AA45" i="85"/>
  <c r="S45" i="85"/>
  <c r="S21" i="85"/>
  <c r="W21" i="85"/>
  <c r="S23" i="85"/>
  <c r="W23" i="85"/>
  <c r="U25" i="85"/>
  <c r="S26" i="85"/>
  <c r="W26" i="85"/>
  <c r="U27" i="85"/>
  <c r="S28" i="85"/>
  <c r="W28" i="85"/>
  <c r="U29" i="85"/>
  <c r="S30" i="85"/>
  <c r="W30" i="85"/>
  <c r="U31" i="85"/>
  <c r="S32" i="85"/>
  <c r="W32" i="85"/>
  <c r="S34" i="85"/>
  <c r="W34" i="85"/>
  <c r="U35" i="85"/>
  <c r="S36" i="85"/>
  <c r="W36" i="85"/>
  <c r="U37" i="85"/>
  <c r="S38" i="85"/>
  <c r="W38" i="85"/>
  <c r="U39" i="85"/>
  <c r="S40" i="85"/>
  <c r="W40" i="85"/>
  <c r="U41" i="85"/>
  <c r="W42" i="85"/>
  <c r="U43" i="85"/>
  <c r="W44" i="85"/>
  <c r="S46" i="85"/>
  <c r="W46" i="85"/>
  <c r="R47" i="85"/>
  <c r="V47" i="85"/>
  <c r="W45" i="85"/>
  <c r="U46" i="85"/>
  <c r="G54" i="85"/>
  <c r="H54" i="85" s="1"/>
  <c r="S42" i="85" l="1"/>
  <c r="S44" i="85"/>
  <c r="S43" i="85"/>
  <c r="S39" i="85"/>
  <c r="S12" i="85"/>
  <c r="G13" i="73" l="1"/>
  <c r="F13" i="73"/>
  <c r="E13" i="73"/>
  <c r="J38" i="81" l="1"/>
  <c r="D104" i="33" l="1"/>
  <c r="E104" i="33" s="1"/>
  <c r="F104" i="33" s="1"/>
  <c r="G104" i="33" s="1"/>
  <c r="H104" i="33" s="1"/>
  <c r="I104" i="33" s="1"/>
  <c r="B35" i="1"/>
  <c r="B21" i="1"/>
  <c r="N18" i="1"/>
  <c r="N20" i="1" s="1"/>
  <c r="N6" i="1" s="1"/>
  <c r="D3" i="4"/>
  <c r="H40" i="8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 i="79" l="1"/>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X36" i="71" s="1"/>
  <c r="Q35" i="71"/>
  <c r="P35" i="71"/>
  <c r="O35" i="71"/>
  <c r="Y35" i="71" s="1"/>
  <c r="Z35" i="71" s="1"/>
  <c r="N35" i="71"/>
  <c r="X35" i="71" s="1"/>
  <c r="Q34" i="71"/>
  <c r="P34" i="71"/>
  <c r="AA34" i="71" s="1"/>
  <c r="O34" i="71"/>
  <c r="N34" i="71"/>
  <c r="X34" i="71" s="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Y30" i="71" s="1"/>
  <c r="Z30" i="71" s="1"/>
  <c r="N30" i="71"/>
  <c r="Q29" i="71"/>
  <c r="P29" i="71"/>
  <c r="O29" i="71"/>
  <c r="C30" i="71" s="1"/>
  <c r="N29" i="71"/>
  <c r="D29" i="71"/>
  <c r="O28" i="71"/>
  <c r="N28" i="71"/>
  <c r="B28" i="71" s="1"/>
  <c r="B30" i="71"/>
  <c r="B31" i="71"/>
  <c r="B32" i="71" s="1"/>
  <c r="S32" i="71" s="1"/>
  <c r="E30" i="71"/>
  <c r="E31" i="71" s="1"/>
  <c r="X33" i="71"/>
  <c r="X37" i="71"/>
  <c r="N68" i="71"/>
  <c r="AA32" i="71"/>
  <c r="AA35" i="71"/>
  <c r="AA36" i="71"/>
  <c r="X38" i="71"/>
  <c r="C28" i="71"/>
  <c r="Y25" i="71"/>
  <c r="Z25" i="71" s="1"/>
  <c r="C51" i="71"/>
  <c r="C52" i="71" s="1"/>
  <c r="P28" i="71"/>
  <c r="E28" i="71" s="1"/>
  <c r="E60" i="71"/>
  <c r="U60" i="71" s="1"/>
  <c r="U68" i="71"/>
  <c r="E67" i="71"/>
  <c r="P67" i="71" s="1"/>
  <c r="Q28" i="71"/>
  <c r="D58" i="71"/>
  <c r="N67" i="71"/>
  <c r="B66" i="71"/>
  <c r="N66" i="71" s="1"/>
  <c r="D68" i="71"/>
  <c r="C71" i="71"/>
  <c r="D71" i="71" s="1"/>
  <c r="E71" i="71"/>
  <c r="E70" i="71" s="1"/>
  <c r="D72" i="71"/>
  <c r="E75" i="71"/>
  <c r="E74" i="71" s="1"/>
  <c r="C79" i="71"/>
  <c r="D79" i="71" s="1"/>
  <c r="E79" i="71"/>
  <c r="E78" i="71" s="1"/>
  <c r="D80" i="71"/>
  <c r="C83" i="71"/>
  <c r="D83" i="71" s="1"/>
  <c r="C87" i="71"/>
  <c r="C86" i="71" s="1"/>
  <c r="D86" i="71" s="1"/>
  <c r="T28" i="71"/>
  <c r="C27" i="71"/>
  <c r="C26" i="71" s="1"/>
  <c r="D26" i="71" s="1"/>
  <c r="F28" i="71"/>
  <c r="F27" i="71" s="1"/>
  <c r="F26" i="71" s="1"/>
  <c r="AB28" i="71"/>
  <c r="D28" i="71"/>
  <c r="U28" i="71" s="1"/>
  <c r="C82" i="71"/>
  <c r="D82" i="71" s="1"/>
  <c r="N65" i="71"/>
  <c r="C78" i="71"/>
  <c r="D78" i="71" s="1"/>
  <c r="E66" i="71"/>
  <c r="D51" i="7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5" i="40"/>
  <c r="U29" i="39"/>
  <c r="W18" i="36"/>
  <c r="AB21" i="37"/>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33" i="85"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J30" i="33" s="1"/>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J35" i="34"/>
  <c r="W35" i="34" s="1"/>
  <c r="U34" i="34"/>
  <c r="F26" i="33"/>
  <c r="AA26" i="33" s="1"/>
  <c r="H39" i="37"/>
  <c r="AB39" i="37" s="1"/>
  <c r="F11" i="40"/>
  <c r="AA11" i="40" s="1"/>
  <c r="H11" i="40"/>
  <c r="AB11" i="40" s="1"/>
  <c r="W8" i="40"/>
  <c r="AA9" i="40"/>
  <c r="U9" i="40"/>
  <c r="S40" i="40"/>
  <c r="U34" i="40"/>
  <c r="F42" i="39"/>
  <c r="AA42" i="39" s="1"/>
  <c r="F41" i="39"/>
  <c r="S41" i="39" s="1"/>
  <c r="H40" i="39"/>
  <c r="AB40" i="39" s="1"/>
  <c r="H39" i="39"/>
  <c r="U39" i="39" s="1"/>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C15" i="39"/>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E113" i="33"/>
  <c r="F113" i="33" s="1"/>
  <c r="G113" i="33" s="1"/>
  <c r="H113" i="33" s="1"/>
  <c r="I113" i="33" s="1"/>
  <c r="J113" i="33" s="1"/>
  <c r="K113" i="33" s="1"/>
  <c r="L113" i="33" s="1"/>
  <c r="M113"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37" i="33"/>
  <c r="AB37" i="33" s="1"/>
  <c r="H11" i="33"/>
  <c r="AB11" i="33" s="1"/>
  <c r="F28" i="40"/>
  <c r="AA28" i="40" s="1"/>
  <c r="AA42" i="34"/>
  <c r="S42" i="34"/>
  <c r="AC38" i="34"/>
  <c r="AA38" i="34"/>
  <c r="J37" i="34"/>
  <c r="AC37" i="34" s="1"/>
  <c r="J11" i="33"/>
  <c r="W11" i="33" s="1"/>
  <c r="U23" i="40"/>
  <c r="J42" i="21"/>
  <c r="AC42" i="21" s="1"/>
  <c r="H42" i="21"/>
  <c r="U42" i="21" s="1"/>
  <c r="J44" i="34"/>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BL526" i="3"/>
  <c r="BL516" i="3"/>
  <c r="BL506" i="3"/>
  <c r="BL498" i="3"/>
  <c r="BL582" i="3"/>
  <c r="BL574" i="3"/>
  <c r="BL566" i="3"/>
  <c r="BL556" i="3"/>
  <c r="BL552" i="3"/>
  <c r="BL544" i="3"/>
  <c r="BL540" i="3"/>
  <c r="BL536" i="3"/>
  <c r="G533" i="3"/>
  <c r="BL532" i="3"/>
  <c r="G529" i="3"/>
  <c r="BL528" i="3"/>
  <c r="BL524" i="3"/>
  <c r="BL514" i="3"/>
  <c r="BL504" i="3"/>
  <c r="BL496" i="3"/>
  <c r="BA584" i="3"/>
  <c r="BA580" i="3"/>
  <c r="AZ580" i="3" s="1"/>
  <c r="BA576" i="3"/>
  <c r="BA572" i="3"/>
  <c r="AZ572" i="3" s="1"/>
  <c r="BA568" i="3"/>
  <c r="BA564" i="3"/>
  <c r="AZ564" i="3" s="1"/>
  <c r="BA560" i="3"/>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BA526" i="3"/>
  <c r="BA524" i="3"/>
  <c r="AZ524" i="3" s="1"/>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BQ529" i="3"/>
  <c r="BL529" i="3" s="1"/>
  <c r="BQ527" i="3"/>
  <c r="BL527" i="3" s="1"/>
  <c r="AZ527" i="3" s="1"/>
  <c r="BQ525" i="3"/>
  <c r="BL525" i="3"/>
  <c r="AZ525" i="3" s="1"/>
  <c r="BQ523" i="3"/>
  <c r="BA521" i="3"/>
  <c r="AC521" i="3"/>
  <c r="G521" i="3"/>
  <c r="BQ521" i="3"/>
  <c r="BL521" i="3"/>
  <c r="AZ521" i="3" s="1"/>
  <c r="G517" i="3"/>
  <c r="G513" i="3"/>
  <c r="BQ519" i="3"/>
  <c r="BL519" i="3" s="1"/>
  <c r="AZ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26" i="37"/>
  <c r="AB13" i="34"/>
  <c r="AC45" i="33"/>
  <c r="U19" i="21"/>
  <c r="W44"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G4" i="4"/>
  <c r="I4" i="4"/>
  <c r="A2" i="9"/>
  <c r="F61" i="43"/>
  <c r="H64" i="43" s="1"/>
  <c r="AZ530" i="3"/>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G197" i="3"/>
  <c r="BA199" i="3"/>
  <c r="BL200" i="3"/>
  <c r="G201" i="3"/>
  <c r="BA203" i="3"/>
  <c r="BL204" i="3"/>
  <c r="AZ67" i="3"/>
  <c r="AZ71" i="3"/>
  <c r="AZ83" i="3"/>
  <c r="AZ85" i="3"/>
  <c r="AZ128"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78"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AZ387" i="3" s="1"/>
  <c r="BL388" i="3"/>
  <c r="G389" i="3"/>
  <c r="BA391" i="3"/>
  <c r="BL392" i="3"/>
  <c r="G393" i="3"/>
  <c r="AZ279" i="3"/>
  <c r="AZ283" i="3"/>
  <c r="AZ291" i="3"/>
  <c r="BM5" i="3"/>
  <c r="BH5" i="3"/>
  <c r="BD5" i="3"/>
  <c r="AZ325" i="3"/>
  <c r="G548" i="3"/>
  <c r="G538" i="3"/>
  <c r="G520" i="3"/>
  <c r="BS5" i="3"/>
  <c r="BN5" i="3"/>
  <c r="BI5" i="3"/>
  <c r="BE5" i="3"/>
  <c r="G17" i="3"/>
  <c r="BA17" i="3"/>
  <c r="BT5" i="3"/>
  <c r="AZ350" i="3"/>
  <c r="BA15" i="3"/>
  <c r="BB5" i="3"/>
  <c r="AZ380" i="3"/>
  <c r="AZ491" i="3"/>
  <c r="F83" i="43"/>
  <c r="H85" i="43" s="1"/>
  <c r="F50" i="43"/>
  <c r="H54" i="43" s="1"/>
  <c r="F72" i="43"/>
  <c r="H75" i="43" s="1"/>
  <c r="S14" i="35"/>
  <c r="U43" i="21"/>
  <c r="U35" i="21"/>
  <c r="AC35" i="21"/>
  <c r="G8" i="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AZ353" i="3"/>
  <c r="C40" i="11"/>
  <c r="AZ280" i="3"/>
  <c r="AZ288" i="3"/>
  <c r="AZ66" i="3"/>
  <c r="AZ69" i="3"/>
  <c r="AZ72" i="3"/>
  <c r="AZ74" i="3"/>
  <c r="AZ82" i="3"/>
  <c r="AZ8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AA47" i="34"/>
  <c r="S19" i="39"/>
  <c r="F12" i="33"/>
  <c r="S12" i="33" s="1"/>
  <c r="H12" i="39"/>
  <c r="AB12" i="39" s="1"/>
  <c r="F39" i="40"/>
  <c r="AA39" i="40" s="1"/>
  <c r="BA14" i="3"/>
  <c r="AZ14" i="3" s="1"/>
  <c r="AZ281" i="3"/>
  <c r="AZ286" i="3"/>
  <c r="AZ173" i="3"/>
  <c r="B12" i="1"/>
  <c r="E12" i="1" s="1"/>
  <c r="B10" i="1"/>
  <c r="E10" i="1" s="1"/>
  <c r="AZ80" i="3"/>
  <c r="AZ84" i="3"/>
  <c r="AZ88" i="3"/>
  <c r="K12" i="1"/>
  <c r="M12" i="1" s="1"/>
  <c r="S13" i="1"/>
  <c r="AR13" i="1" s="1"/>
  <c r="R13" i="1"/>
  <c r="J51" i="67"/>
  <c r="C42" i="1"/>
  <c r="C24" i="12" s="1"/>
  <c r="AC34" i="33"/>
  <c r="B41" i="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AB35" i="34"/>
  <c r="S43" i="34"/>
  <c r="AB41" i="34"/>
  <c r="AA45" i="34"/>
  <c r="U28" i="34"/>
  <c r="AA29" i="34"/>
  <c r="S23" i="34"/>
  <c r="U15" i="34"/>
  <c r="S13" i="34"/>
  <c r="H10" i="34"/>
  <c r="AB10" i="34" s="1"/>
  <c r="F11" i="34"/>
  <c r="S11" i="34" s="1"/>
  <c r="W38" i="33"/>
  <c r="H41" i="33"/>
  <c r="U41" i="33" s="1"/>
  <c r="F121" i="33"/>
  <c r="G121" i="33"/>
  <c r="H121" i="33" s="1"/>
  <c r="I121" i="33" s="1"/>
  <c r="J121" i="33" s="1"/>
  <c r="K121" i="33" s="1"/>
  <c r="L121" i="33" s="1"/>
  <c r="M121" i="33" s="1"/>
  <c r="J35" i="33"/>
  <c r="AC35" i="33" s="1"/>
  <c r="S37" i="33"/>
  <c r="AA37" i="33"/>
  <c r="S46" i="33"/>
  <c r="W43" i="33"/>
  <c r="H25" i="33"/>
  <c r="U25" i="33" s="1"/>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S35" i="35"/>
  <c r="W35" i="35"/>
  <c r="AA16" i="35"/>
  <c r="AA35" i="37"/>
  <c r="S27" i="37"/>
  <c r="W32" i="37"/>
  <c r="S40" i="37"/>
  <c r="AB37" i="37"/>
  <c r="AB35" i="37"/>
  <c r="AA31" i="37"/>
  <c r="U19" i="37"/>
  <c r="U8" i="37"/>
  <c r="AA40" i="34"/>
  <c r="AB40" i="34"/>
  <c r="W19" i="34"/>
  <c r="AB33" i="34"/>
  <c r="AC45" i="34"/>
  <c r="AA31" i="34"/>
  <c r="AA30" i="34"/>
  <c r="AB47" i="34"/>
  <c r="U25" i="34"/>
  <c r="AB36" i="34"/>
  <c r="AC14" i="34"/>
  <c r="AC29" i="34"/>
  <c r="S37" i="34"/>
  <c r="AC40" i="34"/>
  <c r="AA19" i="34"/>
  <c r="S19" i="34"/>
  <c r="AA36" i="34"/>
  <c r="S36" i="34"/>
  <c r="AA8" i="34"/>
  <c r="S8" i="34"/>
  <c r="S46" i="34"/>
  <c r="U32" i="34"/>
  <c r="U14" i="34"/>
  <c r="AC43" i="34"/>
  <c r="W23" i="34"/>
  <c r="AC35" i="34"/>
  <c r="AC37" i="33"/>
  <c r="U38" i="33"/>
  <c r="U44" i="33"/>
  <c r="S31" i="33"/>
  <c r="W13" i="33"/>
  <c r="U37" i="33"/>
  <c r="S28"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F28" i="67"/>
  <c r="F32" i="67"/>
  <c r="F60" i="67" s="1"/>
  <c r="F28" i="15"/>
  <c r="S39" i="40"/>
  <c r="D68" i="9"/>
  <c r="J32" i="39"/>
  <c r="W32" i="39" s="1"/>
  <c r="H32" i="39"/>
  <c r="AB32" i="39" s="1"/>
  <c r="AA32" i="39"/>
  <c r="AB21" i="39"/>
  <c r="AA21" i="39"/>
  <c r="S17" i="37"/>
  <c r="J19" i="37"/>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AC17" i="33"/>
  <c r="J23" i="21"/>
  <c r="W23" i="21" s="1"/>
  <c r="G85" i="21"/>
  <c r="H23" i="21"/>
  <c r="AB23" i="21" s="1"/>
  <c r="AP7" i="1"/>
  <c r="AA32" i="21"/>
  <c r="W9" i="21"/>
  <c r="AB32" i="21"/>
  <c r="A18" i="62"/>
  <c r="B64" i="72" s="1"/>
  <c r="AC32" i="39"/>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J15" i="15"/>
  <c r="M23" i="15"/>
  <c r="B10" i="76"/>
  <c r="F5" i="73"/>
  <c r="E13" i="76"/>
  <c r="B8" i="76"/>
  <c r="M22" i="67"/>
  <c r="F7" i="15"/>
  <c r="D5" i="73"/>
  <c r="M29" i="15"/>
  <c r="F36" i="67"/>
  <c r="E12" i="76"/>
  <c r="C19" i="9"/>
  <c r="E11" i="76"/>
  <c r="F7" i="73"/>
  <c r="D19" i="9"/>
  <c r="E10" i="76"/>
  <c r="F20" i="31"/>
  <c r="F6" i="73"/>
  <c r="E9" i="76"/>
  <c r="F8" i="15"/>
  <c r="E2" i="68"/>
  <c r="L48" i="15"/>
  <c r="B7" i="76"/>
  <c r="D35" i="9"/>
  <c r="F4" i="73"/>
  <c r="F3" i="73"/>
  <c r="B12" i="76"/>
  <c r="D3" i="73"/>
  <c r="B9" i="76"/>
  <c r="D34" i="9"/>
  <c r="E8" i="76"/>
  <c r="D20" i="9"/>
  <c r="M6" i="15"/>
  <c r="E2" i="69"/>
  <c r="B11" i="76"/>
  <c r="F38" i="15"/>
  <c r="C20" i="9"/>
  <c r="M23" i="67"/>
  <c r="B13" i="76"/>
  <c r="AO13" i="1"/>
  <c r="E7" i="76"/>
  <c r="F26" i="15"/>
  <c r="F40" i="67"/>
  <c r="M6" i="67"/>
  <c r="F13" i="15"/>
  <c r="F32" i="33" l="1"/>
  <c r="AA32" i="33" s="1"/>
  <c r="AB29" i="33"/>
  <c r="AC30" i="33"/>
  <c r="W30" i="33"/>
  <c r="F30" i="33"/>
  <c r="U30" i="33"/>
  <c r="H50" i="43"/>
  <c r="S39" i="34"/>
  <c r="AA39" i="34"/>
  <c r="BQ5" i="3"/>
  <c r="BL493" i="3"/>
  <c r="AZ493" i="3" s="1"/>
  <c r="AB13" i="37"/>
  <c r="U13" i="37"/>
  <c r="AC37" i="37"/>
  <c r="W37" i="37"/>
  <c r="AB9" i="21"/>
  <c r="U44" i="34"/>
  <c r="AZ331" i="3"/>
  <c r="AZ328" i="3"/>
  <c r="AA11" i="39"/>
  <c r="S11" i="39"/>
  <c r="J42" i="33"/>
  <c r="AC42" i="33" s="1"/>
  <c r="H42" i="33"/>
  <c r="AB42" i="33" s="1"/>
  <c r="AZ496" i="3"/>
  <c r="AZ538" i="3"/>
  <c r="W13" i="40"/>
  <c r="AC13" i="40"/>
  <c r="S12" i="40"/>
  <c r="AA12" i="40"/>
  <c r="W17" i="34"/>
  <c r="AC17" i="34"/>
  <c r="AZ391" i="3"/>
  <c r="AZ330" i="3"/>
  <c r="AZ310" i="3"/>
  <c r="AZ351" i="3"/>
  <c r="AZ139"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AZ518" i="3" s="1"/>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AZ494" i="3" s="1"/>
  <c r="BK5" i="3"/>
  <c r="BG5" i="3"/>
  <c r="BA494" i="3"/>
  <c r="AC5" i="3"/>
  <c r="BR5" i="3"/>
  <c r="BO5" i="3"/>
  <c r="BJ5" i="3"/>
  <c r="BF5" i="3"/>
  <c r="E14" i="6" s="1"/>
  <c r="G493" i="3"/>
  <c r="F6" i="1"/>
  <c r="BA398" i="3"/>
  <c r="AZ398" i="3" s="1"/>
  <c r="BL400" i="3"/>
  <c r="G401" i="3"/>
  <c r="G403" i="3"/>
  <c r="BA404" i="3"/>
  <c r="G405" i="3"/>
  <c r="G407" i="3"/>
  <c r="BL408" i="3"/>
  <c r="G409" i="3"/>
  <c r="BL410" i="3"/>
  <c r="G413" i="3"/>
  <c r="BA414" i="3"/>
  <c r="AZ414" i="3" s="1"/>
  <c r="G415" i="3"/>
  <c r="BA416" i="3"/>
  <c r="AZ416" i="3" s="1"/>
  <c r="BL416" i="3"/>
  <c r="BA418" i="3"/>
  <c r="AZ418" i="3" s="1"/>
  <c r="BA419" i="3"/>
  <c r="BL419" i="3"/>
  <c r="BA420" i="3"/>
  <c r="AZ420" i="3" s="1"/>
  <c r="BA422" i="3"/>
  <c r="AZ422" i="3" s="1"/>
  <c r="BL424" i="3"/>
  <c r="G425" i="3"/>
  <c r="BL426" i="3"/>
  <c r="G429" i="3"/>
  <c r="BA430" i="3"/>
  <c r="G431" i="3"/>
  <c r="BA432" i="3"/>
  <c r="BL432" i="3"/>
  <c r="G435" i="3"/>
  <c r="BA436" i="3"/>
  <c r="AZ436" i="3" s="1"/>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G329" i="3"/>
  <c r="BA331" i="3"/>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AZ217" i="3" s="1"/>
  <c r="BL217" i="3"/>
  <c r="BL219" i="3"/>
  <c r="G220" i="3"/>
  <c r="BL221" i="3"/>
  <c r="BL223" i="3"/>
  <c r="BA225" i="3"/>
  <c r="AZ225" i="3" s="1"/>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5" i="3"/>
  <c r="BL245" i="3"/>
  <c r="BA246" i="3"/>
  <c r="AZ246" i="3" s="1"/>
  <c r="BA248" i="3"/>
  <c r="AZ248" i="3" s="1"/>
  <c r="BL248" i="3"/>
  <c r="BA250" i="3"/>
  <c r="AZ250" i="3" s="1"/>
  <c r="BL250" i="3"/>
  <c r="BL252" i="3"/>
  <c r="G253" i="3"/>
  <c r="BL254" i="3"/>
  <c r="G255" i="3"/>
  <c r="BA256" i="3"/>
  <c r="G257" i="3"/>
  <c r="BL258" i="3"/>
  <c r="BA260" i="3"/>
  <c r="G261" i="3"/>
  <c r="BL262" i="3"/>
  <c r="BA264" i="3"/>
  <c r="G265" i="3"/>
  <c r="BA266" i="3"/>
  <c r="G267" i="3"/>
  <c r="BL268" i="3"/>
  <c r="G269" i="3"/>
  <c r="BA270" i="3"/>
  <c r="AZ270" i="3" s="1"/>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AZ146" i="3" s="1"/>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AZ45" i="3" s="1"/>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499" i="3"/>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AZ301" i="3" s="1"/>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C33" i="33"/>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AZ216" i="3" s="1"/>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AZ22" i="3" s="1"/>
  <c r="BL24" i="3"/>
  <c r="AZ24" i="3" s="1"/>
  <c r="BA25" i="3"/>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AZ103" i="3" s="1"/>
  <c r="BL105" i="3"/>
  <c r="AZ105" i="3" s="1"/>
  <c r="G107" i="3"/>
  <c r="G108" i="3"/>
  <c r="BL108" i="3"/>
  <c r="B27" i="71"/>
  <c r="B26" i="71" s="1"/>
  <c r="S28" i="71"/>
  <c r="AZ193" i="3"/>
  <c r="AZ38" i="3"/>
  <c r="AZ56"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AC30" i="34"/>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485" i="3"/>
  <c r="AZ385" i="3"/>
  <c r="AZ210" i="3"/>
  <c r="AZ255" i="3"/>
  <c r="AZ277" i="3"/>
  <c r="AZ435" i="3"/>
  <c r="AZ439" i="3"/>
  <c r="AZ444" i="3"/>
  <c r="AZ448" i="3"/>
  <c r="AZ452" i="3"/>
  <c r="AZ489" i="3"/>
  <c r="AZ231" i="3"/>
  <c r="AZ264" i="3"/>
  <c r="AZ290" i="3"/>
  <c r="AZ293" i="3"/>
  <c r="AZ126" i="3"/>
  <c r="AZ129"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F68" i="67"/>
  <c r="F64" i="67"/>
  <c r="C36" i="68"/>
  <c r="D9" i="68"/>
  <c r="F36" i="15"/>
  <c r="F42" i="15"/>
  <c r="D6" i="73"/>
  <c r="F9" i="67"/>
  <c r="C76" i="15"/>
  <c r="F9" i="15"/>
  <c r="M28" i="15"/>
  <c r="F40" i="15"/>
  <c r="M9" i="15"/>
  <c r="F38" i="67"/>
  <c r="M9" i="67"/>
  <c r="C36" i="69"/>
  <c r="D4" i="73"/>
  <c r="M26" i="67"/>
  <c r="F6" i="67"/>
  <c r="G1" i="73"/>
  <c r="F43" i="15"/>
  <c r="M22" i="15"/>
  <c r="L48" i="67"/>
  <c r="F13" i="67"/>
  <c r="F37" i="67"/>
  <c r="F42" i="67"/>
  <c r="C76" i="67"/>
  <c r="F8" i="67"/>
  <c r="F16" i="15"/>
  <c r="M24" i="15"/>
  <c r="M8" i="67"/>
  <c r="D7" i="73"/>
  <c r="F26" i="67"/>
  <c r="L47" i="67"/>
  <c r="M24" i="67"/>
  <c r="L47" i="15"/>
  <c r="M26" i="15"/>
  <c r="M8" i="15"/>
  <c r="F6" i="15"/>
  <c r="F27" i="69"/>
  <c r="D9" i="69"/>
  <c r="F16" i="67"/>
  <c r="M28" i="67"/>
  <c r="J15" i="67"/>
  <c r="F37" i="15"/>
  <c r="U42" i="33" l="1"/>
  <c r="S32" i="33"/>
  <c r="W32" i="33"/>
  <c r="S27" i="33"/>
  <c r="S30" i="33"/>
  <c r="AA30" i="33"/>
  <c r="U46" i="33"/>
  <c r="G26" i="43"/>
  <c r="N94" i="46"/>
  <c r="U15" i="33"/>
  <c r="J57" i="67"/>
  <c r="J55" i="67" s="1"/>
  <c r="J58" i="67" s="1"/>
  <c r="Q50" i="67" s="1"/>
  <c r="I54" i="67"/>
  <c r="J53" i="67"/>
  <c r="Q52" i="67" s="1"/>
  <c r="L56" i="67"/>
  <c r="N59" i="67"/>
  <c r="L58" i="67"/>
  <c r="Q60" i="67" s="1"/>
  <c r="L59" i="67"/>
  <c r="Q61" i="67" s="1"/>
  <c r="M59" i="67"/>
  <c r="F51" i="67"/>
  <c r="F66" i="67"/>
  <c r="E63" i="39"/>
  <c r="E59" i="40"/>
  <c r="I5" i="81"/>
  <c r="I24" i="43"/>
  <c r="C24" i="43" s="1"/>
  <c r="AC9" i="36"/>
  <c r="W9" i="36"/>
  <c r="W31" i="39"/>
  <c r="AC31" i="39"/>
  <c r="U14" i="21"/>
  <c r="AB14" i="21"/>
  <c r="AA46" i="21"/>
  <c r="S46" i="21"/>
  <c r="B20" i="31"/>
  <c r="B21" i="31" s="1"/>
  <c r="N370" i="46"/>
  <c r="F26" i="43"/>
  <c r="E13" i="6"/>
  <c r="E11" i="6"/>
  <c r="E60" i="39" s="1"/>
  <c r="E12" i="6"/>
  <c r="E57" i="40" s="1"/>
  <c r="S9" i="33"/>
  <c r="S9" i="34"/>
  <c r="D20" i="71"/>
  <c r="U20" i="71" s="1"/>
  <c r="W27" i="33"/>
  <c r="G6" i="1"/>
  <c r="AZ227" i="3"/>
  <c r="AZ215" i="3"/>
  <c r="AZ211" i="3"/>
  <c r="AZ333" i="3"/>
  <c r="AZ408" i="3"/>
  <c r="AZ400" i="3"/>
  <c r="C60" i="7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462"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T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H7" i="36"/>
  <c r="AB7" i="36" s="1"/>
  <c r="T36" i="36" s="1"/>
  <c r="G36" i="36" s="1"/>
  <c r="E359" i="3"/>
  <c r="E312" i="3"/>
  <c r="E85" i="3"/>
  <c r="E458" i="3"/>
  <c r="E111" i="3"/>
  <c r="E269" i="3"/>
  <c r="E505" i="3"/>
  <c r="E186" i="3"/>
  <c r="E441" i="3"/>
  <c r="D63" i="71"/>
  <c r="C64" i="71"/>
  <c r="E82" i="3"/>
  <c r="AP6" i="1"/>
  <c r="AZ450" i="3"/>
  <c r="AZ402" i="3"/>
  <c r="AZ550" i="3"/>
  <c r="U25" i="37"/>
  <c r="AB25" i="37"/>
  <c r="AB38" i="40"/>
  <c r="U38" i="40"/>
  <c r="U12" i="36"/>
  <c r="AB12" i="36"/>
  <c r="U9" i="34"/>
  <c r="AB9" i="34"/>
  <c r="BL5" i="3"/>
  <c r="F30" i="6"/>
  <c r="C36" i="71"/>
  <c r="D35" i="71"/>
  <c r="E48" i="3"/>
  <c r="E223" i="3"/>
  <c r="J33" i="33"/>
  <c r="F33" i="33"/>
  <c r="H33" i="33"/>
  <c r="AA25" i="37"/>
  <c r="S25" i="37"/>
  <c r="AA38" i="40"/>
  <c r="S38" i="40"/>
  <c r="W12" i="36"/>
  <c r="AC12" i="36"/>
  <c r="BA5" i="3"/>
  <c r="E27" i="6" s="1"/>
  <c r="C18" i="71"/>
  <c r="D19" i="71"/>
  <c r="AB32" i="33"/>
  <c r="U32" i="33"/>
  <c r="AB27" i="33"/>
  <c r="S36" i="33"/>
  <c r="U12" i="33"/>
  <c r="AB12" i="33"/>
  <c r="E26" i="43"/>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E60" i="40"/>
  <c r="F31" i="6"/>
  <c r="E51" i="40"/>
  <c r="E16" i="6"/>
  <c r="E58" i="40"/>
  <c r="E62" i="39"/>
  <c r="D5" i="43"/>
  <c r="C7" i="43"/>
  <c r="C5" i="43" s="1"/>
  <c r="D10" i="52"/>
  <c r="D125" i="9"/>
  <c r="D11" i="52" s="1"/>
  <c r="B7" i="74"/>
  <c r="C7" i="74" s="1"/>
  <c r="F67" i="39"/>
  <c r="F59" i="67"/>
  <c r="H7" i="37"/>
  <c r="AB7" i="37" s="1"/>
  <c r="T42" i="37" s="1"/>
  <c r="G42" i="37" s="1"/>
  <c r="B40" i="1"/>
  <c r="H7" i="33"/>
  <c r="J7" i="33"/>
  <c r="D65" i="40"/>
  <c r="E63" i="40"/>
  <c r="F48" i="35"/>
  <c r="AC7" i="37"/>
  <c r="V42" i="37" s="1"/>
  <c r="I42" i="37" s="1"/>
  <c r="W7" i="37"/>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M29" i="67"/>
  <c r="F43" i="67"/>
  <c r="C16" i="15"/>
  <c r="F7" i="67"/>
  <c r="E95" i="3" l="1"/>
  <c r="E86" i="3"/>
  <c r="E27" i="3"/>
  <c r="E72" i="3"/>
  <c r="E453" i="3"/>
  <c r="E574" i="3"/>
  <c r="E489" i="3"/>
  <c r="E465" i="3"/>
  <c r="E502" i="3"/>
  <c r="E155" i="3"/>
  <c r="E205" i="3"/>
  <c r="AQ6" i="3"/>
  <c r="E60" i="3"/>
  <c r="E198" i="3"/>
  <c r="E179" i="3"/>
  <c r="E200" i="3"/>
  <c r="E192" i="3"/>
  <c r="D26" i="43"/>
  <c r="C25" i="43" s="1"/>
  <c r="E53" i="3"/>
  <c r="E28" i="3"/>
  <c r="Z6" i="3"/>
  <c r="E315" i="3"/>
  <c r="E587" i="3"/>
  <c r="E228" i="3"/>
  <c r="E466" i="3"/>
  <c r="E118" i="3"/>
  <c r="E195" i="3"/>
  <c r="E297" i="3"/>
  <c r="E554" i="3"/>
  <c r="E197" i="3"/>
  <c r="E80" i="3"/>
  <c r="E52" i="3"/>
  <c r="E194" i="3"/>
  <c r="E540" i="3"/>
  <c r="E139" i="3"/>
  <c r="E376" i="3"/>
  <c r="E373" i="3"/>
  <c r="E249" i="3"/>
  <c r="E241" i="3"/>
  <c r="E281" i="3"/>
  <c r="E33" i="3"/>
  <c r="E108" i="3"/>
  <c r="E463" i="3"/>
  <c r="E37" i="3"/>
  <c r="E331" i="3"/>
  <c r="E447" i="3"/>
  <c r="E515" i="3"/>
  <c r="E318" i="3"/>
  <c r="E571" i="3"/>
  <c r="E45" i="3"/>
  <c r="E416" i="3"/>
  <c r="S6" i="3"/>
  <c r="E426" i="3"/>
  <c r="E273" i="3"/>
  <c r="E345" i="3"/>
  <c r="E368" i="3"/>
  <c r="E106" i="3"/>
  <c r="E560" i="3"/>
  <c r="E568" i="3"/>
  <c r="E212" i="3"/>
  <c r="E144" i="3"/>
  <c r="E409" i="3"/>
  <c r="E39" i="3"/>
  <c r="E469" i="3"/>
  <c r="E308" i="3"/>
  <c r="E289" i="3"/>
  <c r="E339" i="3"/>
  <c r="E79" i="3"/>
  <c r="E391" i="3"/>
  <c r="E420" i="3"/>
  <c r="E493" i="3"/>
  <c r="E25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115" i="3"/>
  <c r="E427" i="3"/>
  <c r="E170" i="3"/>
  <c r="AF6" i="3"/>
  <c r="E22" i="3"/>
  <c r="E360" i="3"/>
  <c r="E460" i="3"/>
  <c r="E389" i="3"/>
  <c r="E307" i="3"/>
  <c r="E13" i="3"/>
  <c r="E255" i="3"/>
  <c r="E545" i="3"/>
  <c r="E406" i="3"/>
  <c r="E171" i="3"/>
  <c r="E204" i="3"/>
  <c r="E485" i="3"/>
  <c r="E182" i="3"/>
  <c r="E501" i="3"/>
  <c r="E97" i="3"/>
  <c r="E421" i="3"/>
  <c r="E511" i="3"/>
  <c r="E457" i="3"/>
  <c r="E433" i="3"/>
  <c r="E567" i="3"/>
  <c r="E414" i="3"/>
  <c r="E504" i="3"/>
  <c r="E160" i="3"/>
  <c r="E492" i="3"/>
  <c r="E63" i="3"/>
  <c r="E188" i="3"/>
  <c r="E507" i="3"/>
  <c r="E498" i="3"/>
  <c r="E25" i="3"/>
  <c r="E243" i="3"/>
  <c r="AL6" i="3"/>
  <c r="E15" i="3"/>
  <c r="E219" i="3"/>
  <c r="E392" i="3"/>
  <c r="E123" i="3"/>
  <c r="E158" i="3"/>
  <c r="E534" i="3"/>
  <c r="E152" i="3"/>
  <c r="E64" i="3"/>
  <c r="E381" i="3"/>
  <c r="E499" i="3"/>
  <c r="E133" i="3"/>
  <c r="E468" i="3"/>
  <c r="E74" i="3"/>
  <c r="E531" i="3"/>
  <c r="E572" i="3"/>
  <c r="O6" i="3"/>
  <c r="E244" i="3"/>
  <c r="E253" i="3"/>
  <c r="E519" i="3"/>
  <c r="E279" i="3"/>
  <c r="E107" i="3"/>
  <c r="E259" i="3"/>
  <c r="E44" i="3"/>
  <c r="E477" i="3"/>
  <c r="E549" i="3"/>
  <c r="E573" i="3"/>
  <c r="E167" i="3"/>
  <c r="E109" i="3"/>
  <c r="E327" i="3"/>
  <c r="E214" i="3"/>
  <c r="AK6" i="3"/>
  <c r="E19" i="3"/>
  <c r="E65" i="3"/>
  <c r="AP6" i="3"/>
  <c r="E102" i="3"/>
  <c r="E137" i="3"/>
  <c r="E440" i="3"/>
  <c r="E446" i="3"/>
  <c r="E41" i="3"/>
  <c r="E479" i="3"/>
  <c r="E66" i="3"/>
  <c r="E210" i="3"/>
  <c r="E476" i="3"/>
  <c r="E585" i="3"/>
  <c r="E351" i="3"/>
  <c r="E562" i="3"/>
  <c r="E99" i="3"/>
  <c r="E487" i="3"/>
  <c r="E390" i="3"/>
  <c r="E153" i="3"/>
  <c r="E211" i="3"/>
  <c r="E400" i="3"/>
  <c r="E227" i="3"/>
  <c r="E454" i="3"/>
  <c r="K6" i="3"/>
  <c r="E77" i="3"/>
  <c r="E536" i="3"/>
  <c r="E354" i="3"/>
  <c r="E76" i="3"/>
  <c r="E520" i="3"/>
  <c r="E405" i="3"/>
  <c r="E287" i="3"/>
  <c r="E147" i="3"/>
  <c r="E299" i="3"/>
  <c r="E455" i="3"/>
  <c r="E332" i="3"/>
  <c r="E483" i="3"/>
  <c r="E105" i="3"/>
  <c r="E24" i="3"/>
  <c r="E110" i="3"/>
  <c r="Q73" i="67"/>
  <c r="Q60" i="15"/>
  <c r="Q74" i="67"/>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E3" i="6"/>
  <c r="I3" i="81" s="1"/>
  <c r="C11" i="81" s="1"/>
  <c r="AY6" i="3"/>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C35" i="9"/>
  <c r="F41" i="15"/>
  <c r="AE6" i="1"/>
  <c r="M27" i="67"/>
  <c r="M27" i="15"/>
  <c r="C16" i="67"/>
  <c r="AY83" i="3" l="1"/>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G53" i="33" s="1"/>
  <c r="H53"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F41" i="67"/>
  <c r="C17" i="67"/>
  <c r="D10" i="69"/>
  <c r="C17" i="15"/>
  <c r="C14" i="67"/>
  <c r="F69" i="67" l="1"/>
  <c r="I52" i="33"/>
  <c r="J52" i="33" s="1"/>
  <c r="R49" i="3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C4" i="52"/>
  <c r="B45" i="72" s="1"/>
  <c r="A10" i="51"/>
  <c r="B9" i="72" s="1"/>
  <c r="A7" i="51"/>
  <c r="B7" i="72" s="1"/>
  <c r="R25" i="6"/>
  <c r="R12" i="1" s="1"/>
  <c r="C10" i="68"/>
  <c r="D19" i="68"/>
  <c r="B2" i="43"/>
  <c r="B3" i="43" s="1"/>
  <c r="H69" i="39"/>
  <c r="I67" i="39"/>
  <c r="G65" i="40"/>
  <c r="H63" i="40"/>
  <c r="C43" i="37"/>
  <c r="C42" i="37"/>
  <c r="I48" i="35"/>
  <c r="C48" i="33"/>
  <c r="C49" i="33"/>
  <c r="E10" i="74" s="1"/>
  <c r="H58" i="21"/>
  <c r="E47" i="37"/>
  <c r="F47" i="37" s="1"/>
  <c r="E46" i="37"/>
  <c r="F46" i="37" s="1"/>
  <c r="I47" i="37"/>
  <c r="J47" i="37" s="1"/>
  <c r="E53" i="33"/>
  <c r="F53" i="33" s="1"/>
  <c r="E52" i="33"/>
  <c r="F52" i="33" s="1"/>
  <c r="C33" i="15"/>
  <c r="C22" i="11"/>
  <c r="C31" i="11" s="1"/>
  <c r="C33" i="67"/>
  <c r="J19" i="67"/>
  <c r="E6" i="76"/>
  <c r="C14" i="15"/>
  <c r="B6" i="76"/>
  <c r="D36" i="81" l="1"/>
  <c r="J8" i="81" s="1"/>
  <c r="M49" i="33"/>
  <c r="L49" i="33"/>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J58" i="85" l="1"/>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L51" i="67"/>
  <c r="D2" i="21"/>
  <c r="N58" i="85" l="1"/>
  <c r="O58" i="85" s="1"/>
  <c r="H7" i="85"/>
  <c r="D10" i="71"/>
  <c r="C9" i="71"/>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AB7" i="85" l="1"/>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D2" i="35"/>
  <c r="L51" i="15"/>
  <c r="D2" i="37"/>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7" i="1"/>
  <c r="AO11" i="1"/>
  <c r="AO12" i="1"/>
  <c r="AO6" i="1"/>
  <c r="AO8"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1" i="81" l="1"/>
  <c r="U20" i="81" s="1"/>
  <c r="D37" i="81" s="1"/>
  <c r="B3" i="85"/>
  <c r="B2" i="85"/>
  <c r="C3" i="81" s="1"/>
  <c r="C4" i="81"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46" i="11" l="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J9" i="81" s="1"/>
  <c r="K24" i="81"/>
  <c r="G37" i="81" l="1"/>
  <c r="D38" i="81"/>
  <c r="B10" i="74" s="1"/>
  <c r="D14" i="74" s="1"/>
  <c r="G14" i="74" s="1"/>
  <c r="B6" i="74" s="1"/>
  <c r="D6" i="74" s="1"/>
  <c r="C39" i="81" l="1"/>
  <c r="C40" i="81" s="1"/>
  <c r="J10" i="81"/>
  <c r="E39" i="81"/>
  <c r="E40" i="81" s="1"/>
  <c r="B5" i="74"/>
  <c r="D5" i="74" s="1"/>
  <c r="F14" i="74"/>
  <c r="E14" i="74"/>
  <c r="B30" i="72"/>
  <c r="D8" i="52"/>
  <c r="C104" i="9"/>
  <c r="H4" i="52"/>
  <c r="B20" i="72"/>
  <c r="D6" i="53"/>
  <c r="B22" i="72"/>
  <c r="C73" i="9"/>
  <c r="B47" i="72"/>
  <c r="C5" i="74"/>
  <c r="D123" i="9"/>
  <c r="D9" i="52"/>
  <c r="D14" i="53"/>
  <c r="B32" i="72"/>
  <c r="P57" i="9"/>
  <c r="N58" i="9"/>
  <c r="B52" i="72"/>
  <c r="C81" i="9"/>
  <c r="I4" i="52"/>
  <c r="C105" i="9"/>
  <c r="M48" i="9"/>
  <c r="D5" i="53"/>
  <c r="G4" i="52"/>
  <c r="D5" i="52"/>
  <c r="B49" i="72"/>
  <c r="C80" i="9"/>
  <c r="E80" i="9"/>
  <c r="E81" i="9"/>
  <c r="N60" i="9"/>
  <c r="N57" i="9"/>
  <c r="N59" i="9"/>
  <c r="N61" i="9"/>
  <c r="C79" i="9"/>
  <c r="D59" i="9"/>
  <c r="M55" i="9"/>
  <c r="C6" i="74"/>
  <c r="B48" i="72"/>
  <c r="D52" i="9"/>
  <c r="C72" i="9"/>
  <c r="D53" i="9"/>
  <c r="C78" i="9"/>
  <c r="C93" i="9"/>
  <c r="C86" i="9"/>
  <c r="E4" i="52"/>
  <c r="D15" i="53"/>
  <c r="B31" i="72"/>
  <c r="C68" i="9"/>
  <c r="D54" i="9"/>
  <c r="H119" i="9"/>
  <c r="H5" i="52"/>
  <c r="D122" i="9"/>
  <c r="D13" i="53"/>
  <c r="H107" i="9"/>
  <c r="H108" i="9"/>
  <c r="F4" i="52"/>
  <c r="B51" i="72"/>
  <c r="G118" i="9"/>
  <c r="F118" i="9"/>
  <c r="F119" i="9"/>
  <c r="F5" i="52"/>
  <c r="B53" i="72"/>
  <c r="C97" i="9"/>
  <c r="D58" i="9"/>
  <c r="D56" i="9"/>
  <c r="M54" i="9"/>
  <c r="C85" i="9"/>
  <c r="C95" i="9"/>
  <c r="C96" i="9"/>
  <c r="E96" i="9"/>
  <c r="E97" i="9"/>
  <c r="H102" i="9"/>
  <c r="D7" i="53"/>
  <c r="B21" i="72"/>
  <c r="D4" i="52"/>
  <c r="E118" i="9"/>
  <c r="D118" i="9"/>
  <c r="D119" i="9"/>
  <c r="D55" i="9"/>
  <c r="M53"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<sst xmlns="http://schemas.openxmlformats.org/spreadsheetml/2006/main" count="8760" uniqueCount="3795">
  <si>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</si>
  <si>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</si>
  <si>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</si>
  <si>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</si>
  <si>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</si>
  <si>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</si>
  <si>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</si>
  <si>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</si>
  <si>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</si>
  <si>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</si>
  <si>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</si>
  <si>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</si>
  <si>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</si>
  <si>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</si>
  <si>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</si>
  <si>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</si>
  <si>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</si>
  <si>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</si>
  <si>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</si>
  <si>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</si>
  <si>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</si>
  <si>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</si>
  <si>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</si>
  <si>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</si>
  <si>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</si>
  <si>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</si>
  <si>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</si>
  <si>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</si>
  <si>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</si>
  <si>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</si>
  <si>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</si>
  <si>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</si>
  <si>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</si>
  <si>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</si>
  <si>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</si>
  <si>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</si>
  <si>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</si>
  <si>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</si>
  <si>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</si>
  <si>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</si>
  <si>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</si>
  <si>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</si>
  <si>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</si>
  <si>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</si>
  <si>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</si>
  <si>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</si>
  <si>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</si>
  <si>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</si>
  <si>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</si>
  <si>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</si>
  <si>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</si>
  <si>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</si>
  <si>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</si>
  <si>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</si>
  <si>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</si>
  <si>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</si>
  <si>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</si>
  <si>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</si>
  <si>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</si>
  <si>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</si>
  <si>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</si>
  <si>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</si>
  <si>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</si>
  <si>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</si>
  <si>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</si>
  <si>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</si>
  <si>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</si>
  <si>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</si>
  <si>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</si>
  <si>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</si>
  <si>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</si>
  <si>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</si>
  <si>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</si>
  <si>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</si>
  <si>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</si>
  <si>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</si>
  <si>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</si>
  <si>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</si>
  <si>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</si>
  <si>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</si>
  <si>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</si>
  <si>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</si>
  <si>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</si>
  <si>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</si>
  <si>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</si>
  <si>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</si>
  <si>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</si>
  <si>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</si>
  <si>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</si>
  <si>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</si>
  <si>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</si>
  <si>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</si>
  <si>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</si>
  <si>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</si>
  <si>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</si>
  <si>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</si>
  <si>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</si>
  <si>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</si>
  <si>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</si>
  <si>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</si>
  <si>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</si>
  <si>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</si>
  <si>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</si>
  <si>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</si>
  <si>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</si>
  <si>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</si>
  <si>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</si>
  <si>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</si>
  <si>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</si>
  <si>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</si>
  <si>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</si>
  <si>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</si>
  <si>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</si>
  <si>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</si>
  <si>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</si>
  <si>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</si>
  <si>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</si>
  <si>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</si>
  <si>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</si>
  <si>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</si>
  <si>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</si>
  <si>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</si>
  <si>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</si>
  <si>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</si>
  <si>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</si>
  <si>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</si>
  <si>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</si>
  <si>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</si>
  <si>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</si>
  <si>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</si>
  <si>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</si>
  <si>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</si>
  <si>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</si>
  <si>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</si>
  <si>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</si>
  <si>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</si>
  <si>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</si>
  <si>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</si>
  <si>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</si>
  <si>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</si>
  <si>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</si>
  <si>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</si>
  <si>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</si>
  <si>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</si>
  <si>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</si>
  <si>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</si>
  <si>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</si>
  <si>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</si>
  <si>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</si>
  <si>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</si>
  <si>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</si>
  <si>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</si>
  <si>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</si>
  <si>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</si>
  <si>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</si>
  <si>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</si>
  <si>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</si>
  <si>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</si>
  <si>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</si>
  <si>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</si>
  <si>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</si>
  <si>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</si>
  <si>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</si>
  <si>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</si>
  <si>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</si>
  <si>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</si>
  <si>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</si>
  <si>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</si>
  <si>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</si>
  <si>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</si>
  <si>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</si>
  <si>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</si>
  <si>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</si>
  <si>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</si>
  <si>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</si>
  <si>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</si>
  <si>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</si>
  <si>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</si>
  <si>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</si>
  <si>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</si>
  <si>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</si>
  <si>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</si>
  <si>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</si>
  <si>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</si>
  <si>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</si>
  <si>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</si>
  <si>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</si>
  <si>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</si>
  <si>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</si>
  <si>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</si>
  <si>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</si>
  <si>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</si>
  <si>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</si>
  <si>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</si>
  <si>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</si>
  <si>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</si>
  <si>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</si>
  <si>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</si>
  <si>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</si>
  <si>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</si>
  <si>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</si>
  <si>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</si>
  <si>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</si>
  <si>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</si>
  <si>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</si>
  <si>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</si>
  <si>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</si>
  <si>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</si>
  <si>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</si>
  <si>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</si>
  <si>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</si>
  <si>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</si>
  <si>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</si>
  <si>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</si>
  <si>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</si>
  <si>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</si>
  <si>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</si>
  <si>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</si>
  <si>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</si>
  <si>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</si>
  <si>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</si>
  <si>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</si>
  <si>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</si>
  <si>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</si>
  <si>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</si>
  <si>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</si>
  <si>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</si>
  <si>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</si>
  <si>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</si>
  <si>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</si>
  <si>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</si>
  <si>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</si>
  <si>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</si>
  <si>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</si>
  <si>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</si>
  <si>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</si>
  <si>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</si>
  <si>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</si>
  <si>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</si>
  <si>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</si>
  <si>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</si>
  <si>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</si>
  <si>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</si>
  <si>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</si>
  <si>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</si>
  <si>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</si>
  <si>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</si>
  <si>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</si>
  <si>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</si>
  <si>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</si>
  <si>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</si>
  <si>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</si>
  <si>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</si>
  <si>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</si>
  <si>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</si>
  <si>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</si>
  <si>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</si>
  <si>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</si>
  <si>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</si>
  <si>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</si>
  <si>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</si>
  <si>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</si>
  <si>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</si>
  <si>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</si>
  <si>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</si>
  <si>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</si>
  <si>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</si>
  <si>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</si>
  <si>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</si>
  <si>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</si>
  <si>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</si>
  <si>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</si>
  <si>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</si>
  <si>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</si>
  <si>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</si>
  <si>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</si>
  <si>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</si>
  <si>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</si>
  <si>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</si>
  <si>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</si>
  <si>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</si>
  <si>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</si>
  <si>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</si>
  <si>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</si>
  <si>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</si>
  <si>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</si>
  <si>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</si>
  <si>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</si>
  <si>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</si>
  <si>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</si>
  <si>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</si>
  <si>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</si>
  <si>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</si>
  <si>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</si>
  <si>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</si>
  <si>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</si>
  <si>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</si>
  <si>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</si>
  <si>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</si>
  <si>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</si>
  <si>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</si>
  <si>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</si>
  <si>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</si>
  <si>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</si>
  <si>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</si>
  <si>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</si>
  <si>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</si>
  <si>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</si>
  <si>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</si>
  <si>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</si>
  <si>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</si>
  <si>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</si>
  <si>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</si>
  <si>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</si>
  <si>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</si>
  <si>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</si>
  <si>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</si>
  <si>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</si>
  <si>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</si>
  <si>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</si>
  <si>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</si>
  <si>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</si>
  <si>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</si>
  <si>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</si>
  <si>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</si>
  <si>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</si>
  <si>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</si>
  <si>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</si>
  <si>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</si>
  <si>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</si>
  <si>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</si>
  <si>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</si>
  <si>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</si>
  <si>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</si>
  <si>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</si>
  <si>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</si>
  <si>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</si>
  <si>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</si>
  <si>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</si>
  <si>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</si>
  <si>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</si>
  <si>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</si>
  <si>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</si>
  <si>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</si>
  <si>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</si>
  <si>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</si>
  <si>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</si>
  <si>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</si>
  <si>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</si>
  <si>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</si>
  <si>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</si>
  <si>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</si>
  <si>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</si>
  <si>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</si>
  <si>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</si>
  <si>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</si>
  <si>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</si>
  <si>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</si>
  <si>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</si>
  <si>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</si>
  <si>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</si>
  <si>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</si>
  <si>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</si>
  <si>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</si>
  <si>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</si>
  <si>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</si>
  <si>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</si>
  <si>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</si>
  <si>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</si>
  <si>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</si>
  <si>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</si>
  <si>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</si>
  <si>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</si>
  <si>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</si>
  <si>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</si>
  <si>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</si>
  <si>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</si>
  <si>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</si>
  <si>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</si>
  <si>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</si>
  <si>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</si>
  <si>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</si>
  <si>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</si>
  <si>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</si>
  <si>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</si>
  <si>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</si>
  <si>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</si>
  <si>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</si>
  <si>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</si>
  <si>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</si>
  <si>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</si>
  <si>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</si>
  <si>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</si>
  <si>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</si>
  <si>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</si>
  <si>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</si>
  <si>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</si>
  <si>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</si>
  <si>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</si>
  <si>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</si>
  <si>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</si>
  <si>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</si>
  <si>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</si>
  <si>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</si>
  <si>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</si>
  <si>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</si>
  <si>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</si>
  <si>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</si>
  <si>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</si>
  <si>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</si>
  <si>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</si>
  <si>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</si>
  <si>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</si>
  <si>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</si>
  <si>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</si>
  <si>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</si>
  <si>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</si>
  <si>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</si>
  <si>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</si>
  <si>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</si>
  <si>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</si>
  <si>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</si>
  <si>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</si>
  <si>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</si>
  <si>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</si>
  <si>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</si>
  <si>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</si>
  <si>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</si>
  <si>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</si>
  <si>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</si>
  <si>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</si>
  <si>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</si>
  <si>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</si>
  <si>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</si>
  <si>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</si>
  <si>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</si>
  <si>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</si>
  <si>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</si>
  <si>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</si>
  <si>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</si>
  <si>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</si>
  <si>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</si>
  <si>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</si>
  <si>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</si>
  <si>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</si>
  <si>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</si>
  <si>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</si>
  <si>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</si>
  <si>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</si>
  <si>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</si>
  <si>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</si>
  <si>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</si>
  <si>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</si>
  <si>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</si>
  <si>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</si>
  <si>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</si>
  <si>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</si>
  <si>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</si>
  <si>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</si>
  <si>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</si>
  <si>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</si>
  <si>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</si>
  <si>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</si>
  <si>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</si>
  <si>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</si>
  <si>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</si>
  <si>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</si>
  <si>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</si>
  <si>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</si>
  <si>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</si>
  <si>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</si>
  <si>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</si>
  <si>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</si>
  <si>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</si>
  <si>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</si>
  <si>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</si>
  <si>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</si>
  <si>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</si>
  <si>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</si>
  <si>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</si>
  <si>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</si>
  <si>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</si>
  <si>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</si>
  <si>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</si>
  <si>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</si>
  <si>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</si>
  <si>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</si>
  <si>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</si>
  <si>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</si>
  <si>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</si>
  <si>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</si>
  <si>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</si>
  <si>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</si>
  <si>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</si>
  <si>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</si>
  <si>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</si>
  <si>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</si>
  <si>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</si>
  <si>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</si>
  <si>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</si>
  <si>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</si>
  <si>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</si>
  <si>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</si>
  <si>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</si>
  <si>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</si>
  <si>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</si>
  <si>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</si>
  <si>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</si>
  <si>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</si>
  <si>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</si>
  <si>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</si>
  <si>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</si>
  <si>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</si>
  <si>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</si>
  <si>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</si>
  <si>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</si>
  <si>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</si>
  <si>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</si>
  <si>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</si>
  <si>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</si>
  <si>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</si>
  <si>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</si>
  <si>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</si>
  <si>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</si>
  <si>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</si>
  <si>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</si>
  <si>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</si>
  <si>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</si>
  <si>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</si>
  <si>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</si>
  <si>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</si>
  <si>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</si>
  <si>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</si>
  <si>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</si>
  <si>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</si>
  <si>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</si>
  <si>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</si>
  <si>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</si>
  <si>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</si>
  <si>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</si>
  <si>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</si>
  <si>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</si>
  <si>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</si>
  <si>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</si>
  <si>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</si>
  <si>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</si>
  <si>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</si>
  <si>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</si>
  <si>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</si>
  <si>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</si>
  <si>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</si>
  <si>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</si>
  <si>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</si>
  <si>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</si>
  <si>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</si>
  <si>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</si>
  <si>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</si>
  <si>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</si>
  <si>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</si>
  <si>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</si>
  <si>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</si>
  <si>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</si>
  <si>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</si>
  <si>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</si>
  <si>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</si>
  <si>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</si>
  <si>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</si>
  <si>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</si>
  <si>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</si>
  <si>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</si>
  <si>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</si>
  <si>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</si>
  <si>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</si>
  <si>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</si>
  <si>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</si>
  <si>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</si>
  <si>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</si>
  <si>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</si>
  <si>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</si>
  <si>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</si>
  <si>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</si>
  <si>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</si>
  <si>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</si>
  <si>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</si>
  <si>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</si>
  <si>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</si>
  <si>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</si>
  <si>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</si>
  <si>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</si>
  <si>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</si>
  <si>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</si>
  <si>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</si>
  <si>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</si>
  <si>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</si>
  <si>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</si>
  <si>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</si>
  <si>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</si>
  <si>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</si>
  <si>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</si>
  <si>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</si>
  <si>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</si>
  <si>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</si>
  <si>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</si>
  <si>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</si>
  <si>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</si>
  <si>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</si>
  <si>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</si>
  <si>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</si>
  <si>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</si>
  <si>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</si>
  <si>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</si>
  <si>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</si>
  <si>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</si>
  <si>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</si>
  <si>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</si>
  <si>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</si>
  <si>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</si>
  <si>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</si>
  <si>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</si>
  <si>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</si>
  <si>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</si>
  <si>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</si>
  <si>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</si>
  <si>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</si>
  <si>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</si>
  <si>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</si>
  <si>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</si>
  <si>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</si>
  <si>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</si>
  <si>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</si>
  <si>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</si>
  <si>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</si>
  <si>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</si>
  <si>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</si>
  <si>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</si>
  <si>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</si>
  <si>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</si>
  <si>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</si>
  <si>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</si>
  <si>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</si>
  <si>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</si>
  <si>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</si>
  <si>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</si>
  <si>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</si>
  <si>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</si>
  <si>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</si>
  <si>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</si>
  <si>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</si>
  <si>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</si>
  <si>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</si>
  <si>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</si>
  <si>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</si>
  <si>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</si>
  <si>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</si>
  <si>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</si>
  <si>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</si>
  <si>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</si>
  <si>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</si>
  <si>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</si>
  <si>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</si>
  <si>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</si>
  <si>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</si>
  <si>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</si>
  <si>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</si>
  <si>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</si>
  <si>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</si>
  <si>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</si>
  <si>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</si>
  <si>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</si>
  <si>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</si>
  <si>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</si>
  <si>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</si>
  <si>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</si>
  <si>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</si>
  <si>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</si>
  <si>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</si>
  <si>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</si>
  <si>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</si>
  <si>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</si>
  <si>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</si>
  <si>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</si>
  <si>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</si>
  <si>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</si>
  <si>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</si>
  <si>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</si>
  <si>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</si>
  <si>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</si>
  <si>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</si>
  <si>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</si>
  <si>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</si>
  <si>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</si>
  <si>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</si>
  <si>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</si>
  <si>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</si>
  <si>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</si>
  <si>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</si>
  <si>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</si>
  <si>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</si>
  <si>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</si>
  <si>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</si>
  <si>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</si>
  <si>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</si>
  <si>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</si>
  <si>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</si>
  <si>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</si>
  <si>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</si>
  <si>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</si>
  <si>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</si>
  <si>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</si>
  <si>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</si>
  <si>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</si>
  <si>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</si>
  <si>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</si>
  <si>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</si>
  <si>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</si>
  <si>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</si>
  <si>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</si>
  <si>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</si>
  <si>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</si>
  <si>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</si>
  <si>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</si>
  <si>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</si>
  <si>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</si>
  <si>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</si>
  <si>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</si>
  <si>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</si>
  <si>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</si>
  <si>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</si>
  <si>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</si>
  <si>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</si>
  <si>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</si>
  <si>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</si>
  <si>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</si>
  <si>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</si>
  <si>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</si>
  <si>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</si>
  <si>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</si>
  <si>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</si>
  <si>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</si>
  <si>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</si>
  <si>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</si>
  <si>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</si>
  <si>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</si>
  <si>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</si>
  <si>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</si>
  <si>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</si>
  <si>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</si>
  <si>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</si>
  <si>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</si>
  <si>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</si>
  <si>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</si>
  <si>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</si>
  <si>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</si>
  <si>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</si>
  <si>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</si>
  <si>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</si>
  <si>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</si>
  <si>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</si>
  <si>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</si>
  <si>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</si>
  <si>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</si>
  <si>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</si>
  <si>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</si>
  <si>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</si>
  <si>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</si>
  <si>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</si>
  <si>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</si>
  <si>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</si>
  <si>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</si>
  <si>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</si>
  <si>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</si>
  <si>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</si>
  <si>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</si>
  <si>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</si>
  <si>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</si>
  <si>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</si>
  <si>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</si>
  <si>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</si>
  <si>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</si>
  <si>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</si>
  <si>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</si>
  <si>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</si>
  <si>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</si>
  <si>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</si>
  <si>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</si>
  <si>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</si>
  <si>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</si>
  <si>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</si>
  <si>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</si>
  <si>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</si>
  <si>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</si>
  <si>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</si>
  <si>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</si>
  <si>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</si>
  <si>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</si>
  <si>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</si>
  <si>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</si>
  <si>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</si>
  <si>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</si>
  <si>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</si>
  <si>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</si>
  <si>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</si>
  <si>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</si>
  <si>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</si>
  <si>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</si>
  <si>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</si>
  <si>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</si>
  <si>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</si>
  <si>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</si>
  <si>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</si>
  <si>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</si>
  <si>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</si>
  <si>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</si>
  <si>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</si>
  <si>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</si>
  <si>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</si>
  <si>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</si>
  <si>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</si>
  <si>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</si>
  <si>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</si>
  <si>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</si>
  <si>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</si>
  <si>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</si>
  <si>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</si>
  <si>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</si>
  <si>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</si>
  <si>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</si>
  <si>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</si>
  <si>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</si>
  <si>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</si>
  <si>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</si>
  <si>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</si>
  <si>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</si>
  <si>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</si>
  <si>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</si>
  <si>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</si>
  <si>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</si>
  <si>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</si>
  <si>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</si>
  <si>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</si>
  <si>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</si>
  <si>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</si>
  <si>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</si>
  <si>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</si>
  <si>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</si>
  <si>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</si>
  <si>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</si>
  <si>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</si>
  <si>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</si>
  <si>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</si>
  <si>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</si>
  <si>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</si>
  <si>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</si>
  <si>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</si>
  <si>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</si>
  <si>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</si>
  <si>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</si>
  <si>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</si>
  <si>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</si>
  <si>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</si>
  <si>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</si>
  <si>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</si>
  <si>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</si>
  <si>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</si>
  <si>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</si>
  <si>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</si>
  <si>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</si>
  <si>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</si>
  <si>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</si>
  <si>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</si>
  <si>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</si>
  <si>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</si>
  <si>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</si>
  <si>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</si>
  <si>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</si>
  <si>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</si>
  <si>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</si>
  <si>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</si>
  <si>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</si>
  <si>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</si>
  <si>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</si>
  <si>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</si>
  <si>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</si>
  <si>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</si>
  <si>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</si>
  <si>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</si>
  <si>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</si>
  <si>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</si>
  <si>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</si>
  <si>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</si>
  <si>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</si>
  <si>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</si>
  <si>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</si>
  <si>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</si>
  <si>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</si>
  <si>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</si>
  <si>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</si>
  <si>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</si>
  <si>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</si>
  <si>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</si>
  <si>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</si>
  <si>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</si>
  <si>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</si>
  <si>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</si>
  <si>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</si>
  <si>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</si>
  <si>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</si>
  <si>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</si>
  <si>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</si>
  <si>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</si>
  <si>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</si>
  <si>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</si>
  <si>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</si>
  <si>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</si>
  <si>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</si>
  <si>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</si>
  <si>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</si>
  <si>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</si>
  <si>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</si>
  <si>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</si>
  <si>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</si>
  <si>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</si>
  <si>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</si>
  <si>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</si>
  <si>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</si>
  <si>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</si>
  <si>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</si>
  <si>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</si>
  <si>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</si>
  <si>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</si>
  <si>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</si>
  <si>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</si>
  <si>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</si>
  <si>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</si>
  <si>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</si>
  <si>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</si>
  <si>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</si>
  <si>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</si>
  <si>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</si>
  <si>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</si>
  <si>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</si>
  <si>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</si>
  <si>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</si>
  <si>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</si>
  <si>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</si>
  <si>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</si>
  <si>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</si>
  <si>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</si>
  <si>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</si>
  <si>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</si>
  <si>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</si>
  <si>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</si>
  <si>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</si>
  <si>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</si>
  <si>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</si>
  <si>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</si>
  <si>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</si>
  <si>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</si>
  <si>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</si>
  <si>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</si>
  <si>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</si>
  <si>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</si>
  <si>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</si>
  <si>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</si>
  <si>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</si>
  <si>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</si>
  <si>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</si>
  <si>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</si>
  <si>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</si>
  <si>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</si>
  <si>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</si>
  <si>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</si>
  <si>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</si>
  <si>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</si>
  <si>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</si>
  <si>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</si>
  <si>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</si>
  <si>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</si>
  <si>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</si>
  <si>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</si>
  <si>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</si>
  <si>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</si>
  <si>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</si>
  <si>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</si>
  <si>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</si>
  <si>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</si>
  <si>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</si>
  <si>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</si>
  <si>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</si>
  <si>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</si>
  <si>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</si>
  <si>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</si>
  <si>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</si>
  <si>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</si>
  <si>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</si>
  <si>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</si>
  <si>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</si>
  <si>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</si>
  <si>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</si>
  <si>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</si>
  <si>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</si>
  <si>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</si>
  <si>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</si>
  <si>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</si>
  <si>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</si>
  <si>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</si>
  <si>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</si>
  <si>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</si>
  <si>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</si>
  <si>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</si>
  <si>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</si>
  <si>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</si>
  <si>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</si>
  <si>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</si>
  <si>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</si>
  <si>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</si>
  <si>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</si>
  <si>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</si>
  <si>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</si>
  <si>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</si>
  <si>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</si>
  <si>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</si>
  <si>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</si>
  <si>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</si>
  <si>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</si>
  <si>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</si>
  <si>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</si>
  <si>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</si>
  <si>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</si>
  <si>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</si>
  <si>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</si>
  <si>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</si>
  <si>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</si>
  <si>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</si>
  <si>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</si>
  <si>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</si>
  <si>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</si>
  <si>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</si>
  <si>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</si>
  <si>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</si>
  <si>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</si>
  <si>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</si>
  <si>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</si>
  <si>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</si>
  <si>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</si>
  <si>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</si>
  <si>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</si>
  <si>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</si>
  <si>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</si>
  <si>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</si>
  <si>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</si>
  <si>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</si>
  <si>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</si>
  <si>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</si>
  <si>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</si>
  <si>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</si>
  <si>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</si>
  <si>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</si>
  <si>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</si>
  <si>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</si>
  <si>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</si>
  <si>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</si>
  <si>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</si>
  <si>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</si>
  <si>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</si>
  <si>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</si>
  <si>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</si>
  <si>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</si>
  <si>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</si>
  <si>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</si>
  <si>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</si>
  <si>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</si>
  <si>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</si>
  <si>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</si>
  <si>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</si>
  <si>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</si>
  <si>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</si>
  <si>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</si>
  <si>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</si>
  <si>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</si>
  <si>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</si>
  <si>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</si>
  <si>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</si>
  <si>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</si>
  <si>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</si>
  <si>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</si>
  <si>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</si>
  <si>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</si>
  <si>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</si>
  <si>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</si>
  <si>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</si>
  <si>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</si>
  <si>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</si>
  <si>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</si>
  <si>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</si>
  <si>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</si>
  <si>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</si>
  <si>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</si>
  <si>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</si>
  <si>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</si>
  <si>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</si>
  <si>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</si>
  <si>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</si>
  <si>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</si>
  <si>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</si>
  <si>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</si>
  <si>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</si>
  <si>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</si>
  <si>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</si>
  <si>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</si>
  <si>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</si>
  <si>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</si>
  <si>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</si>
  <si>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</si>
  <si>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</si>
  <si>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</si>
  <si>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</si>
  <si>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</si>
  <si>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</si>
  <si>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</si>
  <si>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</si>
  <si>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</si>
  <si>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</si>
  <si>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</si>
  <si>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</si>
  <si>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</si>
  <si>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</si>
  <si>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</si>
  <si>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</si>
  <si>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</si>
  <si>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</si>
  <si>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</si>
  <si>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</si>
  <si>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</si>
  <si>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</si>
  <si>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</si>
  <si>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</si>
  <si>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</si>
  <si>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</si>
  <si>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</si>
  <si>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</si>
  <si>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</si>
  <si>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</si>
  <si>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</si>
  <si>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</si>
  <si>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</si>
  <si>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</si>
  <si>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</si>
  <si>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</si>
  <si>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</si>
  <si>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</si>
  <si>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</si>
  <si>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</si>
  <si>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</si>
  <si>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</si>
  <si>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</si>
  <si>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</si>
  <si>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</si>
  <si>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</si>
  <si>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</si>
  <si>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</si>
  <si>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</si>
  <si>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</si>
  <si>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</si>
  <si>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</si>
  <si>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</si>
  <si>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</si>
  <si>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</si>
  <si>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</si>
  <si>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</si>
  <si>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</si>
  <si>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</si>
  <si>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</si>
  <si>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</si>
  <si>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</si>
  <si>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</si>
  <si>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</si>
  <si>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</si>
  <si>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</si>
  <si>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</si>
  <si>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</si>
  <si>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</si>
  <si>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</si>
  <si>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</si>
  <si>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</si>
  <si>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</si>
  <si>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</si>
  <si>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</si>
  <si>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</si>
  <si>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</si>
  <si>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</si>
  <si>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</si>
  <si>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</si>
  <si>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</si>
  <si>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</si>
  <si>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</si>
  <si>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</si>
  <si>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</si>
  <si>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</si>
  <si>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</si>
  <si>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</si>
  <si>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</si>
  <si>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</si>
  <si>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</si>
  <si>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</si>
  <si>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</si>
  <si>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</si>
  <si>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</si>
  <si>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</si>
  <si>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</si>
  <si>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</si>
  <si>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</si>
  <si>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</si>
  <si>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</si>
  <si>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</si>
  <si>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</si>
  <si>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</si>
  <si>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</si>
  <si>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</si>
  <si>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</si>
  <si>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</si>
  <si>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</si>
  <si>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</si>
  <si>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</si>
  <si>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</si>
  <si>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</si>
  <si>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</si>
  <si>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</si>
  <si>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</si>
  <si>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</si>
  <si>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</si>
  <si>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</si>
  <si>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</si>
  <si>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</si>
  <si>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</si>
  <si>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</si>
  <si>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</si>
  <si>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</si>
  <si>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</si>
  <si>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</si>
  <si>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</si>
  <si>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</si>
  <si>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</si>
  <si>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</si>
  <si>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</si>
  <si>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</si>
  <si>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</si>
  <si>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</si>
  <si>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</si>
  <si>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</si>
  <si>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</si>
  <si>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</si>
  <si>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</si>
  <si>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</si>
  <si>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</si>
  <si>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</si>
  <si>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</si>
  <si>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</si>
  <si>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</si>
  <si>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</si>
  <si>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</si>
  <si>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</si>
  <si>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</si>
  <si>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</si>
  <si>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</si>
  <si>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</si>
  <si>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</si>
  <si>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</si>
  <si>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</si>
  <si>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</si>
  <si>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</si>
  <si>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</si>
  <si>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</si>
  <si>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</si>
  <si>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</si>
  <si>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</si>
  <si>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</si>
  <si>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</si>
  <si>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</si>
  <si>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</si>
  <si>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</si>
  <si>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</si>
  <si>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</si>
  <si>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</si>
  <si>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</si>
  <si>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</si>
  <si>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</si>
  <si>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</si>
  <si>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</si>
  <si>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</si>
  <si>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</si>
  <si>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</si>
  <si>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</si>
  <si>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</si>
  <si>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</si>
  <si>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</si>
  <si>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</si>
  <si>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</si>
  <si>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</si>
  <si>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</si>
  <si>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</si>
  <si>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</si>
  <si>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</si>
  <si>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</si>
  <si>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</si>
  <si>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</si>
  <si>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</si>
  <si>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</si>
  <si>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</si>
  <si>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</si>
  <si>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</si>
  <si>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</si>
  <si>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</si>
  <si>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</si>
  <si>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</si>
  <si>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</si>
  <si>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</si>
  <si>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</si>
  <si>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</si>
  <si>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</si>
  <si>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</si>
  <si>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</si>
  <si>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</si>
  <si>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</si>
  <si>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</si>
  <si>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</si>
  <si>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</si>
  <si>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</si>
  <si>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</si>
  <si>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</si>
  <si>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</si>
  <si>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</si>
  <si>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</si>
  <si>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</si>
  <si>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</si>
  <si>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</si>
  <si>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</si>
  <si>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</si>
  <si>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</si>
  <si>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</si>
  <si>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</si>
  <si>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</si>
  <si>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</si>
  <si>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</si>
  <si>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</si>
  <si>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</si>
  <si>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</si>
  <si>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</si>
  <si>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</si>
  <si>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</si>
  <si>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</si>
  <si>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</si>
  <si>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</si>
  <si>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</si>
  <si>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</si>
  <si>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</si>
  <si>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</si>
  <si>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</si>
  <si>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</si>
  <si>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</si>
  <si>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</si>
  <si>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</si>
  <si>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</si>
  <si>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</si>
  <si>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</si>
  <si>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</si>
  <si>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</si>
  <si>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</si>
  <si>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</si>
  <si>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</si>
  <si>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</si>
  <si>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</si>
  <si>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</si>
  <si>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</si>
  <si>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</si>
  <si>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</si>
  <si>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</si>
  <si>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</si>
  <si>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</si>
  <si>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</si>
  <si>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</si>
  <si>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</si>
  <si>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</si>
  <si>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</si>
  <si>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</si>
  <si>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</si>
  <si>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</si>
  <si>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</si>
  <si>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</si>
  <si>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</si>
  <si>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</si>
  <si>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</si>
  <si>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</si>
  <si>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</si>
  <si>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</si>
  <si>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</si>
  <si>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</si>
  <si>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</si>
  <si>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</si>
  <si>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</si>
  <si>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</si>
  <si>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</si>
  <si>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</si>
  <si>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</si>
  <si>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</si>
  <si>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</si>
  <si>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</si>
  <si>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</si>
  <si>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</si>
  <si>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</si>
  <si>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</si>
  <si>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</si>
  <si>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</si>
  <si>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</si>
  <si>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</si>
  <si>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</si>
  <si>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</si>
  <si>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</si>
  <si>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</si>
  <si>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</si>
  <si>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</si>
  <si>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</si>
  <si>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</si>
  <si>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</si>
  <si>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</si>
  <si>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</si>
  <si>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</si>
  <si>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</si>
  <si>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</si>
  <si>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</si>
  <si>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</si>
  <si>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</si>
  <si>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</si>
  <si>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</si>
  <si>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</si>
  <si>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</si>
  <si>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</si>
  <si>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</si>
  <si>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</si>
  <si>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</si>
  <si>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</si>
  <si>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</si>
  <si>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</si>
  <si>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</si>
  <si>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</si>
  <si>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</si>
  <si>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</si>
  <si>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</si>
  <si>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</si>
  <si>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</si>
  <si>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</si>
  <si>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</si>
  <si>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</si>
  <si>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</si>
  <si>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</si>
  <si>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</si>
  <si>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</si>
  <si>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</si>
  <si>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</si>
  <si>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</si>
  <si>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</si>
  <si>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</si>
  <si>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</si>
  <si>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</si>
  <si>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</si>
  <si>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</si>
  <si>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</si>
  <si>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</si>
  <si>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</si>
  <si>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</si>
  <si>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</si>
  <si>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</si>
  <si>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</si>
  <si>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</si>
  <si>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</si>
  <si>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</si>
  <si>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</si>
  <si>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</si>
  <si>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</si>
  <si>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</si>
  <si>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</si>
  <si>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</si>
  <si>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</si>
  <si>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</si>
  <si>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</si>
  <si>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</si>
  <si>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</si>
  <si>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</si>
  <si>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</si>
  <si>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</si>
  <si>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</si>
  <si>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</si>
  <si>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</si>
  <si>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</si>
  <si>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</si>
  <si>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</si>
  <si>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</si>
  <si>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</si>
  <si>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</si>
  <si>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</si>
  <si>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</si>
  <si>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</si>
  <si>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</si>
  <si>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</si>
  <si>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</si>
  <si>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</si>
  <si>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</si>
  <si>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</si>
  <si>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</si>
  <si>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</si>
  <si>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</si>
  <si>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</si>
  <si>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</si>
  <si>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</si>
  <si>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</si>
  <si>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</si>
  <si>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</si>
  <si>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</si>
  <si>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</si>
  <si>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</si>
  <si>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</si>
  <si>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</si>
  <si>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</si>
  <si>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</si>
  <si>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</si>
  <si>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</si>
  <si>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</si>
  <si>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</si>
  <si>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</si>
  <si>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</si>
  <si>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</si>
  <si>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</si>
  <si>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</si>
  <si>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</si>
  <si>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</si>
  <si>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</si>
  <si>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</si>
  <si>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</si>
  <si>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</si>
  <si>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</si>
  <si>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</si>
  <si>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</si>
  <si>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</si>
  <si>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</si>
  <si>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</si>
  <si>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</si>
  <si>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</si>
  <si>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</si>
  <si>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</si>
  <si>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</si>
  <si>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</si>
  <si>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</si>
  <si>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</si>
  <si>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</si>
  <si>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</si>
  <si>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</si>
  <si>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</si>
  <si>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</si>
  <si>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</si>
  <si>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</si>
  <si>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</si>
  <si>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</si>
  <si>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</si>
  <si>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</si>
  <si>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</si>
  <si>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</si>
  <si>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</si>
  <si>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</si>
  <si>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</si>
  <si>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</si>
  <si>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</si>
  <si>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</si>
  <si>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</si>
  <si>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</si>
  <si>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</si>
  <si>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</si>
  <si>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</si>
  <si>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</si>
  <si>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</si>
  <si>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</si>
  <si>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</si>
  <si>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</si>
  <si>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</si>
  <si>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</si>
  <si>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</si>
  <si>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</si>
  <si>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</si>
  <si>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</si>
  <si>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</si>
  <si>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</si>
  <si>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</si>
  <si>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</si>
  <si>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</si>
  <si>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</si>
  <si>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</si>
  <si>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</si>
  <si>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</si>
  <si>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</si>
  <si>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</si>
  <si>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</si>
  <si>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</si>
  <si>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</si>
  <si>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</si>
  <si>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</si>
  <si>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</si>
  <si>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</si>
  <si>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</si>
  <si>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</si>
  <si>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</si>
  <si>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</si>
  <si>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</si>
  <si>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</si>
  <si>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</si>
  <si>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</si>
  <si>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</si>
  <si>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</si>
  <si>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</si>
  <si>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</si>
  <si>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</si>
  <si>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</si>
  <si>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</si>
  <si>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</si>
  <si>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</si>
  <si>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</si>
  <si>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</si>
  <si>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</si>
  <si>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</si>
  <si>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</si>
  <si>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</si>
  <si>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</si>
  <si>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</si>
  <si>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</si>
  <si>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</si>
  <si>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</si>
  <si>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</si>
  <si>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</si>
  <si>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</si>
  <si>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</si>
  <si>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</si>
  <si>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</si>
  <si>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</si>
  <si>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</si>
  <si>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</si>
  <si>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</si>
  <si>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</si>
  <si>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</si>
  <si>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</si>
  <si>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</si>
  <si>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</si>
  <si>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</si>
  <si>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</si>
  <si>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</si>
  <si>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</si>
  <si>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</si>
  <si>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</si>
  <si>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</si>
  <si>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</si>
  <si>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</si>
  <si>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</si>
  <si>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</si>
  <si>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</si>
  <si>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</si>
  <si>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</si>
  <si>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</si>
  <si>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</si>
  <si>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</si>
  <si>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</si>
  <si>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</si>
  <si>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</si>
  <si>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</si>
  <si>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</si>
  <si>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</si>
  <si>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</si>
  <si>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</si>
  <si>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</si>
  <si>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</si>
  <si>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</si>
  <si>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</si>
  <si>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</si>
  <si>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</si>
  <si>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</si>
  <si>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</si>
  <si>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</si>
  <si>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</si>
  <si>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</si>
  <si>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</si>
  <si>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</si>
  <si>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</si>
  <si>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</si>
  <si>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</si>
  <si>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</si>
  <si>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</si>
  <si>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</si>
  <si>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</si>
  <si>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</si>
  <si>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</si>
  <si>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</si>
  <si>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</si>
  <si>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</si>
  <si>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</si>
  <si>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</si>
  <si>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</si>
  <si>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</si>
  <si>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</si>
  <si>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</si>
  <si>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</si>
  <si>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</si>
  <si>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</si>
  <si>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</si>
  <si>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</si>
  <si>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</si>
  <si>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</si>
  <si>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</si>
  <si>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</si>
  <si>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</si>
  <si>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</si>
  <si>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</si>
  <si>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</si>
  <si>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</si>
  <si>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</si>
  <si>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</si>
  <si>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</si>
  <si>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</si>
  <si>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</si>
  <si>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</si>
  <si>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</si>
  <si>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</si>
  <si>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</si>
  <si>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</si>
  <si>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</si>
  <si>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</si>
  <si>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</si>
  <si>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</si>
  <si>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</si>
  <si>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</si>
  <si>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</si>
  <si>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</si>
  <si>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</si>
  <si>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</si>
  <si>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</si>
  <si>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</si>
  <si>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</si>
  <si>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</si>
  <si>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</si>
  <si>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</si>
  <si>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</si>
  <si>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</si>
  <si>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</si>
  <si>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</si>
  <si>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</si>
  <si>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</si>
  <si>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</si>
  <si>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</si>
  <si>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</si>
  <si>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</si>
  <si>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</si>
  <si>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</si>
  <si>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</si>
  <si>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</si>
  <si>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</si>
  <si>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</si>
  <si>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</si>
  <si>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</si>
  <si>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</si>
  <si>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</si>
  <si>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</si>
  <si>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</si>
  <si>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</si>
  <si>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</si>
  <si>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</si>
  <si>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</si>
  <si>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</si>
  <si>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</si>
  <si>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</si>
  <si>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</si>
  <si>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</si>
  <si>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</si>
  <si>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</si>
  <si>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</si>
  <si>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</si>
  <si>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</si>
  <si>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</si>
  <si>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</si>
  <si>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</si>
  <si>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</si>
  <si>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</si>
  <si>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</si>
  <si>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</si>
  <si>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</si>
  <si>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</si>
  <si>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</si>
  <si>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</si>
  <si>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</si>
  <si>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</si>
  <si>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</si>
  <si>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</si>
  <si>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</si>
  <si>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</si>
  <si>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</si>
  <si>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</si>
  <si>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</si>
  <si>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</si>
  <si>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</si>
  <si>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</si>
  <si>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</si>
  <si>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</si>
  <si>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</si>
  <si>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</si>
  <si>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</si>
  <si>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</si>
  <si>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</si>
  <si>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</si>
  <si>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</si>
  <si>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</si>
  <si>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</si>
  <si>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</si>
  <si>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</si>
  <si>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</si>
  <si>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</si>
  <si>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</si>
  <si>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</si>
  <si>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</si>
  <si>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</si>
  <si>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</si>
  <si>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</si>
  <si>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</si>
  <si>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</si>
  <si>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</si>
  <si>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</si>
  <si>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</si>
  <si>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</si>
  <si>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</si>
  <si>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</si>
  <si>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</si>
  <si>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</si>
  <si>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</si>
  <si>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</si>
  <si>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</si>
  <si>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</si>
  <si>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</si>
  <si>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</si>
  <si>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</si>
  <si>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</si>
  <si>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</si>
  <si>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</si>
  <si>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</si>
  <si>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</si>
  <si>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</si>
  <si>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</si>
  <si>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</si>
  <si>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</si>
  <si>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</si>
  <si>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</si>
  <si>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</si>
  <si>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</si>
  <si>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</si>
  <si>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</si>
  <si>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</si>
  <si>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</si>
  <si>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</si>
  <si>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</si>
  <si>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</si>
  <si>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</si>
  <si>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</si>
  <si>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</si>
  <si>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</si>
  <si>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</si>
  <si>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</si>
  <si>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</si>
  <si>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</si>
  <si>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</si>
  <si>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</si>
  <si>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</si>
  <si>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</si>
  <si>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</si>
  <si>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</si>
  <si>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</si>
  <si>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</si>
  <si>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</si>
  <si>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</si>
  <si>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</si>
  <si>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</si>
  <si>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</si>
  <si>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</si>
  <si>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</si>
  <si>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</si>
  <si>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</si>
  <si>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</si>
  <si>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</si>
  <si>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</si>
  <si>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</si>
  <si>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</si>
  <si>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</si>
  <si>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</si>
  <si>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</si>
  <si>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</si>
  <si>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</si>
  <si>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</si>
  <si>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</si>
  <si>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</si>
  <si>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</si>
  <si>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</si>
  <si>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</si>
  <si>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</si>
  <si>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</si>
  <si>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</si>
  <si>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</si>
  <si>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</si>
  <si>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</si>
  <si>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</si>
  <si>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</si>
  <si>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</si>
  <si>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</si>
  <si>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</si>
  <si>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</si>
  <si>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</si>
  <si>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</si>
  <si>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</si>
  <si>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</si>
  <si>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</si>
  <si>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</si>
  <si>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</si>
  <si>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</si>
  <si>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</si>
  <si>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</si>
  <si>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</si>
  <si>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</si>
  <si>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</si>
  <si>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</si>
  <si>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</si>
  <si>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</si>
  <si>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</si>
  <si>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</si>
  <si>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</si>
  <si>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</si>
  <si>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</si>
  <si>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</si>
  <si>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</si>
  <si>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</si>
  <si>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</si>
  <si>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</si>
  <si>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</si>
  <si>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</si>
  <si>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</si>
  <si>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</si>
  <si>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</si>
  <si>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</si>
  <si>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</si>
  <si>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</si>
  <si>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</si>
  <si>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</si>
  <si>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</si>
  <si>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</si>
  <si>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</si>
  <si>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</si>
  <si>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</si>
  <si>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</si>
  <si>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</si>
  <si>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</si>
  <si>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</si>
  <si>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</si>
  <si>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</si>
  <si>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</si>
  <si>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</si>
  <si>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</si>
  <si>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</si>
  <si>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</si>
  <si>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</si>
  <si>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</si>
  <si>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</si>
  <si>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</si>
  <si>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</si>
  <si>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</si>
  <si>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</si>
  <si>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</si>
  <si>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</si>
  <si>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</si>
  <si>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</si>
  <si>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</si>
  <si>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</si>
  <si>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</si>
  <si>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</si>
  <si>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</si>
  <si>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</si>
  <si>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</si>
  <si>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</si>
  <si>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</si>
  <si>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</si>
  <si>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</si>
  <si>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</si>
  <si>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</si>
  <si>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</si>
  <si>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</si>
  <si>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</si>
  <si>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</si>
  <si>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</si>
  <si>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</si>
  <si>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</si>
  <si>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</si>
  <si>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</si>
  <si>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</si>
  <si>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</si>
  <si>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</si>
  <si>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</si>
  <si>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</si>
  <si>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</si>
  <si>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</si>
  <si>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</si>
  <si>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</si>
  <si>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</si>
  <si>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</si>
  <si>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</si>
  <si>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</si>
  <si>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</si>
  <si>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</si>
  <si>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</si>
  <si>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</si>
  <si>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</si>
  <si>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</si>
  <si>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</si>
  <si>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</si>
  <si>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</si>
  <si>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</si>
  <si>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</si>
  <si>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</si>
  <si>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</si>
  <si>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</si>
  <si>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</si>
  <si>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</si>
  <si>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</si>
  <si>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</si>
  <si>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</si>
  <si>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</si>
  <si>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</si>
  <si>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</si>
  <si>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</si>
  <si>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</si>
  <si>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</si>
  <si>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</si>
  <si>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</si>
  <si>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</si>
  <si>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</si>
  <si>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</si>
  <si>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</si>
  <si>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</si>
  <si>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</si>
  <si>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</si>
  <si>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</si>
  <si>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</si>
  <si>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</si>
  <si>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</si>
  <si>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</si>
  <si>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</si>
  <si>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</si>
  <si>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</si>
  <si>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</si>
  <si>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</si>
  <si>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</si>
  <si>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</si>
  <si>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</si>
  <si>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</si>
  <si>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</si>
  <si>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</si>
  <si>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</si>
  <si>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</si>
  <si>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</si>
  <si>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</si>
  <si>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</si>
  <si>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</si>
  <si>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</si>
  <si>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</si>
  <si>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</si>
  <si>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</si>
  <si>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</si>
  <si>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</si>
  <si>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</si>
  <si>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</si>
  <si>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</si>
  <si>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</si>
  <si>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</si>
  <si>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</si>
  <si>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</si>
  <si>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</si>
  <si>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</si>
  <si>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</si>
  <si>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</si>
  <si>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</si>
  <si>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</si>
  <si>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</si>
  <si>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</si>
  <si>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</si>
  <si>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</si>
  <si>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</si>
  <si>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</si>
  <si>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</si>
  <si>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</si>
  <si>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</si>
  <si>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</si>
  <si>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</si>
  <si>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</si>
  <si>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</si>
  <si>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</si>
  <si>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</si>
  <si>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</si>
  <si>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</si>
  <si>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</si>
  <si>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</si>
  <si>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</si>
  <si>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</si>
  <si>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</si>
  <si>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</si>
  <si>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</si>
  <si>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</si>
  <si>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</si>
  <si>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</si>
  <si>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</si>
  <si>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</si>
  <si>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</si>
  <si>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</si>
  <si>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</si>
  <si>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</si>
  <si>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</si>
  <si>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</si>
  <si>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</si>
  <si>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</si>
  <si>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</si>
  <si>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</si>
  <si>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</si>
  <si>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</si>
  <si>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</si>
  <si>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</si>
  <si>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</si>
  <si>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</si>
  <si>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</si>
  <si>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</si>
  <si>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</si>
  <si>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</si>
  <si>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</si>
  <si>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</si>
  <si>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</si>
  <si>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</si>
  <si>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</si>
  <si>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</si>
  <si>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</si>
  <si>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</si>
  <si>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</si>
  <si>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</si>
  <si>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</si>
  <si>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</si>
  <si>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</si>
  <si>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</si>
  <si>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</si>
  <si>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</si>
  <si>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</si>
  <si>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</si>
  <si>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</si>
  <si>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</si>
  <si>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</si>
  <si>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</si>
  <si>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</si>
  <si>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</si>
  <si>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</si>
  <si>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</si>
  <si>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</si>
  <si>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</si>
  <si>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</si>
  <si>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</si>
  <si>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</si>
  <si>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</si>
  <si>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</si>
  <si>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</si>
  <si>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</si>
  <si>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</si>
  <si>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</si>
  <si>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</si>
  <si>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</si>
  <si>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</si>
  <si>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</si>
  <si>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</si>
  <si>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</si>
  <si>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</si>
  <si>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</si>
  <si>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</si>
  <si>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</si>
  <si>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</si>
  <si>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</si>
  <si>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</si>
  <si>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</si>
  <si>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</si>
  <si>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</si>
  <si>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</si>
  <si>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</si>
  <si>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</si>
  <si>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</si>
  <si>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</si>
  <si>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</si>
  <si>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</si>
  <si>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</si>
  <si>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</si>
  <si>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</si>
  <si>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</si>
  <si>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</si>
  <si>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</si>
  <si>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</si>
  <si>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</si>
  <si>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</si>
  <si>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</si>
  <si>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</si>
  <si>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</si>
  <si>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</si>
  <si>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</si>
  <si>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</si>
  <si>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</si>
  <si>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</si>
  <si>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</si>
  <si>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</si>
  <si>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</si>
  <si>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</si>
  <si>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</si>
  <si>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</si>
  <si>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</si>
  <si>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</si>
  <si>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</si>
  <si>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</si>
  <si>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</si>
  <si>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</si>
  <si>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</si>
  <si>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</si>
  <si>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</si>
  <si>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</si>
  <si>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</si>
  <si>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</si>
  <si>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</si>
  <si>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</si>
  <si>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</si>
  <si>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</si>
  <si>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</si>
  <si>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</si>
  <si>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</si>
  <si>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</si>
  <si>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</si>
  <si>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</si>
  <si>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</si>
  <si>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</si>
  <si>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</si>
  <si>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</si>
  <si>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</si>
  <si>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</si>
  <si>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</si>
  <si>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</si>
  <si>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</si>
  <si>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</si>
  <si>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</si>
  <si>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</si>
  <si>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</si>
  <si>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</si>
  <si>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</si>
  <si>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</si>
  <si>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</si>
  <si>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</si>
  <si>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</si>
  <si>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</si>
  <si>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</si>
  <si>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</si>
  <si>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</si>
  <si>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</si>
  <si>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</si>
  <si>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</si>
  <si>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</si>
  <si>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</si>
  <si>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</si>
  <si>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</si>
  <si>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</si>
  <si>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</si>
  <si>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</si>
  <si>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</si>
  <si>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</si>
  <si>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</si>
  <si>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</si>
  <si>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</si>
  <si>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</si>
  <si>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</si>
  <si>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</si>
  <si>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</si>
  <si>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</si>
  <si>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</si>
  <si>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</si>
  <si>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</si>
  <si>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</si>
  <si>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</si>
  <si>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</si>
  <si>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</si>
  <si>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</si>
  <si>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</si>
  <si>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</si>
  <si>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</si>
  <si>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</si>
  <si>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</si>
  <si>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</si>
  <si>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</si>
  <si>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</si>
  <si>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</si>
  <si>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</si>
  <si>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</si>
  <si>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</si>
  <si>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</si>
  <si>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</si>
  <si>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</si>
  <si>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</si>
  <si>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</si>
  <si>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</si>
  <si>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</si>
  <si>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</si>
  <si>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</si>
  <si>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</si>
  <si>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</si>
  <si>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</si>
  <si>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</si>
  <si>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</si>
  <si>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</si>
  <si>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</si>
  <si>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</si>
  <si>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</si>
  <si>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</si>
  <si>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</si>
  <si>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</si>
  <si>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</si>
  <si>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</si>
  <si>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</si>
  <si>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</si>
  <si>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</si>
  <si>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</si>
  <si>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</si>
  <si>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</si>
  <si>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</si>
  <si>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</si>
  <si>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</si>
  <si>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</si>
  <si>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</si>
  <si>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</si>
  <si>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</si>
  <si>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</si>
  <si>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</si>
  <si>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</si>
  <si>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</si>
  <si>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</si>
  <si>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</si>
  <si>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</si>
  <si>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</si>
  <si>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</si>
  <si>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</si>
  <si>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</si>
  <si>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</si>
  <si>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</si>
  <si>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</si>
  <si>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</si>
  <si>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</si>
  <si>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</si>
  <si>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</si>
  <si>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</si>
  <si>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</si>
  <si>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</si>
  <si>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</si>
  <si>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</si>
  <si>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</si>
  <si>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</si>
  <si>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</si>
  <si>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</si>
  <si>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</si>
  <si>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</si>
  <si>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</si>
  <si>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</si>
  <si>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</si>
  <si>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</si>
  <si>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</si>
  <si>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</si>
  <si>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</si>
  <si>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</si>
  <si>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</si>
  <si>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</si>
  <si>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</si>
  <si>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</si>
  <si>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</si>
  <si>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</si>
  <si>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</si>
  <si>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</si>
  <si>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</si>
  <si>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</si>
  <si>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</si>
  <si>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</si>
  <si>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</si>
  <si>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</si>
  <si>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</si>
  <si>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</si>
  <si>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</si>
  <si>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</si>
  <si>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</si>
  <si>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</si>
  <si>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</si>
  <si>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</si>
  <si>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</si>
  <si>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</si>
  <si>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</si>
  <si>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</si>
  <si>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</si>
  <si>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</si>
  <si>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</si>
  <si>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</si>
  <si>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</si>
  <si>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</si>
  <si>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</si>
  <si>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</si>
  <si>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</si>
  <si>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</si>
  <si>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</si>
  <si>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</si>
  <si>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</si>
  <si>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</si>
  <si>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</si>
  <si>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</si>
  <si>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</si>
  <si>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</si>
  <si>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</si>
  <si>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</si>
  <si>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</si>
  <si>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</si>
  <si>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</si>
  <si>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</si>
  <si>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</si>
  <si>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</si>
  <si>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</si>
  <si>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</si>
  <si>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</si>
  <si>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</si>
  <si>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</si>
  <si>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</si>
  <si>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</si>
  <si>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</si>
  <si>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</si>
  <si>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</si>
  <si>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</si>
  <si>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</si>
  <si>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</si>
  <si>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</si>
  <si>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</si>
  <si>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</si>
  <si>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</si>
  <si>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</si>
  <si>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</si>
  <si>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</si>
  <si>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</si>
  <si>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</si>
  <si>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</si>
  <si>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</si>
  <si>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</si>
  <si>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</si>
  <si>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</si>
  <si>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</si>
  <si>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</si>
  <si>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</si>
  <si>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</si>
  <si>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</si>
  <si>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</si>
  <si>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</si>
  <si>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</si>
  <si>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</si>
  <si>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</si>
  <si>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</si>
  <si>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</si>
  <si>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</si>
  <si>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</si>
  <si>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</si>
  <si>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</si>
  <si>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</si>
  <si>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</si>
  <si>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</si>
  <si>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</si>
  <si>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</si>
  <si>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</si>
  <si>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</si>
  <si>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</si>
  <si>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</si>
  <si>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</si>
  <si>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</si>
  <si>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</si>
  <si>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</si>
  <si>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</si>
  <si>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</si>
  <si>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</si>
  <si>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</si>
  <si>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</si>
  <si>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</si>
  <si>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</si>
  <si>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</si>
  <si>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</si>
  <si>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</si>
  <si>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</si>
  <si>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</si>
  <si>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</si>
  <si>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</si>
  <si>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</si>
  <si>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</si>
  <si>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</si>
  <si>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</si>
  <si>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</si>
  <si>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</si>
  <si>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</si>
  <si>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</si>
  <si>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</si>
  <si>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</si>
  <si>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</si>
  <si>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</si>
  <si>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</si>
  <si>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</si>
  <si>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</si>
  <si>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</si>
  <si>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</si>
  <si>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</si>
  <si>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</si>
  <si>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</si>
  <si>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</si>
  <si>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</si>
  <si>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</si>
  <si>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</si>
  <si>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</si>
  <si>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</si>
  <si>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</si>
  <si>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</si>
  <si>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</si>
  <si>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</si>
  <si>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</si>
  <si>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</si>
  <si>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</si>
  <si>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</si>
  <si>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</si>
  <si>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</si>
  <si>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</si>
  <si>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</si>
  <si>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</si>
  <si>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</si>
  <si>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</si>
  <si>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</si>
  <si>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</si>
  <si>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</si>
  <si>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</si>
  <si>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</si>
  <si>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</si>
  <si>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</si>
  <si>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</si>
  <si>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</si>
  <si>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</si>
  <si>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</si>
  <si>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</si>
  <si>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</si>
  <si>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</si>
  <si>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</si>
  <si>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</si>
  <si>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</si>
  <si>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</si>
  <si>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</si>
  <si>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</si>
  <si>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</si>
  <si>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</si>
  <si>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</si>
  <si>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</si>
  <si>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</si>
  <si>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</si>
  <si>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</si>
  <si>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</si>
  <si>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</si>
  <si>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</si>
  <si>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</si>
  <si>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</si>
  <si>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</si>
  <si>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</si>
  <si>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</si>
  <si>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</si>
  <si>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</si>
  <si>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</si>
  <si>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</si>
  <si>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</si>
  <si>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</si>
  <si>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</si>
  <si>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</si>
  <si>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</si>
  <si>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</si>
  <si>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</si>
  <si>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</si>
  <si>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</si>
  <si>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</si>
  <si>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</si>
  <si>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</si>
  <si>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</si>
  <si>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</si>
  <si>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</si>
  <si>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</si>
  <si>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</si>
  <si>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</si>
  <si>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</si>
  <si>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</si>
  <si>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</si>
  <si>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</si>
  <si>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</si>
  <si>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</si>
  <si>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</si>
  <si>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</si>
  <si>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</si>
  <si>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</si>
  <si>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</si>
  <si>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</si>
  <si>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</si>
  <si>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</si>
  <si>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</si>
  <si>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</si>
  <si>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</si>
  <si>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</si>
  <si>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</si>
  <si>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</si>
  <si>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</si>
  <si>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</si>
  <si>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</si>
  <si>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</si>
  <si>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</si>
  <si>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</si>
  <si>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</si>
  <si>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</si>
  <si>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</si>
  <si>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</si>
  <si>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</si>
  <si>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</si>
  <si>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</si>
  <si>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</si>
  <si>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</si>
  <si>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</si>
  <si>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</si>
  <si>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</si>
  <si>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</si>
  <si>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</si>
  <si>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</si>
  <si>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</si>
  <si>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</si>
  <si>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</si>
  <si>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</si>
  <si>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</si>
  <si>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</si>
  <si>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</si>
  <si>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</si>
  <si>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</si>
  <si>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</si>
  <si>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</si>
  <si>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</si>
  <si>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</si>
  <si>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</si>
  <si>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</si>
  <si>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</si>
  <si>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</si>
  <si>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</si>
  <si>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</si>
  <si>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</si>
  <si>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</si>
  <si>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</si>
  <si>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</si>
  <si>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</si>
  <si>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</si>
  <si>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</si>
  <si>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</si>
  <si>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</si>
  <si>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</si>
  <si>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</si>
  <si>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</si>
  <si>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</si>
  <si>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</si>
  <si>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</si>
  <si>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</si>
  <si>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</si>
  <si>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</si>
  <si>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</si>
  <si>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</si>
  <si>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</si>
  <si>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</si>
  <si>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</si>
  <si>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</si>
  <si>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</si>
  <si>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</si>
  <si>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</si>
  <si>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</si>
  <si>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</si>
  <si>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</si>
  <si>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</si>
  <si>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</si>
  <si>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</si>
  <si>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</si>
  <si>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</si>
  <si>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</si>
  <si>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</si>
  <si>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</si>
  <si>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</si>
  <si>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</si>
  <si>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</si>
  <si>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</si>
  <si>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</si>
  <si>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</si>
  <si>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</si>
  <si>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</si>
  <si>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</si>
  <si>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</si>
  <si>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</si>
  <si>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</si>
  <si>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</si>
  <si>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</si>
  <si>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</si>
  <si>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</si>
  <si>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</si>
  <si>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</si>
  <si>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</si>
  <si>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</si>
  <si>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</si>
  <si>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</si>
  <si>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</si>
  <si>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</si>
  <si>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</si>
  <si>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</si>
  <si>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</si>
  <si>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</si>
  <si>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</si>
  <si>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</si>
  <si>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</si>
  <si>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</si>
  <si>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</si>
  <si>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</si>
  <si>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</si>
  <si>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</si>
  <si>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</si>
  <si>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</si>
  <si>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</si>
  <si>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</si>
  <si>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</si>
  <si>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</si>
  <si>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</si>
  <si>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</si>
  <si>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</si>
  <si>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</si>
  <si>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</si>
  <si>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</si>
  <si>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</si>
  <si>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</si>
  <si>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</si>
  <si>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</si>
  <si>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</si>
  <si>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</si>
  <si>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</si>
  <si>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</si>
  <si>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</si>
  <si>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</si>
  <si>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</si>
  <si>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</si>
  <si>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</si>
  <si>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</si>
  <si>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</si>
  <si>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</si>
  <si>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</si>
  <si>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</si>
  <si>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</si>
  <si>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</si>
  <si>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</si>
  <si>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</si>
  <si>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</si>
  <si>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</si>
  <si>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</si>
  <si>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</si>
  <si>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</si>
  <si>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</si>
  <si>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</si>
  <si>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</si>
  <si>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</si>
  <si>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</si>
  <si>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</si>
  <si>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</si>
  <si>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</si>
  <si>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</si>
  <si>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</si>
  <si>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</si>
  <si>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</si>
  <si>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</si>
  <si>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</si>
  <si>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</si>
  <si>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</si>
  <si>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</si>
  <si>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</si>
  <si>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</si>
  <si>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</si>
  <si>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</si>
  <si>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</si>
  <si>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</si>
  <si>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</si>
  <si>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</si>
  <si>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</si>
  <si>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</si>
  <si>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</si>
  <si>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</si>
  <si>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</si>
  <si>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</si>
  <si>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</si>
  <si>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</si>
  <si>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</si>
  <si>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</si>
  <si>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</si>
  <si>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</si>
  <si>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</si>
  <si>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</si>
  <si>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</si>
  <si>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</si>
  <si>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</si>
  <si>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</si>
  <si>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</si>
  <si>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</si>
  <si>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</si>
  <si>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</si>
  <si>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</si>
  <si>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</si>
  <si>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</si>
  <si>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</si>
  <si>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</si>
  <si>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</si>
  <si>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</si>
  <si>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</si>
  <si>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</si>
  <si>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</si>
  <si>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</si>
  <si>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</si>
  <si>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</si>
  <si>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</si>
  <si>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</si>
  <si>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</si>
  <si>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</si>
  <si>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</si>
  <si>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</si>
  <si>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</si>
  <si>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</si>
  <si>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</si>
  <si>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</si>
  <si>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</si>
  <si>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</si>
  <si>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</si>
  <si>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</si>
  <si>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</si>
  <si>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</si>
  <si>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</si>
  <si>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</si>
  <si>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</si>
  <si>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</si>
  <si>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</si>
  <si>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</si>
  <si>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</si>
  <si>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</si>
  <si>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</si>
  <si>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</si>
  <si>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</si>
  <si>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</si>
  <si>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</si>
  <si>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</si>
  <si>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</si>
  <si>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</si>
  <si>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</si>
  <si>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</si>
  <si>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</si>
  <si>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</si>
  <si>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</si>
  <si>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</si>
  <si>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</si>
  <si>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</si>
  <si>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</si>
  <si>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</si>
  <si>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</si>
  <si>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</si>
  <si>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</si>
  <si>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</si>
  <si>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</si>
  <si>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</si>
  <si>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</si>
  <si>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</si>
  <si>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</si>
  <si>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</si>
  <si>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</si>
  <si>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</si>
  <si>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</si>
  <si>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</si>
  <si>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</si>
  <si>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</si>
  <si>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</si>
  <si>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</si>
  <si>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</si>
  <si>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</si>
  <si>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</si>
  <si>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</si>
  <si>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</si>
  <si>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</si>
  <si>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</si>
  <si>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</si>
  <si>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</si>
  <si>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</si>
  <si>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</si>
  <si>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</si>
  <si>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</si>
  <si>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</si>
  <si>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</si>
  <si>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</si>
  <si>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</si>
  <si>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</si>
  <si>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</si>
  <si>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</si>
  <si>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</si>
  <si>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</si>
  <si>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</si>
  <si>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</si>
  <si>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</si>
  <si>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</si>
  <si>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</si>
  <si>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</si>
  <si>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</si>
  <si>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</si>
  <si>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</si>
  <si>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</si>
  <si>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</si>
  <si>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</si>
  <si>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</si>
  <si>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</si>
  <si>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</si>
  <si>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</si>
  <si>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</si>
  <si>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</si>
  <si>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</si>
  <si>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</si>
  <si>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</si>
  <si>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</si>
  <si>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</si>
  <si>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</si>
  <si>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</si>
  <si>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</si>
  <si>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</si>
  <si>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</si>
  <si>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</si>
  <si>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</si>
  <si>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</si>
  <si>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</si>
  <si>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</si>
  <si>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</si>
  <si>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</si>
  <si>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</si>
  <si>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</si>
  <si>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</si>
  <si>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</si>
  <si>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</si>
  <si>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</si>
  <si>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</si>
  <si>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</si>
  <si>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</si>
  <si>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</si>
  <si>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</si>
  <si>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</si>
  <si>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</si>
  <si>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</si>
  <si>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</si>
  <si>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</si>
  <si>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</si>
  <si>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</si>
  <si>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</si>
  <si>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</si>
  <si>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</si>
  <si>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</si>
  <si>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</si>
  <si>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</si>
  <si>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</si>
  <si>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</si>
  <si>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</si>
  <si>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</si>
  <si>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</si>
  <si>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</si>
  <si>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</si>
  <si>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</si>
  <si>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</si>
  <si>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</si>
  <si>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</si>
  <si>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</si>
  <si>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</si>
  <si>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</si>
  <si>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</si>
  <si>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</si>
  <si>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</si>
  <si>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</si>
  <si>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</si>
  <si>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</si>
  <si>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</si>
  <si>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</si>
  <si>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</si>
  <si>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</si>
  <si>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</si>
  <si>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</si>
  <si>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</si>
  <si>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</si>
  <si>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</si>
  <si>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</si>
  <si>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</si>
  <si>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</si>
  <si>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</si>
  <si>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</si>
  <si>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</si>
  <si>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</si>
  <si>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</si>
  <si>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</si>
  <si>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</si>
  <si>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</si>
  <si>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</si>
  <si>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</si>
  <si>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</si>
  <si>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</si>
  <si>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</si>
  <si>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</si>
  <si>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</si>
  <si>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</si>
  <si>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</si>
  <si>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</si>
  <si>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</si>
  <si>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</si>
  <si>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</si>
  <si>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</si>
  <si>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</si>
  <si>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</si>
  <si>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</si>
  <si>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</si>
  <si>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</si>
  <si>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</si>
  <si>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</si>
  <si>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</si>
  <si>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</si>
  <si>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</si>
  <si>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</si>
  <si>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</si>
  <si>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</si>
  <si>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</si>
  <si>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</si>
  <si>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</si>
  <si>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</si>
  <si>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</si>
  <si>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</si>
  <si>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</si>
  <si>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</si>
  <si>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</si>
  <si>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</si>
  <si>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</si>
  <si>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</si>
  <si>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</si>
  <si>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</si>
  <si>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</si>
  <si>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</si>
  <si>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</si>
  <si>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</si>
  <si>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</si>
  <si>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</si>
  <si>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</si>
  <si>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</si>
  <si>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</si>
  <si>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</si>
  <si>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</si>
  <si>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</si>
  <si>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</si>
  <si>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</si>
  <si>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</si>
  <si>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</si>
  <si>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</si>
  <si>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</si>
  <si>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</si>
  <si>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</si>
  <si>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</si>
  <si>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</si>
  <si>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</si>
  <si>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</si>
  <si>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</si>
  <si>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</si>
  <si>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</si>
  <si>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</si>
  <si>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</si>
  <si>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</si>
  <si>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</si>
  <si>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</si>
  <si>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</si>
  <si>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</si>
  <si>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</si>
  <si>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</si>
  <si>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</si>
  <si>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</si>
  <si>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</si>
  <si>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</si>
  <si>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</si>
  <si>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</si>
  <si>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</si>
  <si>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</si>
  <si>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</si>
  <si>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</si>
  <si>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</si>
  <si>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</si>
  <si>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</si>
  <si>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</si>
  <si>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</si>
  <si>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</si>
  <si>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</si>
  <si>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</si>
  <si>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</si>
  <si>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</si>
  <si>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</si>
  <si>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</si>
  <si>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</si>
  <si>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</si>
  <si>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</si>
  <si>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</si>
  <si>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</si>
  <si>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</si>
  <si>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</si>
  <si>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</si>
  <si>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</si>
  <si>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</si>
  <si>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</si>
  <si>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</si>
  <si>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</si>
  <si>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</si>
  <si>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</si>
  <si>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</si>
  <si>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</si>
  <si>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</si>
  <si>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</si>
  <si>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</si>
  <si>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</si>
  <si>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</si>
  <si>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</si>
  <si>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</si>
  <si>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</si>
  <si>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</si>
  <si>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</si>
  <si>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</si>
  <si>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</si>
  <si>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</si>
  <si>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</si>
  <si>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</si>
  <si>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</si>
  <si>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</si>
  <si>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</si>
  <si>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</si>
  <si>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</si>
  <si>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</si>
  <si>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</si>
  <si>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</si>
  <si>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</si>
  <si>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</si>
  <si>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</si>
  <si>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</si>
  <si>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</si>
  <si>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</si>
  <si>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</si>
  <si>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</si>
  <si>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</si>
  <si>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</si>
  <si>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</si>
  <si>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</si>
  <si>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</si>
  <si>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</si>
  <si>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</si>
  <si>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</si>
  <si>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</si>
  <si>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</si>
  <si>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</si>
  <si>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</si>
  <si>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</si>
  <si>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</si>
  <si>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</si>
  <si>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</si>
  <si>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</si>
  <si>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</si>
  <si>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</si>
  <si>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</si>
  <si>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</si>
  <si>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</si>
  <si>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</si>
  <si>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</si>
  <si>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</si>
  <si>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</si>
  <si>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</si>
  <si>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</si>
  <si>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</si>
  <si>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</si>
  <si>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</si>
  <si>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</si>
  <si>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</si>
  <si>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</si>
  <si>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</si>
  <si>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</si>
  <si>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</si>
  <si>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</si>
  <si>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</si>
  <si>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</si>
  <si>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</si>
  <si>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</si>
  <si>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</si>
  <si>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</si>
  <si>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</si>
  <si>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</si>
  <si>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</si>
  <si>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</si>
  <si>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</si>
  <si>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</si>
  <si>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</si>
  <si>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</si>
  <si>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</si>
  <si>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</si>
  <si>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</si>
  <si>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</si>
  <si>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</si>
  <si>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</si>
  <si>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</si>
  <si>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</si>
  <si>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</si>
  <si>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</si>
  <si>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</si>
  <si>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</si>
  <si>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</si>
  <si>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</si>
  <si>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</si>
  <si>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</si>
  <si>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</si>
  <si>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</si>
  <si>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</si>
  <si>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</si>
  <si>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</si>
  <si>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</si>
  <si>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</si>
  <si>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</si>
  <si>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</si>
  <si>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</si>
  <si>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</si>
  <si>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</si>
  <si>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</si>
  <si>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</si>
  <si>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</si>
  <si>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</si>
  <si>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</si>
  <si>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</si>
  <si>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</si>
  <si>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</si>
  <si>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</si>
  <si>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</si>
  <si>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</si>
  <si>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</si>
  <si>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</si>
  <si>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</si>
  <si>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</si>
  <si>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</si>
  <si>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</si>
  <si>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</si>
  <si>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</si>
  <si>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</si>
  <si>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</si>
  <si>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</si>
  <si>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</si>
  <si>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</si>
  <si>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</si>
  <si>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</si>
  <si>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</si>
  <si>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</si>
  <si>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</si>
  <si>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</si>
  <si>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</si>
  <si>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</si>
  <si>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</si>
  <si>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</si>
  <si>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</si>
  <si>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</si>
  <si>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</si>
  <si>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</si>
  <si>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</si>
  <si>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</si>
  <si>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</si>
  <si>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</si>
  <si>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</si>
  <si>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</si>
  <si>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</si>
  <si>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</si>
  <si>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</si>
  <si>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</si>
  <si>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</si>
  <si>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</si>
  <si>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</si>
  <si>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</si>
  <si>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</si>
  <si>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</si>
  <si>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</si>
  <si>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</si>
  <si>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</si>
  <si>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</si>
  <si>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</si>
  <si>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</si>
  <si>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</si>
  <si>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</si>
  <si>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</si>
  <si>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</si>
  <si>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</si>
  <si>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</si>
  <si>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</si>
  <si>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</si>
  <si>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</si>
  <si>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</si>
  <si>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</si>
  <si>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</si>
  <si>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</si>
  <si>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</si>
  <si>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</si>
  <si>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</si>
  <si>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</si>
  <si>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</si>
  <si>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</si>
  <si>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</si>
  <si>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</si>
  <si>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</si>
  <si>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</si>
  <si>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</si>
  <si>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</si>
  <si>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</si>
  <si>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</si>
  <si>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</si>
  <si>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</si>
  <si>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</si>
  <si>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</si>
  <si>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</si>
  <si>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</si>
  <si>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</si>
  <si>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</si>
  <si>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</si>
  <si>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</si>
  <si>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</si>
  <si>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</si>
  <si>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</si>
  <si>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</si>
  <si>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</si>
  <si>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</si>
  <si>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</si>
  <si>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</si>
  <si>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</si>
  <si>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</si>
  <si>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</si>
  <si>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</si>
  <si>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</si>
  <si>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</si>
  <si>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</si>
  <si>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</si>
  <si>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</si>
  <si>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</si>
  <si>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</si>
  <si>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</si>
  <si>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</si>
  <si>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</si>
  <si>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</si>
  <si>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</si>
  <si>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</si>
  <si>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</si>
  <si>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</si>
  <si>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</si>
  <si>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</si>
  <si>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</si>
  <si>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</si>
  <si>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</si>
  <si>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</si>
  <si>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</si>
  <si>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</si>
  <si>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</si>
  <si>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</si>
  <si>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</si>
  <si>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</si>
  <si>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</si>
  <si>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</si>
  <si>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</si>
  <si>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</si>
  <si>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</si>
  <si>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</si>
  <si>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</si>
  <si>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</si>
  <si>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</si>
  <si>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</si>
  <si>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</si>
  <si>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</si>
  <si>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</si>
  <si>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</si>
  <si>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</si>
  <si>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</si>
  <si>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</si>
  <si>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</si>
  <si>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</si>
  <si>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</si>
  <si>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</si>
  <si>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</si>
  <si>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</si>
  <si>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</si>
  <si>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</si>
  <si>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</si>
  <si>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</si>
  <si>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</si>
  <si>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</si>
  <si>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</si>
  <si>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</si>
  <si>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</si>
  <si>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</si>
  <si>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</si>
  <si>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</si>
  <si>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</si>
  <si>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</si>
  <si>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</si>
  <si>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</si>
  <si>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</si>
  <si>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</si>
  <si>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</si>
  <si>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</si>
  <si>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</si>
  <si>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</si>
  <si>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</si>
  <si>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</si>
  <si>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</si>
  <si>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</si>
  <si>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</si>
  <si>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</si>
  <si>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</si>
  <si>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</si>
  <si>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</si>
  <si>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</si>
  <si>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</si>
  <si>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</si>
  <si>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</si>
  <si>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</si>
  <si>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</si>
  <si>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</si>
  <si>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</si>
  <si>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</si>
  <si>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</si>
  <si>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</si>
  <si>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</si>
  <si>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</si>
  <si>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</si>
  <si>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</si>
  <si>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</si>
  <si>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</si>
  <si>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</si>
  <si>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</si>
  <si>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</si>
  <si>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</si>
  <si>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</si>
  <si>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</si>
  <si>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</si>
  <si>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</si>
  <si>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</si>
  <si>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</si>
  <si>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</si>
  <si>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</si>
  <si>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</si>
  <si>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</si>
  <si>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</si>
  <si>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</si>
  <si>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</si>
  <si>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</si>
  <si>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</si>
  <si>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</si>
  <si>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</si>
  <si>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</si>
  <si>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</si>
  <si>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</si>
  <si>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</si>
  <si>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</si>
  <si>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</si>
  <si>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</si>
  <si>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</si>
  <si>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</si>
  <si>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</si>
  <si>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</si>
  <si>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</si>
  <si>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</si>
  <si>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</si>
  <si>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</si>
  <si>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</si>
  <si>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</si>
  <si>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</si>
  <si>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</si>
  <si>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</si>
  <si>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</si>
  <si>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</si>
  <si>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</si>
  <si>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</si>
  <si>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</si>
  <si>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</si>
  <si>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</si>
  <si>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</si>
  <si>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</si>
  <si>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</si>
  <si>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</si>
  <si>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</si>
  <si>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</si>
  <si>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</si>
  <si>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</si>
  <si>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</si>
  <si>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</si>
  <si>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</si>
  <si>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住宅配套</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</si>
  <si>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</si>
  <si>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</si>
  <si>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</si>
  <si>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</si>
  <si>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</si>
  <si>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</si>
  <si>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</si>
  <si>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</si>
  <si>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</si>
  <si>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</si>
  <si>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</si>
  <si>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</si>
  <si>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</si>
  <si>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</si>
  <si>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</si>
  <si>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</si>
  <si>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</si>
  <si>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</si>
  <si>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</si>
  <si>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</si>
  <si>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</si>
  <si>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</si>
  <si>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</si>
  <si>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</si>
  <si>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</si>
  <si>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</si>
  <si>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</si>
  <si>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</si>
  <si>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</si>
  <si>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</si>
  <si>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</si>
  <si>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</si>
  <si>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</si>
  <si>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</si>
  <si>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</si>
  <si>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</si>
  <si>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</si>
  <si>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</si>
  <si>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</si>
  <si>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</si>
  <si>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</si>
  <si>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</si>
  <si>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</si>
  <si>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</si>
  <si>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</si>
  <si>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</si>
  <si>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</si>
  <si>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</si>
  <si>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</si>
  <si>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</si>
  <si>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</si>
  <si>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</si>
  <si>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</si>
  <si>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</si>
  <si>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</si>
  <si>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</si>
  <si>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</si>
  <si>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</si>
  <si>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</si>
  <si>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</si>
  <si>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</si>
  <si>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</si>
  <si>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</si>
  <si>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</si>
  <si>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</si>
  <si>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</si>
  <si>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</si>
  <si>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</si>
  <si>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</si>
  <si>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</si>
  <si>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</si>
  <si>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较好</t>
    <phoneticPr fontId="3" type="noConversion"/>
  </si>
  <si>
    <t>项目信息</t>
  </si>
  <si>
    <t>低层：≤3层，10米</t>
  </si>
  <si>
    <t>对外</t>
  </si>
  <si>
    <t>半年付</t>
  </si>
  <si>
    <t>合同</t>
  </si>
  <si>
    <t>区（县）</t>
    <phoneticPr fontId="247" type="noConversion"/>
  </si>
  <si>
    <t>街道</t>
    <phoneticPr fontId="247" type="noConversion"/>
  </si>
  <si>
    <t>环线</t>
    <phoneticPr fontId="247" type="noConversion"/>
  </si>
  <si>
    <t>4-5环</t>
  </si>
  <si>
    <t>高层：11-30层，40-100米</t>
  </si>
  <si>
    <t>银行营业网点</t>
  </si>
  <si>
    <t>市调案例</t>
  </si>
  <si>
    <t>住宅配套（底商/裙楼)</t>
  </si>
  <si>
    <t>年付</t>
  </si>
  <si>
    <t>押二</t>
  </si>
  <si>
    <t>市调（电话核实）</t>
  </si>
  <si>
    <t>楼层修正</t>
  </si>
  <si>
    <t>出让</t>
  </si>
  <si>
    <t>经营类型</t>
    <phoneticPr fontId="30" type="noConversion"/>
  </si>
  <si>
    <t>银行</t>
    <phoneticPr fontId="30" type="noConversion"/>
  </si>
  <si>
    <t>资金数码</t>
    <phoneticPr fontId="134" type="noConversion"/>
  </si>
  <si>
    <t>新科祥园</t>
    <phoneticPr fontId="134" type="noConversion"/>
  </si>
  <si>
    <t>售价</t>
  </si>
  <si>
    <t>挂牌</t>
  </si>
  <si>
    <t>普通装修</t>
  </si>
  <si>
    <t>紫金数码</t>
    <phoneticPr fontId="134" type="noConversion"/>
  </si>
  <si>
    <t>一般</t>
    <phoneticPr fontId="134" type="noConversion"/>
  </si>
  <si>
    <t>龙湖唐宁one</t>
    <phoneticPr fontId="134" type="noConversion"/>
  </si>
  <si>
    <t>建成时间</t>
    <phoneticPr fontId="134" type="noConversion"/>
  </si>
  <si>
    <t>20-25</t>
    <phoneticPr fontId="134" type="noConversion"/>
  </si>
  <si>
    <t>10-15</t>
    <phoneticPr fontId="134" type="noConversion"/>
  </si>
  <si>
    <t>20-25</t>
    <phoneticPr fontId="134" type="noConversion"/>
  </si>
  <si>
    <t>15-20</t>
    <phoneticPr fontId="134" type="noConversion"/>
  </si>
  <si>
    <t>15-20</t>
    <phoneticPr fontId="134" type="noConversion"/>
  </si>
  <si>
    <t>25-30</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</si>
  <si>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</si>
  <si>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</si>
  <si>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</si>
  <si>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</si>
  <si>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</si>
  <si>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</si>
  <si>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双面临街</t>
  </si>
  <si>
    <t>序号</t>
    <phoneticPr fontId="134" type="noConversion"/>
  </si>
  <si>
    <t>位置</t>
    <phoneticPr fontId="134" type="noConversion"/>
  </si>
  <si>
    <t>商户</t>
    <phoneticPr fontId="134" type="noConversion"/>
  </si>
  <si>
    <t>浦发银行</t>
    <phoneticPr fontId="134" type="noConversion"/>
  </si>
  <si>
    <t>石景山区玉泉西里二区1号楼</t>
    <phoneticPr fontId="134" type="noConversion"/>
  </si>
  <si>
    <t>面积</t>
    <phoneticPr fontId="134" type="noConversion"/>
  </si>
  <si>
    <t>楼层</t>
    <phoneticPr fontId="134" type="noConversion"/>
  </si>
  <si>
    <t>1层</t>
    <phoneticPr fontId="134" type="noConversion"/>
  </si>
  <si>
    <t>使用面积</t>
    <phoneticPr fontId="134" type="noConversion"/>
  </si>
  <si>
    <t>租期</t>
    <phoneticPr fontId="134" type="noConversion"/>
  </si>
  <si>
    <t>2018-6-28至2024-6-27</t>
    <phoneticPr fontId="134" type="noConversion"/>
  </si>
  <si>
    <t>起始租金</t>
    <phoneticPr fontId="134" type="noConversion"/>
  </si>
  <si>
    <t>物业费</t>
    <phoneticPr fontId="134" type="noConversion"/>
  </si>
  <si>
    <t>增长</t>
    <phoneticPr fontId="134" type="noConversion"/>
  </si>
  <si>
    <t>3年5%</t>
    <phoneticPr fontId="134" type="noConversion"/>
  </si>
  <si>
    <t>兴业银行</t>
    <phoneticPr fontId="134" type="noConversion"/>
  </si>
  <si>
    <t>石景山区玉泉西里二区1号楼</t>
    <phoneticPr fontId="134" type="noConversion"/>
  </si>
  <si>
    <t>1层及-1层</t>
    <phoneticPr fontId="134" type="noConversion"/>
  </si>
  <si>
    <t>2018-7-28至2024-7-27</t>
    <phoneticPr fontId="134" type="noConversion"/>
  </si>
  <si>
    <t>含（0.11）</t>
    <phoneticPr fontId="134" type="noConversion"/>
  </si>
  <si>
    <t>不含</t>
    <phoneticPr fontId="134" type="noConversion"/>
  </si>
  <si>
    <t>华熙五棵松</t>
  </si>
  <si>
    <t>北京银行股份有限公司五棵松支行</t>
  </si>
  <si>
    <t>中国光大银行股份有限公司北京分行</t>
  </si>
  <si>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</si>
  <si>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</si>
  <si>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</si>
  <si>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</si>
  <si>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</si>
  <si>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</si>
  <si>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</si>
  <si>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</si>
  <si>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</si>
  <si>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</si>
  <si>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</si>
  <si>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</si>
  <si>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</si>
  <si>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</si>
  <si>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</si>
  <si>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</si>
  <si>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</si>
  <si>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</si>
  <si>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</si>
  <si>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</si>
  <si>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</si>
  <si>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</si>
  <si>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</si>
  <si>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</si>
  <si>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</si>
  <si>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</si>
  <si>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</si>
  <si>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</si>
  <si>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</si>
  <si>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</si>
  <si>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</si>
  <si>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</si>
  <si>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</si>
  <si>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</si>
  <si>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</si>
  <si>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</si>
  <si>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</si>
  <si>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</si>
  <si>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</si>
  <si>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</si>
  <si>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</si>
  <si>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</si>
  <si>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</si>
  <si>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</si>
  <si>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</si>
  <si>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</si>
  <si>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</si>
  <si>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</si>
  <si>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</si>
  <si>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</si>
  <si>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</si>
  <si>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</si>
  <si>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</si>
  <si>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</si>
  <si>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</si>
  <si>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</si>
  <si>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</si>
  <si>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</si>
  <si>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</si>
  <si>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</si>
  <si>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证载</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</si>
  <si>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</si>
  <si>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</si>
  <si>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</si>
  <si>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</si>
  <si>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</si>
  <si>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</si>
  <si>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</si>
  <si>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</si>
  <si>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</si>
  <si>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</si>
  <si>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</si>
  <si>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</si>
  <si>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</si>
  <si>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</si>
  <si>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</si>
  <si>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</si>
  <si>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</si>
  <si>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</si>
  <si>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</si>
  <si>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</si>
  <si>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</si>
  <si>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</si>
  <si>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</si>
  <si>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</si>
  <si>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</si>
  <si>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</si>
  <si>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</si>
  <si>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增值税</t>
    <phoneticPr fontId="247" type="noConversion"/>
  </si>
  <si>
    <t>物业费
元/月·㎡</t>
    <phoneticPr fontId="247" type="noConversion"/>
  </si>
  <si>
    <t>能源费
元/天·㎡</t>
    <phoneticPr fontId="247" type="noConversion"/>
  </si>
  <si>
    <t>意向成交时间</t>
    <phoneticPr fontId="247" type="noConversion"/>
  </si>
  <si>
    <t>商业</t>
    <phoneticPr fontId="247" type="noConversion"/>
  </si>
  <si>
    <t>/</t>
    <phoneticPr fontId="247" type="noConversion"/>
  </si>
  <si>
    <t>邢轲</t>
    <phoneticPr fontId="247" type="noConversion"/>
  </si>
  <si>
    <t>北京市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</si>
  <si>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</si>
  <si>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</si>
  <si>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</si>
  <si>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</si>
  <si>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</si>
  <si>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</si>
  <si>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</si>
  <si>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</si>
  <si>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</si>
  <si>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</si>
  <si>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</si>
  <si>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</si>
  <si>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远洋沁山水</t>
    <phoneticPr fontId="3" type="noConversion"/>
  </si>
  <si>
    <t>远洋山水</t>
    <phoneticPr fontId="30" type="noConversion"/>
  </si>
  <si>
    <t>崔锴</t>
  </si>
  <si>
    <t>郑燚</t>
  </si>
  <si>
    <r>
      <rPr>
        <sz val="10"/>
        <color theme="9" tint="-0.249977111117893"/>
        <rFont val="宋体"/>
        <family val="3"/>
        <charset val="134"/>
      </rPr>
      <t>石景山区玉泉西里一区</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107</t>
    </r>
    <phoneticPr fontId="6" type="noConversion"/>
  </si>
  <si>
    <t>北京海德置业集团有限公司</t>
    <phoneticPr fontId="6" type="noConversion"/>
  </si>
  <si>
    <t>复印件</t>
  </si>
  <si>
    <t>居住项目</t>
  </si>
  <si>
    <t>1（-1）</t>
  </si>
  <si>
    <t>1（-1）</t>
    <phoneticPr fontId="3" type="noConversion"/>
  </si>
  <si>
    <t>下限</t>
    <phoneticPr fontId="30" type="noConversion"/>
  </si>
  <si>
    <t>上限</t>
    <phoneticPr fontId="30" type="noConversion"/>
  </si>
  <si>
    <t>主要临路</t>
    <phoneticPr fontId="30" type="noConversion"/>
  </si>
  <si>
    <t>主</t>
    <phoneticPr fontId="30" type="noConversion"/>
  </si>
  <si>
    <t>次</t>
    <phoneticPr fontId="30" type="noConversion"/>
  </si>
  <si>
    <t>石景山区玉泉西里一区2号楼</t>
    <phoneticPr fontId="134" type="noConversion"/>
  </si>
  <si>
    <t>某银行</t>
    <phoneticPr fontId="134" type="noConversion"/>
  </si>
  <si>
    <t>翔鹰大厦</t>
  </si>
  <si>
    <t>银行</t>
  </si>
  <si>
    <t>一般</t>
    <phoneticPr fontId="30" type="noConversion"/>
  </si>
  <si>
    <t>自己</t>
    <phoneticPr fontId="134" type="noConversion"/>
  </si>
  <si>
    <t>盛京银行</t>
    <phoneticPr fontId="134" type="noConversion"/>
  </si>
  <si>
    <t>2014年12月5日至2024年12月4日</t>
    <phoneticPr fontId="134" type="noConversion"/>
  </si>
  <si>
    <t>1-2年</t>
    <phoneticPr fontId="134" type="noConversion"/>
  </si>
  <si>
    <t>3-4年</t>
    <phoneticPr fontId="134" type="noConversion"/>
  </si>
  <si>
    <t>5-6年</t>
    <phoneticPr fontId="134" type="noConversion"/>
  </si>
  <si>
    <t>9-10年</t>
    <phoneticPr fontId="134" type="noConversion"/>
  </si>
  <si>
    <t>7-8年</t>
    <phoneticPr fontId="134" type="noConversion"/>
  </si>
  <si>
    <t>备注</t>
    <phoneticPr fontId="134" type="noConversion"/>
  </si>
  <si>
    <t>含物业费及供暖费</t>
    <phoneticPr fontId="134" type="noConversion"/>
  </si>
  <si>
    <t>临近</t>
    <phoneticPr fontId="134" type="noConversion"/>
  </si>
  <si>
    <t>招商银行</t>
    <phoneticPr fontId="134" type="noConversion"/>
  </si>
  <si>
    <t>2024-1-20至2030-1-19</t>
    <phoneticPr fontId="134" type="noConversion"/>
  </si>
  <si>
    <t>物业费</t>
    <phoneticPr fontId="134" type="noConversion"/>
  </si>
  <si>
    <t>1（380.25）-2（512.75）层</t>
    <phoneticPr fontId="134" type="noConversion"/>
  </si>
  <si>
    <t>1层</t>
    <phoneticPr fontId="134" type="noConversion"/>
  </si>
  <si>
    <t>2层</t>
    <phoneticPr fontId="134" type="noConversion"/>
  </si>
  <si>
    <t>远洋沁山水</t>
    <phoneticPr fontId="30" type="noConversion"/>
  </si>
  <si>
    <t>一版报数</t>
    <phoneticPr fontId="30" type="noConversion"/>
  </si>
  <si>
    <r>
      <rPr>
        <sz val="11"/>
        <rFont val="宋体"/>
        <family val="3"/>
        <charset val="134"/>
      </rPr>
      <t>租金报值</t>
    </r>
    <r>
      <rPr>
        <sz val="11"/>
        <rFont val="Arial"/>
        <family val="2"/>
      </rPr>
      <t>11.2-13.6</t>
    </r>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天</t>
    </r>
    <phoneticPr fontId="30" type="noConversion"/>
  </si>
  <si>
    <t>报收费1.5</t>
    <phoneticPr fontId="134" type="noConversion"/>
  </si>
  <si>
    <t>商业楼</t>
  </si>
  <si>
    <t>商业楼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</si>
</sst>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color rgb="FFFF0000"/>
      <name val="宋体"/>
      <family val="3"/>
      <charset val="134"/>
      <scheme val="minor"/>
    </font>
    <font>
      <sz val="10"/>
      <color theme="1"/>
      <name val="华文细黑"/>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0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6" fontId="36" fillId="0" borderId="0" applyFont="0" applyFill="0" applyBorder="0" applyAlignment="0" applyProtection="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1"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192" fontId="95" fillId="0" borderId="0">
      <alignment vertical="center"/>
    </xf>
    <xf numFmtId="192" fontId="1" fillId="0" borderId="0">
      <alignment vertical="center"/>
    </xf>
    <xf numFmtId="9" fontId="95" fillId="0" borderId="0" applyFont="0" applyFill="0" applyBorder="0" applyAlignment="0" applyProtection="0">
      <alignment vertical="center"/>
    </xf>
    <xf numFmtId="192" fontId="36" fillId="0" borderId="0"/>
    <xf numFmtId="192" fontId="36" fillId="0" borderId="0">
      <alignment vertical="center"/>
    </xf>
    <xf numFmtId="192" fontId="36" fillId="0" borderId="0">
      <alignment vertical="center"/>
    </xf>
    <xf numFmtId="192" fontId="36" fillId="0" borderId="0">
      <alignment vertical="center"/>
    </xf>
    <xf numFmtId="192" fontId="95"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cellStyleXfs>
  <cellXfs count="40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6" fillId="0" borderId="0" xfId="10" applyNumberFormat="1" applyFont="1" applyFill="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19" fillId="0" borderId="0" xfId="20" applyFont="1" applyAlignment="1">
      <alignment horizontal="left" vertical="center"/>
    </xf>
    <xf numFmtId="0" fontId="107" fillId="27" borderId="4"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7"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90" fillId="0" borderId="0" xfId="10" applyNumberFormat="1" applyFont="1" applyAlignment="1">
      <alignment vertical="center" wrapText="1" shrinkToFit="1"/>
    </xf>
    <xf numFmtId="0" fontId="19" fillId="0" borderId="0" xfId="20" applyNumberFormat="1" applyFont="1" applyAlignment="1">
      <alignment horizontal="left" vertical="center"/>
    </xf>
    <xf numFmtId="0" fontId="95" fillId="0" borderId="0" xfId="18" applyNumberFormat="1">
      <alignment vertical="center"/>
    </xf>
    <xf numFmtId="0" fontId="19" fillId="0" borderId="0" xfId="71" applyNumberFormat="1" applyFont="1" applyAlignment="1">
      <alignment horizontal="left" vertical="center"/>
    </xf>
    <xf numFmtId="0" fontId="288" fillId="28" borderId="17" xfId="0" applyNumberFormat="1" applyFont="1" applyFill="1" applyBorder="1" applyAlignment="1" applyProtection="1">
      <alignment vertical="center" wrapText="1"/>
    </xf>
    <xf numFmtId="0" fontId="288" fillId="0" borderId="0" xfId="0" applyNumberFormat="1" applyFont="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7" borderId="11" xfId="0" applyNumberFormat="1" applyFont="1" applyFill="1" applyBorder="1" applyAlignment="1" applyProtection="1">
      <alignment horizontal="left" vertical="center" wrapText="1"/>
    </xf>
    <xf numFmtId="0" fontId="286" fillId="27" borderId="13" xfId="0" applyNumberFormat="1" applyFont="1" applyFill="1" applyBorder="1" applyAlignment="1" applyProtection="1">
      <alignment horizontal="left" vertical="center" wrapText="1"/>
    </xf>
    <xf numFmtId="0" fontId="288" fillId="27" borderId="13" xfId="0" applyNumberFormat="1" applyFont="1" applyFill="1" applyBorder="1" applyAlignment="1" applyProtection="1">
      <alignment horizontal="left" vertical="center" wrapText="1"/>
    </xf>
    <xf numFmtId="0" fontId="288" fillId="28" borderId="11"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5" xfId="0" applyNumberFormat="1" applyFont="1" applyFill="1" applyBorder="1" applyAlignment="1" applyProtection="1">
      <alignment vertical="center" wrapText="1"/>
    </xf>
    <xf numFmtId="0" fontId="286" fillId="28" borderId="15" xfId="0" applyNumberFormat="1" applyFont="1" applyFill="1" applyBorder="1" applyAlignment="1" applyProtection="1">
      <alignment vertical="center" wrapText="1"/>
    </xf>
    <xf numFmtId="0" fontId="288" fillId="28" borderId="61" xfId="0" applyNumberFormat="1" applyFont="1" applyFill="1" applyBorder="1" applyAlignment="1" applyProtection="1">
      <alignment horizontal="left" vertical="center" wrapText="1"/>
    </xf>
    <xf numFmtId="0" fontId="288" fillId="0" borderId="15" xfId="0" applyNumberFormat="1" applyFont="1" applyFill="1" applyBorder="1" applyAlignment="1" applyProtection="1">
      <alignment vertical="center" wrapText="1"/>
    </xf>
    <xf numFmtId="0" fontId="288" fillId="0" borderId="13" xfId="0" applyNumberFormat="1" applyFont="1" applyFill="1" applyBorder="1" applyAlignment="1" applyProtection="1">
      <alignment horizontal="left" vertical="center" wrapText="1"/>
    </xf>
    <xf numFmtId="0" fontId="288" fillId="0" borderId="61" xfId="0" applyNumberFormat="1" applyFont="1" applyFill="1" applyBorder="1" applyAlignment="1" applyProtection="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69"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Fill="1" applyBorder="1" applyAlignment="1" applyProtection="1">
      <alignment horizontal="left" vertical="center"/>
      <protection locked="0"/>
    </xf>
    <xf numFmtId="0" fontId="107" fillId="0" borderId="5" xfId="0" applyNumberFormat="1" applyFont="1" applyFill="1" applyBorder="1" applyAlignment="1" applyProtection="1">
      <alignment horizontal="left" vertical="center"/>
      <protection locked="0"/>
    </xf>
    <xf numFmtId="0" fontId="107" fillId="0" borderId="4" xfId="0" applyNumberFormat="1" applyFont="1" applyFill="1" applyBorder="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81" fontId="94" fillId="12" borderId="0" xfId="0" applyNumberFormat="1" applyFont="1" applyFill="1" applyBorder="1" applyAlignment="1" applyProtection="1">
      <alignment vertical="center" wrapText="1"/>
      <protection locked="0"/>
    </xf>
    <xf numFmtId="0" fontId="94" fillId="12" borderId="0" xfId="0" applyFont="1" applyFill="1" applyAlignment="1" applyProtection="1">
      <alignment horizontal="center" vertical="center"/>
      <protection locked="0"/>
    </xf>
    <xf numFmtId="0" fontId="51" fillId="12" borderId="0" xfId="0" applyNumberFormat="1" applyFont="1" applyFill="1" applyBorder="1" applyAlignment="1" applyProtection="1">
      <alignment vertical="center" wrapText="1"/>
      <protection locked="0"/>
    </xf>
    <xf numFmtId="49" fontId="19" fillId="0" borderId="0" xfId="20" applyNumberFormat="1" applyFont="1" applyAlignment="1">
      <alignment horizontal="left" vertical="center"/>
    </xf>
    <xf numFmtId="0" fontId="291" fillId="0" borderId="0" xfId="0" applyFont="1" applyFill="1" applyAlignment="1">
      <alignment horizontal="left" vertical="center"/>
    </xf>
    <xf numFmtId="49" fontId="94" fillId="0" borderId="39" xfId="0" applyNumberFormat="1" applyFont="1" applyFill="1" applyBorder="1" applyAlignment="1" applyProtection="1">
      <alignment horizontal="center" vertical="center" wrapText="1"/>
      <protection locked="0"/>
    </xf>
    <xf numFmtId="181" fontId="94"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86" fillId="25" borderId="9"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5" fillId="6" borderId="5" xfId="0" applyNumberFormat="1" applyFont="1" applyFill="1" applyBorder="1" applyAlignment="1" applyProtection="1">
      <alignment horizontal="left" vertical="center" wrapText="1"/>
    </xf>
    <xf numFmtId="0" fontId="288" fillId="6" borderId="46" xfId="0" applyNumberFormat="1" applyFont="1" applyFill="1" applyBorder="1" applyAlignment="1" applyProtection="1">
      <alignment horizontal="left" vertical="center" wrapText="1"/>
    </xf>
    <xf numFmtId="0" fontId="286" fillId="25" borderId="6" xfId="0" applyNumberFormat="1" applyFont="1" applyFill="1" applyBorder="1" applyAlignment="1" applyProtection="1">
      <alignment horizontal="left" vertical="center" wrapText="1"/>
    </xf>
    <xf numFmtId="0" fontId="286" fillId="25" borderId="11" xfId="0" applyNumberFormat="1" applyFont="1" applyFill="1" applyBorder="1" applyAlignment="1" applyProtection="1">
      <alignment horizontal="left" vertical="center" wrapText="1"/>
    </xf>
    <xf numFmtId="0" fontId="287" fillId="25" borderId="9" xfId="0" applyNumberFormat="1" applyFont="1" applyFill="1" applyBorder="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0" xfId="0" applyNumberFormat="1" applyFont="1" applyFill="1" applyBorder="1" applyAlignment="1" applyProtection="1">
      <alignment horizontal="left" vertical="center" wrapText="1"/>
    </xf>
    <xf numFmtId="0" fontId="286" fillId="25" borderId="61" xfId="0" applyNumberFormat="1" applyFont="1" applyFill="1" applyBorder="1" applyAlignment="1" applyProtection="1">
      <alignment horizontal="left" vertical="center" wrapText="1"/>
    </xf>
    <xf numFmtId="0" fontId="286" fillId="30" borderId="95" xfId="0" applyNumberFormat="1" applyFont="1" applyFill="1" applyBorder="1" applyAlignment="1" applyProtection="1">
      <alignment horizontal="left" vertical="center" wrapText="1"/>
    </xf>
    <xf numFmtId="0" fontId="286" fillId="30" borderId="72" xfId="0" applyNumberFormat="1" applyFont="1" applyFill="1" applyBorder="1" applyAlignment="1" applyProtection="1">
      <alignment horizontal="left" vertical="center" wrapText="1"/>
    </xf>
    <xf numFmtId="0" fontId="288" fillId="27" borderId="6" xfId="0" applyNumberFormat="1" applyFont="1" applyFill="1" applyBorder="1" applyAlignment="1" applyProtection="1">
      <alignment horizontal="left" vertical="center" wrapText="1"/>
    </xf>
    <xf numFmtId="0" fontId="288" fillId="27" borderId="9" xfId="0" applyNumberFormat="1" applyFont="1" applyFill="1" applyBorder="1" applyAlignment="1" applyProtection="1">
      <alignment horizontal="left" vertical="center" wrapText="1"/>
    </xf>
    <xf numFmtId="0" fontId="288" fillId="27" borderId="10" xfId="0" applyNumberFormat="1" applyFont="1" applyFill="1" applyBorder="1" applyAlignment="1" applyProtection="1">
      <alignment horizontal="left" vertical="center" wrapText="1"/>
    </xf>
    <xf numFmtId="0" fontId="288" fillId="27" borderId="61" xfId="0" applyNumberFormat="1" applyFont="1" applyFill="1" applyBorder="1" applyAlignment="1" applyProtection="1">
      <alignment horizontal="left" vertical="center" wrapText="1"/>
    </xf>
    <xf numFmtId="0" fontId="288" fillId="28" borderId="6" xfId="0" applyNumberFormat="1" applyFont="1" applyFill="1" applyBorder="1" applyAlignment="1" applyProtection="1">
      <alignment horizontal="left" vertical="center" wrapText="1"/>
    </xf>
    <xf numFmtId="0" fontId="288" fillId="28" borderId="9" xfId="0" applyNumberFormat="1" applyFont="1" applyFill="1" applyBorder="1" applyAlignment="1" applyProtection="1">
      <alignment horizontal="left" vertical="center" wrapText="1"/>
    </xf>
    <xf numFmtId="0" fontId="286" fillId="28" borderId="9"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0" borderId="1" xfId="0" applyNumberFormat="1" applyFont="1" applyBorder="1" applyAlignment="1" applyProtection="1">
      <alignment horizontal="left" vertical="center" wrapText="1"/>
    </xf>
    <xf numFmtId="0" fontId="286" fillId="0" borderId="13" xfId="0" applyNumberFormat="1" applyFont="1" applyBorder="1" applyAlignment="1" applyProtection="1">
      <alignment horizontal="left" vertical="center" wrapText="1"/>
    </xf>
    <xf numFmtId="0" fontId="288" fillId="28" borderId="10" xfId="0" applyNumberFormat="1" applyFont="1" applyFill="1" applyBorder="1" applyAlignment="1" applyProtection="1">
      <alignment horizontal="left" vertical="center" wrapText="1"/>
    </xf>
    <xf numFmtId="0" fontId="288" fillId="0" borderId="6" xfId="0" applyNumberFormat="1" applyFont="1" applyBorder="1" applyAlignment="1" applyProtection="1">
      <alignment horizontal="left" vertical="center" wrapText="1"/>
    </xf>
    <xf numFmtId="0" fontId="288" fillId="0" borderId="9" xfId="0" applyNumberFormat="1" applyFont="1" applyBorder="1" applyAlignment="1" applyProtection="1">
      <alignment horizontal="left" vertical="center" wrapText="1"/>
    </xf>
    <xf numFmtId="0" fontId="288" fillId="0" borderId="10" xfId="0" applyNumberFormat="1" applyFont="1" applyBorder="1" applyAlignment="1" applyProtection="1">
      <alignment horizontal="left" vertical="center" wrapText="1"/>
    </xf>
    <xf numFmtId="0" fontId="286" fillId="0" borderId="3" xfId="0" applyNumberFormat="1" applyFont="1" applyBorder="1" applyAlignment="1" applyProtection="1">
      <alignment horizontal="left" vertical="center" wrapText="1"/>
    </xf>
    <xf numFmtId="0" fontId="286" fillId="0" borderId="22" xfId="0" applyNumberFormat="1" applyFont="1" applyBorder="1" applyAlignment="1" applyProtection="1">
      <alignment horizontal="left" vertical="center" wrapTex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84"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Fill="1" applyBorder="1" applyAlignment="1">
      <alignment horizontal="center"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104">
    <cellStyle name="百分比" xfId="17" builtinId="5"/>
    <cellStyle name="百分比 2" xfId="14"/>
    <cellStyle name="百分比 3" xfId="69"/>
    <cellStyle name="常规" xfId="0" builtinId="0"/>
    <cellStyle name="常规 11" xfId="18"/>
    <cellStyle name="常规 11 2" xfId="19"/>
    <cellStyle name="常规 11 2 2" xfId="70"/>
    <cellStyle name="常规 16" xfId="10"/>
    <cellStyle name="常规 16 2" xfId="63"/>
    <cellStyle name="常规 2" xfId="1"/>
    <cellStyle name="常规 2 2" xfId="8"/>
    <cellStyle name="常规 2 2 2" xfId="61"/>
    <cellStyle name="常规 2 2 2 2 3" xfId="15"/>
    <cellStyle name="常规 2 2 2 2 3 2" xfId="67"/>
    <cellStyle name="常规 2 3" xfId="54"/>
    <cellStyle name="常规 3" xfId="2"/>
    <cellStyle name="常规 3 10" xfId="20"/>
    <cellStyle name="常规 3 10 2" xfId="71"/>
    <cellStyle name="常规 3 11" xfId="21"/>
    <cellStyle name="常规 3 11 2" xfId="72"/>
    <cellStyle name="常规 3 12" xfId="22"/>
    <cellStyle name="常规 3 12 2" xfId="73"/>
    <cellStyle name="常规 3 13" xfId="55"/>
    <cellStyle name="常规 3 2" xfId="3"/>
    <cellStyle name="常规 3 2 2" xfId="23"/>
    <cellStyle name="常规 3 2 2 2" xfId="74"/>
    <cellStyle name="常规 3 2 3" xfId="56"/>
    <cellStyle name="常规 3 3" xfId="24"/>
    <cellStyle name="常规 3 3 2" xfId="75"/>
    <cellStyle name="常规 3 4" xfId="25"/>
    <cellStyle name="常规 3 4 2" xfId="76"/>
    <cellStyle name="常规 3 5" xfId="26"/>
    <cellStyle name="常规 3 5 2" xfId="77"/>
    <cellStyle name="常规 3 6" xfId="27"/>
    <cellStyle name="常规 3 6 2" xfId="78"/>
    <cellStyle name="常规 3 7" xfId="28"/>
    <cellStyle name="常规 3 7 2" xfId="79"/>
    <cellStyle name="常规 3 8" xfId="29"/>
    <cellStyle name="常规 3 8 2" xfId="80"/>
    <cellStyle name="常规 3 9" xfId="30"/>
    <cellStyle name="常规 3 9 2" xfId="81"/>
    <cellStyle name="常规 4" xfId="4"/>
    <cellStyle name="常规 4 10" xfId="31"/>
    <cellStyle name="常规 4 10 2" xfId="82"/>
    <cellStyle name="常规 4 11" xfId="32"/>
    <cellStyle name="常规 4 11 2" xfId="83"/>
    <cellStyle name="常规 4 12" xfId="33"/>
    <cellStyle name="常规 4 12 2" xfId="84"/>
    <cellStyle name="常规 4 13" xfId="57"/>
    <cellStyle name="常规 4 2" xfId="34"/>
    <cellStyle name="常规 4 2 2" xfId="85"/>
    <cellStyle name="常规 4 3" xfId="35"/>
    <cellStyle name="常规 4 3 2" xfId="86"/>
    <cellStyle name="常规 4 4" xfId="36"/>
    <cellStyle name="常规 4 4 2" xfId="87"/>
    <cellStyle name="常规 4 5" xfId="37"/>
    <cellStyle name="常规 4 5 2" xfId="88"/>
    <cellStyle name="常规 4 6" xfId="38"/>
    <cellStyle name="常规 4 6 2" xfId="89"/>
    <cellStyle name="常规 4 7" xfId="39"/>
    <cellStyle name="常规 4 7 2" xfId="90"/>
    <cellStyle name="常规 4 8" xfId="40"/>
    <cellStyle name="常规 4 8 2" xfId="91"/>
    <cellStyle name="常规 4 9" xfId="41"/>
    <cellStyle name="常规 4 9 2" xfId="92"/>
    <cellStyle name="常规 5" xfId="5"/>
    <cellStyle name="常规 5 10" xfId="42"/>
    <cellStyle name="常规 5 10 2" xfId="93"/>
    <cellStyle name="常规 5 11" xfId="43"/>
    <cellStyle name="常规 5 11 2" xfId="94"/>
    <cellStyle name="常规 5 12" xfId="44"/>
    <cellStyle name="常规 5 12 2" xfId="95"/>
    <cellStyle name="常规 5 13" xfId="58"/>
    <cellStyle name="常规 5 2" xfId="45"/>
    <cellStyle name="常规 5 2 2" xfId="96"/>
    <cellStyle name="常规 5 3" xfId="46"/>
    <cellStyle name="常规 5 3 2" xfId="97"/>
    <cellStyle name="常规 5 4" xfId="47"/>
    <cellStyle name="常规 5 4 2" xfId="98"/>
    <cellStyle name="常规 5 5" xfId="48"/>
    <cellStyle name="常规 5 5 2" xfId="99"/>
    <cellStyle name="常规 5 6" xfId="49"/>
    <cellStyle name="常规 5 6 2" xfId="100"/>
    <cellStyle name="常规 5 7" xfId="50"/>
    <cellStyle name="常规 5 7 2" xfId="101"/>
    <cellStyle name="常规 5 8" xfId="51"/>
    <cellStyle name="常规 5 8 2" xfId="102"/>
    <cellStyle name="常规 5 9" xfId="52"/>
    <cellStyle name="常规 5 9 2" xfId="103"/>
    <cellStyle name="常规 6" xfId="6"/>
    <cellStyle name="常规 6 2" xfId="9"/>
    <cellStyle name="常规 6 2 2" xfId="16"/>
    <cellStyle name="常规 6 2 2 2" xfId="68"/>
    <cellStyle name="常规 6 2 3" xfId="13"/>
    <cellStyle name="常规 6 2 3 2" xfId="66"/>
    <cellStyle name="常规 6 2 4" xfId="62"/>
    <cellStyle name="常规 6 3" xfId="59"/>
    <cellStyle name="常规 7" xfId="7"/>
    <cellStyle name="常规 7 2" xfId="60"/>
    <cellStyle name="常规 8" xfId="11"/>
    <cellStyle name="常规 8 2" xfId="64"/>
    <cellStyle name="常规 9" xfId="12"/>
    <cellStyle name="常规 9 2" xfId="65"/>
    <cellStyle name="千位分隔 2" xfId="53"/>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3"/>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2954000" y="2416970"/>
          <a:ext cx="6800000" cy="71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北京市石景山区玉泉西里一区2号楼1层107房地产市场价值预评估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受贵公司委托，我公司对北京市石景山区玉泉西里一区2号楼1层107房地产市场价值进行了预评估。</v>
      </c>
    </row>
    <row r="7" spans="1:2" s="1203" customFormat="1">
      <c r="A7" s="1201" t="s">
        <v>566</v>
      </c>
      <c r="B7" s="1202" t="str">
        <f>'预评函-1'!A7</f>
        <v>估价对象为北京市石景山区玉泉西里一区2号楼1层107房地产，为北京海德置业集团有限公司所有。根据《国有土地使用证》[]，估价对象（分摊）出让国有建设用地使用权面积为0平方米，建筑面积为642平方米。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玉泉西里一区2号楼1层107房地产,属北京海德置业集团有限公司开发建设的居住项目，该项目尚在开发建设中。根据《国有土地使用证》[]，估价对象（分摊）出让国有建设用地使用权面积为0平方米，规划建筑面积为642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2024年5月14日（评估专业人员实地查勘之日）</v>
      </c>
    </row>
    <row r="13" spans="1:2" s="1203" customFormat="1">
      <c r="A13" s="1201" t="s">
        <v>529</v>
      </c>
      <c r="B13" s="1202" t="str">
        <f>'预评函-1'!A18</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北京市石景山区玉泉西里一区2号楼1层107房地产</v>
      </c>
    </row>
    <row r="42" spans="1:2" s="1203" customFormat="1">
      <c r="A42" s="1201" t="s">
        <v>590</v>
      </c>
      <c r="B42" s="1202" t="str">
        <f>'预评函-3'!B2</f>
        <v>建筑面积</v>
      </c>
    </row>
    <row r="43" spans="1:2" s="1203" customFormat="1">
      <c r="A43" s="1201" t="s">
        <v>591</v>
      </c>
      <c r="B43" s="1202">
        <f>'预评函-3'!B4</f>
        <v>642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2576</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2577</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玉泉西里一区2号楼1层107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5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3"/>
      <c r="B54" s="1554" t="s">
        <v>385</v>
      </c>
      <c r="C54" s="1551" t="s">
        <v>583</v>
      </c>
    </row>
    <row r="55" spans="1:4">
      <c r="A55" s="3653"/>
      <c r="B55" s="1554" t="s">
        <v>386</v>
      </c>
      <c r="C55" s="1551" t="s">
        <v>584</v>
      </c>
    </row>
    <row r="56" spans="1:4">
      <c r="A56" s="3653"/>
      <c r="B56" s="1554" t="s">
        <v>387</v>
      </c>
      <c r="C56" s="1551" t="s">
        <v>588</v>
      </c>
    </row>
    <row r="57" spans="1:4">
      <c r="A57" s="365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654" t="s">
        <v>2579</v>
      </c>
      <c r="J2" s="3654"/>
      <c r="K2" s="3654"/>
      <c r="L2" s="3654"/>
      <c r="M2" s="3654"/>
      <c r="N2" s="3654"/>
      <c r="O2" s="3654"/>
      <c r="P2" s="3654"/>
      <c r="Q2" s="3654"/>
      <c r="R2" s="3654"/>
    </row>
    <row r="3" spans="1:18">
      <c r="A3" s="3017" t="s">
        <v>2500</v>
      </c>
      <c r="B3" s="3018">
        <f>项目基本情况!D3</f>
        <v>45426</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2.6</v>
      </c>
      <c r="D5" s="3022">
        <f>IF(ISERROR(ROUND(POWER(1+E5,A5-C5)*(POWER(1+E5,C5)-1)/(POWER(1+E5,A5)-1),3)),0,ROUND(POWER(1+E5,A5-C5)*(POWER(1+E5,C5)-1)/(POWER(1+E5,A5)-1),4))</f>
        <v>0.1225</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12.6</v>
      </c>
      <c r="D6" s="3022">
        <f>IF(ISERROR(ROUND(POWER(1+E6,A6-C6)*(POWER(1+E6,C6)-1)/(POWER(1+E6,A6)-1),3)),0,ROUND(POWER(1+E6,A6-C6)*(POWER(1+E6,C6)-1)/(POWER(1+E6,A6)-1),4))</f>
        <v>0.45379999999999998</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32.619999999999997</v>
      </c>
      <c r="D7" s="3022">
        <f>IF(ISERROR(ROUND(POWER(1+E7,A7-C7)*(POWER(1+E7,C7)-1)/(POWER(1+E7,A7)-1),3)),0,ROUND(POWER(1+E7,A7-C7)*(POWER(1+E7,C7)-1)/(POWER(1+E7,A7)-1),4))</f>
        <v>0.77129999999999999</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9" sqref="H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55" t="str">
        <f>IF(B10="北京市","北京市",C10)&amp;F10&amp;IF(结果表!G1="在建","出让国有建设用地使用权及在建建筑物",IF(结果表!G1="土地","出让国有建设用地使用权",))&amp;B9&amp;"预评估"</f>
        <v>北京市石景山区玉泉西里一区2号楼1层107房地产市场价值预评估</v>
      </c>
      <c r="C1" s="3656"/>
      <c r="D1" s="3656"/>
      <c r="E1" s="3656"/>
      <c r="F1" s="3656"/>
      <c r="G1" s="3656"/>
      <c r="H1" s="3656"/>
      <c r="I1" s="3657"/>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北京市石景山区玉泉西里一区2号楼1层107房地产市场价值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北京市石景山区玉泉西里一区2号楼1层107房地产</v>
      </c>
      <c r="T2" s="1745"/>
      <c r="U2" s="1745"/>
      <c r="V2" s="1745"/>
      <c r="W2" s="1745"/>
      <c r="X2" s="1745"/>
      <c r="Y2" s="1745"/>
      <c r="Z2" s="1745"/>
      <c r="AA2" s="1745"/>
      <c r="AB2" s="1745"/>
    </row>
    <row r="3" spans="1:30">
      <c r="A3" s="302" t="s">
        <v>2170</v>
      </c>
      <c r="B3" s="3527">
        <v>45426</v>
      </c>
      <c r="C3" s="2374" t="s">
        <v>2171</v>
      </c>
      <c r="D3" s="2373">
        <f>B3</f>
        <v>45426</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3754</v>
      </c>
      <c r="C4" s="2376">
        <f ca="1">SUMIF(注册房地产估价师,B4,估价师及机构信息!B3:B24)</f>
        <v>1120100036</v>
      </c>
      <c r="D4" s="2375" t="s">
        <v>3755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3511</v>
      </c>
      <c r="C8" s="2390"/>
      <c r="D8" s="3658" t="s">
        <v>2177</v>
      </c>
      <c r="E8" s="2391"/>
      <c r="F8" s="2392"/>
      <c r="G8" s="2660"/>
      <c r="H8" s="2660"/>
      <c r="I8" s="2660"/>
      <c r="J8" s="2438"/>
      <c r="K8" s="2611"/>
      <c r="L8" s="2610"/>
      <c r="M8" s="2610"/>
      <c r="N8" s="2438"/>
      <c r="O8" s="2449"/>
      <c r="P8" s="2438"/>
      <c r="Q8" s="2438"/>
      <c r="R8" s="2438"/>
    </row>
    <row r="9" spans="1:30" ht="13.5" thickBot="1">
      <c r="A9" s="2393" t="s">
        <v>2178</v>
      </c>
      <c r="B9" s="2394" t="s">
        <v>3512</v>
      </c>
      <c r="C9" s="2395"/>
      <c r="D9" s="3659"/>
      <c r="E9" s="2394"/>
      <c r="F9" s="2396"/>
      <c r="G9" s="2662"/>
      <c r="H9" s="2662"/>
      <c r="I9" s="2662"/>
      <c r="J9" s="2438"/>
      <c r="K9" s="2613"/>
      <c r="L9" s="2610"/>
      <c r="M9" s="2610"/>
      <c r="N9" s="2438"/>
      <c r="O9" s="2449"/>
      <c r="P9" s="2438"/>
      <c r="Q9" s="2438"/>
      <c r="R9" s="2438"/>
    </row>
    <row r="10" spans="1:30" ht="13.5" thickTop="1">
      <c r="A10" s="2397" t="s">
        <v>2179</v>
      </c>
      <c r="B10" s="2398" t="s">
        <v>3513</v>
      </c>
      <c r="C10" s="2399"/>
      <c r="D10" s="2382"/>
      <c r="E10" s="2400" t="s">
        <v>2180</v>
      </c>
      <c r="F10" s="2663" t="s">
        <v>3756</v>
      </c>
      <c r="G10" s="2664"/>
      <c r="H10" s="2665"/>
      <c r="I10" s="2666"/>
      <c r="J10" s="2438"/>
      <c r="K10" s="2613"/>
      <c r="L10" s="2610"/>
      <c r="M10" s="2610"/>
      <c r="N10" s="2438"/>
      <c r="O10" s="2449"/>
      <c r="P10" s="2438"/>
      <c r="Q10" s="2438"/>
      <c r="R10" s="2438"/>
    </row>
    <row r="11" spans="1:30" ht="24">
      <c r="A11" s="2401" t="s">
        <v>2181</v>
      </c>
      <c r="B11" s="2402" t="s">
        <v>3514</v>
      </c>
      <c r="C11" s="3605" t="s">
        <v>3757</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5"/>
    </row>
    <row r="13" spans="1:30">
      <c r="A13" s="3420" t="s">
        <v>3595</v>
      </c>
      <c r="B13" s="2406" t="s">
        <v>2190</v>
      </c>
      <c r="C13" s="856"/>
      <c r="D13" s="856"/>
      <c r="E13" s="856"/>
      <c r="F13" s="856"/>
      <c r="G13" s="856"/>
      <c r="H13" s="856"/>
      <c r="I13" s="856"/>
      <c r="J13" s="3059"/>
      <c r="K13" s="2610"/>
      <c r="L13" s="2610"/>
      <c r="M13" s="2438"/>
      <c r="N13" s="2449"/>
      <c r="O13" s="2438"/>
      <c r="P13" s="2438"/>
      <c r="Q13" s="2438"/>
      <c r="AD13" s="1745"/>
    </row>
    <row r="14" spans="1:30">
      <c r="A14" s="1081"/>
      <c r="B14" s="2406" t="s">
        <v>2191</v>
      </c>
      <c r="C14" s="2407"/>
      <c r="D14" s="2407">
        <v>40</v>
      </c>
      <c r="E14" s="2407"/>
      <c r="F14" s="2407"/>
      <c r="G14" s="2407"/>
      <c r="H14" s="2407"/>
      <c r="I14" s="2407">
        <v>50</v>
      </c>
      <c r="J14" s="3060"/>
      <c r="K14" s="2610"/>
      <c r="L14" s="2610"/>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2193</v>
      </c>
      <c r="B16" s="3665"/>
      <c r="C16" s="3666"/>
      <c r="D16" s="3667"/>
      <c r="E16" s="2412" t="s">
        <v>2194</v>
      </c>
      <c r="F16" s="3668"/>
      <c r="G16" s="3669"/>
      <c r="H16" s="3669"/>
      <c r="I16" s="3670"/>
      <c r="J16" s="2438"/>
      <c r="K16" s="2614"/>
      <c r="L16" s="2450"/>
      <c r="M16" s="2450"/>
      <c r="N16" s="2506"/>
      <c r="O16" s="2450"/>
      <c r="P16" s="2506"/>
      <c r="Q16" s="2438"/>
      <c r="R16" s="2438"/>
    </row>
    <row r="17" spans="1:28">
      <c r="A17" s="313" t="s">
        <v>2195</v>
      </c>
      <c r="B17" s="302" t="s">
        <v>2196</v>
      </c>
      <c r="C17" s="8">
        <f>'数据-汇总表'!E3</f>
        <v>642</v>
      </c>
      <c r="D17" s="2322" t="s">
        <v>2197</v>
      </c>
      <c r="E17" s="3671" t="s">
        <v>2198</v>
      </c>
      <c r="F17" s="3672"/>
      <c r="G17" s="3672"/>
      <c r="H17" s="3672"/>
      <c r="I17" s="3673"/>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674" t="s">
        <v>2202</v>
      </c>
      <c r="F18" s="3675"/>
      <c r="G18" s="3675"/>
      <c r="H18" s="3675"/>
      <c r="I18" s="3676"/>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661" t="s">
        <v>2206</v>
      </c>
      <c r="C20" s="3662"/>
      <c r="D20" s="3663" t="s">
        <v>2207</v>
      </c>
      <c r="E20" s="3664"/>
      <c r="F20" s="2644" t="s">
        <v>1056</v>
      </c>
      <c r="G20" s="2661"/>
      <c r="H20" s="2661"/>
      <c r="I20" s="2661"/>
      <c r="J20" s="2438"/>
      <c r="K20" s="3660" t="s">
        <v>2208</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3758</v>
      </c>
      <c r="D21" s="1568" t="s">
        <v>2210</v>
      </c>
      <c r="E21" s="2632" t="s">
        <v>1057</v>
      </c>
      <c r="F21" s="2645"/>
      <c r="G21" s="2661"/>
      <c r="H21" s="2661"/>
      <c r="I21" s="2661"/>
      <c r="J21" s="2438"/>
      <c r="K21" s="366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66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678" t="s">
        <v>2214</v>
      </c>
      <c r="B27" s="320" t="s">
        <v>2215</v>
      </c>
      <c r="C27" s="2415" t="s">
        <v>3759</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678"/>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678"/>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679"/>
      <c r="B30" s="302" t="s">
        <v>2218</v>
      </c>
      <c r="C30" s="3680"/>
      <c r="D30" s="3681"/>
      <c r="E30" s="2661"/>
      <c r="F30" s="2661"/>
      <c r="G30" s="2661"/>
      <c r="H30" s="2661"/>
      <c r="I30" s="2661"/>
      <c r="J30" s="2438"/>
      <c r="K30" s="2613"/>
      <c r="L30" s="2610"/>
      <c r="M30" s="2610"/>
      <c r="N30" s="2438"/>
      <c r="O30" s="2449"/>
      <c r="P30" s="2438"/>
      <c r="Q30" s="2438"/>
      <c r="R30" s="2438"/>
      <c r="S30" s="2438"/>
      <c r="T30" s="2438"/>
      <c r="U30" s="2438"/>
      <c r="V30" s="2438"/>
    </row>
    <row r="31" spans="1:28">
      <c r="A31" s="3682"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683"/>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683"/>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t="s">
        <v>3515</v>
      </c>
      <c r="C34" s="2026" t="s">
        <v>3516</v>
      </c>
      <c r="D34" s="2026" t="s">
        <v>3517</v>
      </c>
      <c r="E34" s="2026" t="s">
        <v>3518</v>
      </c>
      <c r="F34" s="2026" t="s">
        <v>3519</v>
      </c>
      <c r="G34" s="2026"/>
      <c r="H34" s="2026"/>
      <c r="I34" s="2661"/>
      <c r="J34" s="2438"/>
      <c r="K34" s="2426">
        <f>COUNTIF(B34:H34,"——")</f>
        <v>0</v>
      </c>
      <c r="L34" s="323" t="s">
        <v>2221</v>
      </c>
      <c r="M34" s="323" t="s">
        <v>2222</v>
      </c>
      <c r="N34" s="323" t="s">
        <v>2223</v>
      </c>
      <c r="O34" s="323" t="s">
        <v>2224</v>
      </c>
      <c r="P34" s="323" t="s">
        <v>2225</v>
      </c>
      <c r="Q34" s="323" t="s">
        <v>2226</v>
      </c>
      <c r="R34" s="323" t="s">
        <v>2227</v>
      </c>
      <c r="S34" s="3677" t="s">
        <v>2228</v>
      </c>
      <c r="T34" s="2427" t="str">
        <f>NUMBERSTRING(7-K34,1)&amp;"通"</f>
        <v>七通</v>
      </c>
      <c r="U34" s="2438"/>
      <c r="V34" s="2438"/>
    </row>
    <row r="35" spans="1:30">
      <c r="A35" s="2428"/>
      <c r="B35" s="3684" t="s">
        <v>2229</v>
      </c>
      <c r="C35" s="3684"/>
      <c r="D35" s="3684"/>
      <c r="E35" s="3684"/>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677"/>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4" sqref="M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642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642</v>
      </c>
      <c r="H5" s="13">
        <f t="shared" ref="H5:AT5" si="0">SUM(H13:H656)</f>
        <v>642</v>
      </c>
      <c r="I5" s="13">
        <f t="shared" si="0"/>
        <v>642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642</v>
      </c>
      <c r="BA5" s="15">
        <f t="shared" si="1"/>
        <v>642</v>
      </c>
      <c r="BB5" s="15">
        <f t="shared" si="1"/>
        <v>642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3521</v>
      </c>
      <c r="E13" s="13">
        <f>IF($C$3="是",ROUND($A$3*G13/$B$3,2),ROUND($A$3*(G13-AT13)/$B$3,2))</f>
        <v>0</v>
      </c>
      <c r="F13" s="29"/>
      <c r="G13" s="30">
        <f>H13+AC13+AT13</f>
        <v>642</v>
      </c>
      <c r="H13" s="17">
        <f>SUMIF(I$12:AB$12,"总值",I13:AB13)</f>
        <v>642</v>
      </c>
      <c r="I13" s="1626">
        <v>642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642</v>
      </c>
      <c r="BA13" s="13">
        <f>SUM(BB13:BK13)</f>
        <v>642</v>
      </c>
      <c r="BB13" s="13">
        <f>IF($D13="是",I13-J13,0)</f>
        <v>642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94" t="s">
        <v>1131</v>
      </c>
      <c r="B2" s="3694"/>
      <c r="C2" s="3694"/>
      <c r="D2" s="796" t="s">
        <v>1107</v>
      </c>
      <c r="E2" s="1639" t="s">
        <v>1108</v>
      </c>
      <c r="F2" s="2656"/>
      <c r="G2" s="2647"/>
      <c r="H2" s="2648"/>
      <c r="I2" s="2325" t="s">
        <v>1132</v>
      </c>
      <c r="J2" s="2656"/>
      <c r="K2" s="2656"/>
      <c r="L2" s="2656"/>
      <c r="M2" s="2656"/>
      <c r="N2" s="2658"/>
      <c r="O2" s="2656"/>
      <c r="P2" s="2656"/>
    </row>
    <row r="3" spans="1:16" ht="15.75" thickBot="1">
      <c r="A3" s="3695" t="s">
        <v>1105</v>
      </c>
      <c r="B3" s="3695"/>
      <c r="C3" s="3695"/>
      <c r="D3" s="43">
        <f>'数据-基础表'!AY6</f>
        <v>0</v>
      </c>
      <c r="E3" s="43">
        <f>'数据-基础表'!AZ5</f>
        <v>642</v>
      </c>
      <c r="F3" s="2656"/>
      <c r="G3" s="1145"/>
      <c r="H3" s="1026" t="s">
        <v>1106</v>
      </c>
      <c r="I3" s="855" t="e">
        <f>ROUND('数据-基础表'!B3/'数据-基础表'!A3,2)</f>
        <v>#DIV/0!</v>
      </c>
      <c r="J3" s="2656"/>
      <c r="K3" s="2656"/>
      <c r="L3" s="2656"/>
      <c r="M3" s="2656"/>
      <c r="N3" s="2658"/>
      <c r="O3" s="2656"/>
      <c r="P3" s="2656"/>
    </row>
    <row r="4" spans="1:16" ht="15">
      <c r="A4" s="3696"/>
      <c r="B4" s="3697"/>
      <c r="C4" s="3698"/>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699" t="s">
        <v>1110</v>
      </c>
      <c r="C5" s="3699"/>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699" t="s">
        <v>1111</v>
      </c>
      <c r="C6" s="3699"/>
      <c r="D6" s="45">
        <f>ROUND($D$3*E6/$E$3,2)</f>
        <v>0</v>
      </c>
      <c r="E6" s="46">
        <f>E3-E5</f>
        <v>642</v>
      </c>
      <c r="F6" s="2656"/>
      <c r="G6" s="2650" t="s">
        <v>1112</v>
      </c>
      <c r="H6" s="1146" t="s">
        <v>1113</v>
      </c>
      <c r="I6" s="2651" t="e">
        <f>ROUND(F31/D31,2)</f>
        <v>#DIV/0!</v>
      </c>
      <c r="J6" s="2656"/>
      <c r="K6" s="2656"/>
      <c r="L6" s="2656"/>
      <c r="M6" s="2656"/>
      <c r="N6" s="2656"/>
      <c r="O6" s="2656"/>
      <c r="P6" s="2656"/>
    </row>
    <row r="7" spans="1:16" ht="15.75" thickBot="1">
      <c r="A7" s="3691"/>
      <c r="B7" s="3692"/>
      <c r="C7" s="3693"/>
      <c r="D7" s="1641" t="s">
        <v>1107</v>
      </c>
      <c r="E7" s="1645"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642</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642</v>
      </c>
      <c r="F16" s="2656"/>
      <c r="G16" s="2657"/>
      <c r="H16" s="1648" t="s">
        <v>1135</v>
      </c>
      <c r="I16" s="1649"/>
      <c r="J16" s="1139"/>
      <c r="K16" s="3688" t="s">
        <v>1135</v>
      </c>
      <c r="L16" s="3689"/>
      <c r="M16" s="3689"/>
      <c r="N16" s="3689"/>
      <c r="O16" s="3689"/>
      <c r="P16" s="3690"/>
    </row>
    <row r="17" spans="1:19" ht="15">
      <c r="A17" s="1650" t="s">
        <v>1136</v>
      </c>
      <c r="B17" s="1651" t="s">
        <v>1137</v>
      </c>
      <c r="C17" s="1652" t="s">
        <v>1138</v>
      </c>
      <c r="D17" s="1653" t="s">
        <v>1126</v>
      </c>
      <c r="E17" s="1654" t="s">
        <v>1127</v>
      </c>
      <c r="F17" s="1655"/>
      <c r="G17" s="1656"/>
      <c r="H17" s="1657" t="s">
        <v>1139</v>
      </c>
      <c r="I17" s="1658" t="s">
        <v>1124</v>
      </c>
      <c r="J17" s="1139"/>
      <c r="K17" s="3685" t="s">
        <v>1140</v>
      </c>
      <c r="L17" s="3686"/>
      <c r="M17" s="3687"/>
      <c r="N17" s="3685" t="s">
        <v>1141</v>
      </c>
      <c r="O17" s="3686"/>
      <c r="P17" s="368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3522</v>
      </c>
      <c r="D19" s="45">
        <f>ROUND($D$3*E19/$E$3,2)</f>
        <v>0</v>
      </c>
      <c r="E19" s="53">
        <f t="shared" ref="E19:E26" si="1">SUM(F19:G19)</f>
        <v>642</v>
      </c>
      <c r="F19" s="2792">
        <f>'数据-基础表'!I5</f>
        <v>642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642</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642</v>
      </c>
      <c r="F27" s="1140">
        <f>IF(SUM(F19:F26)=E8,SUM(F19:F26),"地上面积有误")</f>
        <v>642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642</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642</v>
      </c>
      <c r="F31" s="677">
        <f>F27+F30</f>
        <v>642</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32" sqref="J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45426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0.06</v>
      </c>
      <c r="J6" s="66">
        <v>7.0000000000000007E-2</v>
      </c>
      <c r="K6" s="1030">
        <f>SUMIF('数据-汇总表'!C$19:C$33,A6,'数据-汇总表'!E$19:E$33)</f>
        <v>642</v>
      </c>
      <c r="L6" s="733">
        <v>4500</v>
      </c>
      <c r="M6" s="67">
        <f t="shared" ref="M6:M14" si="0">ROUND(K6*L6/10000,0)</f>
        <v>289</v>
      </c>
      <c r="N6" s="731">
        <f>N20</f>
        <v>0.77500000000000002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13</v>
      </c>
      <c r="V6" s="70">
        <v>2.5000000000000001E-2</v>
      </c>
      <c r="W6" s="70">
        <v>0.05</v>
      </c>
      <c r="X6" s="1040"/>
      <c r="Y6" s="71">
        <f>N6</f>
        <v>0.77500000000000002</v>
      </c>
      <c r="Z6" s="72"/>
      <c r="AA6" s="66"/>
      <c r="AB6" s="66"/>
      <c r="AC6" s="1040"/>
      <c r="AD6" s="73"/>
      <c r="AE6" s="1041">
        <f ca="1">IF(AN6="",0,SUMIF(INDIRECT("'"&amp;AN6&amp;"'"&amp;"!E:E"),$AE$5,INDIRECT("'"&amp;AN6&amp;"'"&amp;"!F:F")))</f>
        <v>0</v>
      </c>
      <c r="AF6" s="1348"/>
      <c r="AG6" s="138">
        <f>IF(AF6="",0,AE6-AF6)</f>
        <v>0</v>
      </c>
      <c r="AH6" s="74"/>
      <c r="AI6" s="76">
        <v>365</v>
      </c>
      <c r="AJ6" s="77"/>
      <c r="AK6" s="78">
        <v>1.4999999999999999E-2</v>
      </c>
      <c r="AL6" s="79">
        <v>1.5E-3</v>
      </c>
      <c r="AM6" s="80">
        <v>0.01</v>
      </c>
      <c r="AN6" s="1715" t="s">
        <v>3574</v>
      </c>
      <c r="AO6" s="52">
        <f ca="1">SUMIF(INDIRECT("'"&amp;AN6&amp;"'"&amp;"!A:A"),"总价",INDIRECT("'"&amp;AN6&amp;"'"&amp;"!B:B"))</f>
        <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642</v>
      </c>
      <c r="L16" s="93">
        <f>ROUND(M16*10000/SUM(K6:K14),0)</f>
        <v>4502</v>
      </c>
      <c r="M16" s="93">
        <f>SUM(M6:M14)</f>
        <v>289</v>
      </c>
      <c r="N16" s="94">
        <f>ROUND(SUMPRODUCT(M6:M14,N6:N14)/M16,3)</f>
        <v>0.77500000000000002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3528" t="s">
        <v>3523</v>
      </c>
      <c r="N17" s="2668">
        <v>2008</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528" t="s">
        <v>3524</v>
      </c>
      <c r="N18" s="2668">
        <f>ROUND(1-(2023-N17)/60,2)</f>
        <v>0.75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3528" t="s">
        <v>3575</v>
      </c>
      <c r="N19" s="3545">
        <v>0.8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2668"/>
      <c r="N20" s="2668">
        <f>(N19+N18)/2</f>
        <v>0.77500000000000002</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12.84</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3576</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700" t="s">
        <v>2282</v>
      </c>
      <c r="B1" s="3701"/>
      <c r="C1" s="3701"/>
      <c r="D1" s="3701"/>
      <c r="E1" s="3701"/>
      <c r="F1" s="3701"/>
      <c r="G1" s="370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529" t="s">
        <v>3526</v>
      </c>
      <c r="D3" s="2463"/>
      <c r="E3" s="2441" t="s">
        <v>2280</v>
      </c>
      <c r="F3" s="2464" t="s">
        <v>2253</v>
      </c>
      <c r="G3" s="2465" t="s">
        <v>2281</v>
      </c>
      <c r="H3" s="799"/>
      <c r="I3" s="799"/>
      <c r="J3" s="799"/>
      <c r="K3" s="799"/>
      <c r="L3" s="799"/>
      <c r="M3" s="799"/>
      <c r="N3" s="799"/>
      <c r="O3" s="799"/>
      <c r="P3" s="799"/>
      <c r="Q3" s="799"/>
      <c r="R3" s="799"/>
    </row>
    <row r="4" spans="1:29" ht="36">
      <c r="A4" s="2441"/>
      <c r="B4" s="323" t="s">
        <v>2254</v>
      </c>
      <c r="C4" s="3530" t="s">
        <v>3577</v>
      </c>
      <c r="D4" s="2463"/>
      <c r="E4" s="2466"/>
      <c r="F4" s="1373" t="s">
        <v>2255</v>
      </c>
      <c r="G4" s="2467" t="s">
        <v>2256</v>
      </c>
      <c r="H4" s="799"/>
      <c r="I4" s="799"/>
      <c r="J4" s="799"/>
      <c r="K4" s="799"/>
      <c r="L4" s="799"/>
      <c r="M4" s="799"/>
      <c r="N4" s="799"/>
      <c r="O4" s="799"/>
      <c r="P4" s="799"/>
      <c r="Q4" s="799"/>
      <c r="R4" s="799"/>
    </row>
    <row r="5" spans="1:29" ht="24">
      <c r="A5" s="2441"/>
      <c r="B5" s="323" t="s">
        <v>2257</v>
      </c>
      <c r="C5" s="3530" t="s">
        <v>3527</v>
      </c>
      <c r="D5" s="2463"/>
      <c r="E5" s="2466"/>
      <c r="F5" s="323" t="s">
        <v>2258</v>
      </c>
      <c r="G5" s="2467" t="s">
        <v>2259</v>
      </c>
      <c r="H5" s="799"/>
      <c r="I5" s="799"/>
      <c r="J5" s="799"/>
      <c r="K5" s="799"/>
      <c r="L5" s="799"/>
      <c r="M5" s="799"/>
      <c r="N5" s="799"/>
      <c r="O5" s="799"/>
      <c r="P5" s="799"/>
      <c r="Q5" s="799"/>
      <c r="R5" s="799"/>
    </row>
    <row r="6" spans="1:29">
      <c r="A6" s="2441"/>
      <c r="B6" s="323" t="s">
        <v>2260</v>
      </c>
      <c r="C6" s="3531" t="s">
        <v>3527</v>
      </c>
      <c r="D6" s="2463"/>
      <c r="E6" s="2466"/>
      <c r="F6" s="323" t="s">
        <v>2261</v>
      </c>
      <c r="G6" s="2467" t="s">
        <v>2262</v>
      </c>
      <c r="H6" s="799"/>
      <c r="I6" s="799"/>
      <c r="J6" s="799"/>
      <c r="K6" s="799"/>
      <c r="L6" s="799"/>
      <c r="M6" s="799"/>
      <c r="N6" s="799"/>
      <c r="O6" s="799"/>
      <c r="P6" s="799"/>
      <c r="Q6" s="799"/>
      <c r="R6" s="799"/>
    </row>
    <row r="7" spans="1:29" ht="24.75" thickBot="1">
      <c r="A7" s="2441"/>
      <c r="B7" s="323" t="s">
        <v>2258</v>
      </c>
      <c r="C7" s="3531" t="s">
        <v>3527</v>
      </c>
      <c r="D7" s="2468"/>
      <c r="E7" s="2469"/>
      <c r="F7" s="2470" t="s">
        <v>2263</v>
      </c>
      <c r="G7" s="2471" t="s">
        <v>2264</v>
      </c>
      <c r="H7" s="799"/>
      <c r="I7" s="799"/>
      <c r="J7" s="799"/>
      <c r="K7" s="799"/>
      <c r="L7" s="799"/>
      <c r="M7" s="799"/>
      <c r="N7" s="799"/>
      <c r="O7" s="799"/>
      <c r="P7" s="799"/>
      <c r="Q7" s="799"/>
      <c r="R7" s="799"/>
    </row>
    <row r="8" spans="1:29">
      <c r="A8" s="2441"/>
      <c r="B8" s="323" t="s">
        <v>2261</v>
      </c>
      <c r="C8" s="3531" t="s">
        <v>3528</v>
      </c>
      <c r="D8" s="2468"/>
      <c r="E8" s="2468"/>
      <c r="F8" s="2472"/>
      <c r="G8" s="2472"/>
      <c r="H8" s="799"/>
      <c r="I8" s="799"/>
      <c r="J8" s="799"/>
      <c r="K8" s="799"/>
      <c r="L8" s="799"/>
      <c r="M8" s="799"/>
      <c r="N8" s="799"/>
      <c r="O8" s="799"/>
      <c r="P8" s="799"/>
      <c r="Q8" s="799"/>
      <c r="R8" s="799"/>
    </row>
    <row r="9" spans="1:29">
      <c r="A9" s="2441"/>
      <c r="B9" s="323" t="s">
        <v>2265</v>
      </c>
      <c r="C9" s="3530" t="s">
        <v>3527</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较好</v>
      </c>
      <c r="D16" s="2463"/>
      <c r="E16" s="2446"/>
      <c r="F16" s="2499" t="s">
        <v>2255</v>
      </c>
      <c r="G16" s="2500" t="str">
        <f>G4</f>
        <v>估价对象周边道路状况、公共交通通达情况、停车便捷程度，综合评价交通便捷度较好</v>
      </c>
    </row>
    <row r="17" spans="1:18">
      <c r="A17" s="2445"/>
      <c r="B17" s="2497" t="s">
        <v>2257</v>
      </c>
      <c r="C17" s="2498" t="str">
        <f>C5</f>
        <v>较好</v>
      </c>
      <c r="D17" s="2468"/>
      <c r="E17" s="2446"/>
      <c r="F17" s="2499" t="s">
        <v>2272</v>
      </c>
      <c r="G17" s="2501"/>
    </row>
    <row r="18" spans="1:18" ht="25.5">
      <c r="A18" s="2445"/>
      <c r="B18" s="2499" t="s">
        <v>2260</v>
      </c>
      <c r="C18" s="2500" t="str">
        <f>C6</f>
        <v>较好</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3" sqref="L33"/>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642</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45426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SUM(D14:D23)</f>
        <v>4121</v>
      </c>
      <c r="C5" s="2509" t="e">
        <f ca="1">IF(B5=D14,结果表!H102,ROUND(B5*10000/$B$1,0))</f>
        <v>#DIV/0!</v>
      </c>
      <c r="D5" s="2509" t="e">
        <f>ROUND(B5*10000/$B$2,0)</f>
        <v>#DIV/0!</v>
      </c>
      <c r="E5" s="2683"/>
      <c r="F5" s="2684"/>
      <c r="G5" s="2684"/>
      <c r="H5" s="2685"/>
      <c r="I5" s="2685"/>
      <c r="J5" s="2685"/>
      <c r="K5" s="2685"/>
    </row>
    <row r="6" spans="1:11" ht="16.5">
      <c r="A6" s="2509" t="s">
        <v>656</v>
      </c>
      <c r="B6" s="2509">
        <f>SUM(G14:G23)</f>
        <v>4121</v>
      </c>
      <c r="C6" s="2509" t="e">
        <f ca="1">IF(B6=G14,结果表!H108,ROUND(B6*10000/$B$1,0))</f>
        <v>#DIV/0!</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4121</v>
      </c>
      <c r="C10" s="2509" t="s">
        <v>3357</v>
      </c>
      <c r="D10" s="2509" t="s">
        <v>3358</v>
      </c>
      <c r="E10" s="3438">
        <f>'比较法-商业'!C49</f>
        <v>10.199999999999999</v>
      </c>
      <c r="F10" s="3441" t="s">
        <v>3359</v>
      </c>
      <c r="G10" s="3544">
        <v>5.8000000000000003E-2</v>
      </c>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'数据-汇总表'!F19</f>
        <v>642</v>
      </c>
      <c r="C14" s="2515"/>
      <c r="D14" s="2515">
        <f>B10</f>
        <v>4121</v>
      </c>
      <c r="E14" s="2515">
        <f>ROUND(D14*10000/B14,0)</f>
        <v>64190</v>
      </c>
      <c r="F14" s="2515" t="e">
        <f>ROUND(D14*10000/C14,0)</f>
        <v>#DIV/0!</v>
      </c>
      <c r="G14" s="2515">
        <f>D14</f>
        <v>4121</v>
      </c>
      <c r="H14" s="2515"/>
      <c r="I14" s="2515"/>
      <c r="J14" s="2684" t="s">
        <v>3792</v>
      </c>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3504</v>
      </c>
      <c r="D1" s="1747"/>
      <c r="E1" s="1747"/>
      <c r="F1" s="1749" t="s">
        <v>1263</v>
      </c>
      <c r="G1" s="1561" t="s">
        <v>3569</v>
      </c>
      <c r="H1" s="1750" t="str">
        <f>IF(G1="现房","——","估价对象范围")</f>
        <v>——</v>
      </c>
      <c r="I1" s="1751" t="s">
        <v>3570</v>
      </c>
    </row>
    <row r="2" spans="1:12" ht="21.75" customHeight="1" thickBot="1">
      <c r="A2" s="3769" t="str">
        <f>项目基本情况!S2</f>
        <v>北京市石景山区玉泉西里一区2号楼1层107房地产</v>
      </c>
      <c r="B2" s="3770"/>
      <c r="C2" s="3770"/>
      <c r="D2" s="3770"/>
      <c r="E2" s="3770"/>
      <c r="F2" s="3770"/>
      <c r="G2" s="3770"/>
      <c r="H2" s="3770"/>
      <c r="I2" s="3771"/>
    </row>
    <row r="3" spans="1:12" ht="12.75">
      <c r="A3" s="3773" t="s">
        <v>1264</v>
      </c>
      <c r="B3" s="3774"/>
      <c r="C3" s="3774"/>
      <c r="D3" s="3774"/>
      <c r="E3" s="3774"/>
      <c r="F3" s="3774"/>
      <c r="G3" s="3774"/>
      <c r="H3" s="3774"/>
      <c r="I3" s="3774"/>
    </row>
    <row r="4" spans="1:12" ht="14.25">
      <c r="A4" s="1754" t="s">
        <v>1265</v>
      </c>
      <c r="B4" s="1755" t="s">
        <v>1266</v>
      </c>
      <c r="C4" s="1756"/>
      <c r="D4" s="1756"/>
      <c r="E4" s="3778" t="s">
        <v>1267</v>
      </c>
      <c r="F4" s="3779"/>
      <c r="G4" s="3779"/>
      <c r="H4" s="3779"/>
      <c r="I4" s="378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17" t="s">
        <v>1268</v>
      </c>
      <c r="B5" s="3772">
        <v>25</v>
      </c>
      <c r="C5" s="3775"/>
      <c r="D5" s="3763"/>
      <c r="E5" s="131" t="s">
        <v>1269</v>
      </c>
      <c r="F5" s="1757"/>
      <c r="G5" s="1757"/>
      <c r="H5" s="1757"/>
      <c r="I5" s="1373"/>
    </row>
    <row r="6" spans="1:12" ht="12.75">
      <c r="A6" s="3717"/>
      <c r="B6" s="3772"/>
      <c r="C6" s="3777"/>
      <c r="D6" s="3763"/>
      <c r="E6" s="131" t="s">
        <v>1270</v>
      </c>
      <c r="F6" s="1757"/>
      <c r="G6" s="1757"/>
      <c r="H6" s="1757"/>
      <c r="I6" s="1373"/>
    </row>
    <row r="7" spans="1:12" ht="12.75">
      <c r="A7" s="3717"/>
      <c r="B7" s="3772"/>
      <c r="C7" s="3776"/>
      <c r="D7" s="3763"/>
      <c r="E7" s="131" t="s">
        <v>1271</v>
      </c>
      <c r="F7" s="1757"/>
      <c r="G7" s="1757"/>
      <c r="H7" s="1757"/>
      <c r="I7" s="1373"/>
    </row>
    <row r="8" spans="1:12" ht="12.75">
      <c r="A8" s="3717" t="s">
        <v>1272</v>
      </c>
      <c r="B8" s="3772">
        <v>15</v>
      </c>
      <c r="C8" s="3775"/>
      <c r="D8" s="3763"/>
      <c r="E8" s="131" t="s">
        <v>1273</v>
      </c>
      <c r="F8" s="1757"/>
      <c r="G8" s="1757"/>
      <c r="H8" s="1757"/>
      <c r="I8" s="1373"/>
    </row>
    <row r="9" spans="1:12" ht="12.75">
      <c r="A9" s="3717"/>
      <c r="B9" s="3772"/>
      <c r="C9" s="3776"/>
      <c r="D9" s="3763"/>
      <c r="E9" s="131" t="s">
        <v>1274</v>
      </c>
      <c r="F9" s="1757"/>
      <c r="G9" s="1757"/>
      <c r="H9" s="1757"/>
      <c r="I9" s="1373"/>
    </row>
    <row r="10" spans="1:12" ht="12.75">
      <c r="A10" s="3717" t="s">
        <v>1275</v>
      </c>
      <c r="B10" s="3772">
        <v>15</v>
      </c>
      <c r="C10" s="3775"/>
      <c r="D10" s="3763"/>
      <c r="E10" s="131" t="s">
        <v>1276</v>
      </c>
      <c r="F10" s="1757"/>
      <c r="G10" s="1757"/>
      <c r="H10" s="1757"/>
      <c r="I10" s="1373"/>
    </row>
    <row r="11" spans="1:12" ht="12.75">
      <c r="A11" s="3717"/>
      <c r="B11" s="3772"/>
      <c r="C11" s="3776"/>
      <c r="D11" s="3763"/>
      <c r="E11" s="131" t="s">
        <v>1277</v>
      </c>
      <c r="F11" s="1757"/>
      <c r="G11" s="1757"/>
      <c r="H11" s="1757"/>
      <c r="I11" s="1373"/>
    </row>
    <row r="12" spans="1:12" ht="12.75">
      <c r="A12" s="3717" t="s">
        <v>1278</v>
      </c>
      <c r="B12" s="3772">
        <v>15</v>
      </c>
      <c r="C12" s="3775"/>
      <c r="D12" s="3763"/>
      <c r="E12" s="131" t="s">
        <v>1279</v>
      </c>
      <c r="F12" s="1757"/>
      <c r="G12" s="1757"/>
      <c r="H12" s="1757"/>
      <c r="I12" s="1373"/>
    </row>
    <row r="13" spans="1:12" ht="12.75">
      <c r="A13" s="3717"/>
      <c r="B13" s="3772"/>
      <c r="C13" s="3776"/>
      <c r="D13" s="3763"/>
      <c r="E13" s="131" t="s">
        <v>1280</v>
      </c>
      <c r="F13" s="1757"/>
      <c r="G13" s="1757"/>
      <c r="H13" s="1757"/>
      <c r="I13" s="1373"/>
    </row>
    <row r="14" spans="1:12" ht="12.75">
      <c r="A14" s="3717" t="s">
        <v>1281</v>
      </c>
      <c r="B14" s="3772">
        <v>30</v>
      </c>
      <c r="C14" s="3775"/>
      <c r="D14" s="3763"/>
      <c r="E14" s="131" t="s">
        <v>1282</v>
      </c>
      <c r="F14" s="1757"/>
      <c r="G14" s="1757"/>
      <c r="H14" s="1757"/>
      <c r="I14" s="1373"/>
    </row>
    <row r="15" spans="1:12" ht="12.75">
      <c r="A15" s="3717"/>
      <c r="B15" s="3772"/>
      <c r="C15" s="3777"/>
      <c r="D15" s="3763"/>
      <c r="E15" s="131" t="s">
        <v>1283</v>
      </c>
      <c r="F15" s="1757"/>
      <c r="G15" s="1757"/>
      <c r="H15" s="1757"/>
      <c r="I15" s="1373"/>
    </row>
    <row r="16" spans="1:12" ht="12.75">
      <c r="A16" s="3717"/>
      <c r="B16" s="3772"/>
      <c r="C16" s="3776"/>
      <c r="D16" s="3763"/>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794" t="s">
        <v>2131</v>
      </c>
      <c r="F18" s="3795"/>
      <c r="G18" s="3795"/>
      <c r="H18" s="3795"/>
      <c r="I18" s="3795"/>
      <c r="K18" s="302" t="s">
        <v>1289</v>
      </c>
      <c r="L18" s="302">
        <f>IF(C1="",'数据-汇总表'!E3,SUMIF(项目类型,C1,'数据-汇总表'!E17:E26)+SUMIF(项目类型,C1,'数据-汇总表'!I17:I26))</f>
        <v>642</v>
      </c>
      <c r="M18" s="302">
        <f>IF(C1="",'数据-汇总表'!E3,SUMIF(项目类型,C1,'数据-汇总表'!E17:E26))</f>
        <v>642</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87" t="s">
        <v>1299</v>
      </c>
      <c r="B24" s="1762" t="s">
        <v>1291</v>
      </c>
      <c r="C24" s="136">
        <f>IF(B30=0,0,D30)</f>
        <v>0</v>
      </c>
      <c r="D24" s="1769"/>
      <c r="E24" s="129"/>
      <c r="F24" s="129"/>
      <c r="G24" s="129"/>
      <c r="H24" s="129"/>
      <c r="I24" s="129"/>
    </row>
    <row r="25" spans="1:36" ht="14.25">
      <c r="A25" s="378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64" t="s">
        <v>1312</v>
      </c>
      <c r="B36" s="1787" t="s">
        <v>1313</v>
      </c>
      <c r="C36" s="145"/>
      <c r="D36" s="1788"/>
      <c r="E36" s="1789"/>
      <c r="F36" s="1790"/>
      <c r="G36" s="129"/>
      <c r="H36" s="129"/>
      <c r="I36" s="129"/>
    </row>
    <row r="37" spans="1:15" ht="15.75" thickBot="1">
      <c r="A37" s="3765"/>
      <c r="B37" s="1674" t="s">
        <v>1314</v>
      </c>
      <c r="C37" s="147"/>
      <c r="D37" s="1139"/>
      <c r="E37" s="1139"/>
      <c r="F37" s="1790"/>
      <c r="G37" s="129"/>
      <c r="H37" s="129"/>
      <c r="I37" s="129"/>
    </row>
    <row r="38" spans="1:15" ht="15.75" thickBot="1">
      <c r="A38" s="376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84" t="s">
        <v>1326</v>
      </c>
      <c r="B45" s="3785"/>
      <c r="C45" s="3786"/>
      <c r="D45" s="155" t="e">
        <f ca="1">ROUND(H101*F45,0)</f>
        <v>#REF!</v>
      </c>
      <c r="E45" s="156" t="s">
        <v>1327</v>
      </c>
      <c r="F45" s="157">
        <v>1</v>
      </c>
      <c r="G45" s="158" t="s">
        <v>1328</v>
      </c>
      <c r="H45" s="129"/>
      <c r="I45" s="129"/>
      <c r="J45" s="3704" t="s">
        <v>1329</v>
      </c>
      <c r="K45" s="3704"/>
      <c r="L45" s="3704"/>
      <c r="M45" s="3704"/>
      <c r="N45" s="3704"/>
      <c r="O45" s="3704"/>
    </row>
    <row r="46" spans="1:15" ht="14.25" customHeight="1">
      <c r="A46" s="3781" t="s">
        <v>1330</v>
      </c>
      <c r="B46" s="3782"/>
      <c r="C46" s="3782"/>
      <c r="D46" s="3782"/>
      <c r="E46" s="3782"/>
      <c r="F46" s="3782"/>
      <c r="G46" s="3783"/>
      <c r="H46" s="1806"/>
      <c r="I46" s="159"/>
      <c r="J46" s="2520">
        <v>1</v>
      </c>
      <c r="K46" s="3705" t="s">
        <v>1331</v>
      </c>
      <c r="L46" s="3705"/>
      <c r="M46" s="3706"/>
      <c r="N46" s="3706"/>
      <c r="O46" s="3706"/>
    </row>
    <row r="47" spans="1:15" ht="12" customHeight="1">
      <c r="A47" s="160" t="s">
        <v>1332</v>
      </c>
      <c r="B47" s="161"/>
      <c r="C47" s="162"/>
      <c r="D47" s="1087" t="s">
        <v>1333</v>
      </c>
      <c r="E47" s="302" t="s">
        <v>1334</v>
      </c>
      <c r="F47" s="163" t="s">
        <v>1335</v>
      </c>
      <c r="G47" s="2543" t="s">
        <v>1336</v>
      </c>
      <c r="H47" s="2544"/>
      <c r="I47" s="159"/>
      <c r="J47" s="2520">
        <v>2</v>
      </c>
      <c r="K47" s="3705" t="s">
        <v>1337</v>
      </c>
      <c r="L47" s="3705"/>
      <c r="M47" s="3707">
        <f>'数据-取费表'!B2</f>
        <v>45426</v>
      </c>
      <c r="N47" s="3707"/>
      <c r="O47" s="3707"/>
    </row>
    <row r="48" spans="1:15" ht="25.5">
      <c r="A48" s="3767" t="s">
        <v>1338</v>
      </c>
      <c r="B48" s="3768"/>
      <c r="C48" s="3768"/>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705" t="s">
        <v>1340</v>
      </c>
      <c r="L48" s="3705"/>
      <c r="M48" s="3708" t="e">
        <f ca="1">H101</f>
        <v>#REF!</v>
      </c>
      <c r="N48" s="3708"/>
      <c r="O48" s="3708"/>
    </row>
    <row r="49" spans="1:35" ht="25.5" customHeight="1">
      <c r="A49" s="2333" t="s">
        <v>1341</v>
      </c>
      <c r="B49" s="3753" t="s">
        <v>1342</v>
      </c>
      <c r="C49" s="3753"/>
      <c r="D49" s="1590">
        <v>0</v>
      </c>
      <c r="E49" s="324" t="s">
        <v>1343</v>
      </c>
      <c r="F49" s="2423" t="s">
        <v>28</v>
      </c>
      <c r="G49" s="3736"/>
      <c r="H49" s="2310" t="s">
        <v>2134</v>
      </c>
      <c r="I49" s="2311"/>
      <c r="J49" s="2520">
        <v>4</v>
      </c>
      <c r="K49" s="3705" t="str">
        <f>IF(项目基本情况!E8="房地产抵押价值","房地产抵押价值","抵押担保权已注销时的房地产抵押价值")</f>
        <v>抵押担保权已注销时的房地产抵押价值</v>
      </c>
      <c r="L49" s="3705"/>
      <c r="M49" s="3708" t="str">
        <f>IF(项目基本情况!E8="房地产抵押价值",H107,H109)</f>
        <v>——</v>
      </c>
      <c r="N49" s="3708"/>
      <c r="O49" s="3708"/>
    </row>
    <row r="50" spans="1:35" ht="25.5" customHeight="1">
      <c r="A50" s="2548"/>
      <c r="B50" s="3753" t="s">
        <v>1344</v>
      </c>
      <c r="C50" s="3753"/>
      <c r="D50" s="2549"/>
      <c r="E50" s="332"/>
      <c r="F50" s="2423"/>
      <c r="G50" s="3737"/>
      <c r="H50" s="2312" t="s">
        <v>2135</v>
      </c>
      <c r="I50" s="2311"/>
      <c r="J50" s="3704" t="s">
        <v>1345</v>
      </c>
      <c r="K50" s="3704"/>
      <c r="L50" s="3704"/>
      <c r="M50" s="3704"/>
      <c r="N50" s="3704"/>
      <c r="O50" s="3704"/>
    </row>
    <row r="51" spans="1:35" ht="20.45" customHeight="1">
      <c r="A51" s="2550"/>
      <c r="B51" s="3753" t="s">
        <v>1346</v>
      </c>
      <c r="C51" s="3753"/>
      <c r="D51" s="1087"/>
      <c r="E51" s="327"/>
      <c r="F51" s="2423"/>
      <c r="G51" s="3738"/>
      <c r="H51" s="2312" t="s">
        <v>2136</v>
      </c>
      <c r="I51" s="2311"/>
      <c r="J51" s="2521" t="s">
        <v>1347</v>
      </c>
      <c r="K51" s="3705" t="s">
        <v>1348</v>
      </c>
      <c r="L51" s="3705"/>
      <c r="M51" s="2521" t="s">
        <v>1349</v>
      </c>
      <c r="N51" s="2521" t="s">
        <v>1350</v>
      </c>
      <c r="O51" s="2521" t="s">
        <v>1351</v>
      </c>
    </row>
    <row r="52" spans="1:35" ht="24" customHeight="1">
      <c r="A52" s="2335" t="s">
        <v>1352</v>
      </c>
      <c r="B52" s="3753" t="s">
        <v>1353</v>
      </c>
      <c r="C52" s="3753"/>
      <c r="D52" s="1087" t="e">
        <f ca="1">ROUND(D45*'数据-取费表'!B41/(1+'数据-取费表'!C42),0)</f>
        <v>#REF!</v>
      </c>
      <c r="E52" s="2334" t="s">
        <v>1354</v>
      </c>
      <c r="F52" s="2551">
        <f>'数据-取费表'!B41</f>
        <v>5.6000000000000001E-2</v>
      </c>
      <c r="G52" s="2552"/>
      <c r="H52" s="2541"/>
      <c r="I52" s="1807"/>
      <c r="J52" s="2520">
        <v>1</v>
      </c>
      <c r="K52" s="3730" t="s">
        <v>1355</v>
      </c>
      <c r="L52" s="3730"/>
      <c r="M52" s="2522" t="b">
        <f>D48</f>
        <v>0</v>
      </c>
      <c r="N52" s="2520" t="str">
        <f>E48</f>
        <v>销售额×税（费）率</v>
      </c>
      <c r="O52" s="2523">
        <f>F48</f>
        <v>5.6000000000000001E-2</v>
      </c>
    </row>
    <row r="53" spans="1:35" ht="12" customHeight="1">
      <c r="A53" s="2335" t="s">
        <v>1356</v>
      </c>
      <c r="B53" s="3754" t="s">
        <v>2287</v>
      </c>
      <c r="C53" s="3755"/>
      <c r="D53" s="1087" t="e">
        <f ca="1">ROUND(D45*'数据-取费表'!B41/(1+'数据-取费表'!C42),0)</f>
        <v>#REF!</v>
      </c>
      <c r="E53" s="2334" t="s">
        <v>1354</v>
      </c>
      <c r="F53" s="2551">
        <f>'数据-取费表'!B41</f>
        <v>5.6000000000000001E-2</v>
      </c>
      <c r="G53" s="2552"/>
      <c r="H53" s="2541"/>
      <c r="I53" s="1807"/>
      <c r="J53" s="2520">
        <v>2</v>
      </c>
      <c r="K53" s="3730" t="s">
        <v>1357</v>
      </c>
      <c r="L53" s="3730"/>
      <c r="M53" s="2522" t="e">
        <f t="shared" ref="M53:O54" ca="1" si="0">D55</f>
        <v>#REF!</v>
      </c>
      <c r="N53" s="2520" t="str">
        <f t="shared" si="0"/>
        <v>销售额×税（费）率</v>
      </c>
      <c r="O53" s="2523" t="str">
        <f t="shared" si="0"/>
        <v>免征</v>
      </c>
    </row>
    <row r="54" spans="1:35" ht="12" customHeight="1">
      <c r="A54" s="2335" t="s">
        <v>1358</v>
      </c>
      <c r="B54" s="3754" t="s">
        <v>2288</v>
      </c>
      <c r="C54" s="3755"/>
      <c r="D54" s="1087" t="e">
        <f ca="1">C68</f>
        <v>#REF!</v>
      </c>
      <c r="E54" s="327" t="s">
        <v>1359</v>
      </c>
      <c r="F54" s="2551">
        <f>'数据-取费表'!B41</f>
        <v>5.6000000000000001E-2</v>
      </c>
      <c r="G54" s="2552"/>
      <c r="H54" s="2553"/>
      <c r="I54" s="1807"/>
      <c r="J54" s="2520">
        <v>3</v>
      </c>
      <c r="K54" s="3730" t="s">
        <v>1360</v>
      </c>
      <c r="L54" s="3730"/>
      <c r="M54" s="2522" t="e">
        <f t="shared" ca="1" si="0"/>
        <v>#REF!</v>
      </c>
      <c r="N54" s="2520" t="str">
        <f t="shared" si="0"/>
        <v>增值额×税（费）率</v>
      </c>
      <c r="O54" s="2524" t="str">
        <f t="shared" si="0"/>
        <v>免征</v>
      </c>
    </row>
    <row r="55" spans="1:35" ht="24" customHeight="1">
      <c r="A55" s="3790" t="s">
        <v>1361</v>
      </c>
      <c r="B55" s="3768"/>
      <c r="C55" s="3768"/>
      <c r="D55" s="2324" t="e">
        <f ca="1">IF(H55="个人住宅",0,ROUND(D45*I55,0))</f>
        <v>#REF!</v>
      </c>
      <c r="E55" s="2334" t="s">
        <v>1362</v>
      </c>
      <c r="F55" s="2551" t="str">
        <f>IF(H55="正常",I55,"免征")</f>
        <v>免征</v>
      </c>
      <c r="G55" s="2552"/>
      <c r="H55" s="2547"/>
      <c r="I55" s="165">
        <f>'数据-取费表'!B49</f>
        <v>5.0000000000000001E-4</v>
      </c>
      <c r="J55" s="2520">
        <f>IF(H59="非个人房产","",4)</f>
        <v>4</v>
      </c>
      <c r="K55" s="3730" t="str">
        <f>IF(H59="非个人房产","——","个人所得税")</f>
        <v>个人所得税</v>
      </c>
      <c r="L55" s="3730"/>
      <c r="M55" s="2525" t="e">
        <f ca="1">D59</f>
        <v>#REF!</v>
      </c>
      <c r="N55" s="2040" t="str">
        <f>E59</f>
        <v>差额计税</v>
      </c>
      <c r="O55" s="2526">
        <f>F59</f>
        <v>0.01</v>
      </c>
    </row>
    <row r="56" spans="1:35" ht="24.75">
      <c r="A56" s="3790" t="s">
        <v>1363</v>
      </c>
      <c r="B56" s="3768"/>
      <c r="C56" s="3768"/>
      <c r="D56" s="2324" t="e">
        <f ca="1">IF(H56="个人住宅",D57,D58)</f>
        <v>#REF!</v>
      </c>
      <c r="E56" s="2334" t="s">
        <v>1364</v>
      </c>
      <c r="F56" s="2551" t="str">
        <f>IF(H56="正常",F58,"免征")</f>
        <v>免征</v>
      </c>
      <c r="G56" s="2554" t="s">
        <v>1365</v>
      </c>
      <c r="H56" s="2555"/>
      <c r="I56" s="1808"/>
      <c r="J56" s="2520" t="str">
        <f>IF(项目基本情况!K6="上海银行",IF(J55="",4,J55+1),"")</f>
        <v/>
      </c>
      <c r="K56" s="3711" t="str">
        <f>IF(项目基本情况!K6="上海银行","其他处置费用","")</f>
        <v/>
      </c>
      <c r="L56" s="3712"/>
      <c r="M56" s="2522" t="str">
        <f>IF(项目基本情况!K6="上海银行",M69,"")</f>
        <v/>
      </c>
      <c r="N56" s="3711" t="str">
        <f>IF(项目基本情况!K6="上海银行","包含处置中涉及的律师、诉讼、拍卖、评估等费用","")</f>
        <v/>
      </c>
      <c r="O56" s="3714"/>
    </row>
    <row r="57" spans="1:35" ht="12.75">
      <c r="A57" s="2335" t="s">
        <v>1341</v>
      </c>
      <c r="B57" s="3754" t="s">
        <v>1366</v>
      </c>
      <c r="C57" s="3755"/>
      <c r="D57" s="1590">
        <v>0</v>
      </c>
      <c r="E57" s="324" t="s">
        <v>1343</v>
      </c>
      <c r="F57" s="302"/>
      <c r="G57" s="2552"/>
      <c r="H57" s="2556"/>
      <c r="I57" s="1808"/>
      <c r="J57" s="3730">
        <f>IF(AND(J55="",J56=""),4,IF(项目基本情况!K6="上海银行",结果表!J56+1,结果表!J55+1))</f>
        <v>5</v>
      </c>
      <c r="K57" s="3730" t="s">
        <v>1367</v>
      </c>
      <c r="L57" s="2527" t="s">
        <v>1368</v>
      </c>
      <c r="M57" s="2528"/>
      <c r="N57" s="2529">
        <f ca="1">SUMIF(M52:M56,"&lt;9e307")</f>
        <v>0</v>
      </c>
      <c r="O57" s="2530"/>
      <c r="P57" s="2687" t="e">
        <f ca="1">N57/M49</f>
        <v>#VALUE!</v>
      </c>
    </row>
    <row r="58" spans="1:35" ht="24.75">
      <c r="A58" s="2335" t="s">
        <v>1352</v>
      </c>
      <c r="B58" s="3754" t="s">
        <v>1369</v>
      </c>
      <c r="C58" s="3753"/>
      <c r="D58" s="2324" t="e">
        <f ca="1">IF(H58="转让取得",C81,C97)</f>
        <v>#REF!</v>
      </c>
      <c r="E58" s="2334" t="s">
        <v>1364</v>
      </c>
      <c r="F58" s="302" t="s">
        <v>28</v>
      </c>
      <c r="G58" s="2552"/>
      <c r="H58" s="2555"/>
      <c r="I58" s="1808"/>
      <c r="J58" s="3730"/>
      <c r="K58" s="3730"/>
      <c r="L58" s="2527" t="s">
        <v>1370</v>
      </c>
      <c r="M58" s="2531"/>
      <c r="N58" s="2532" t="str">
        <f ca="1">NUMBERSTRING(INT(N57*10000),2)&amp;"元整"</f>
        <v>零元整</v>
      </c>
      <c r="O58" s="2533"/>
    </row>
    <row r="59" spans="1:35" ht="24.75" thickBot="1">
      <c r="A59" s="3734" t="s">
        <v>1371</v>
      </c>
      <c r="B59" s="3735"/>
      <c r="C59" s="3735"/>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732">
        <f>J57+1</f>
        <v>6</v>
      </c>
      <c r="K59" s="3730" t="s">
        <v>1372</v>
      </c>
      <c r="L59" s="2520" t="s">
        <v>1368</v>
      </c>
      <c r="M59" s="2534"/>
      <c r="N59" s="2535" t="e">
        <f ca="1">M49-N57</f>
        <v>#VALUE!</v>
      </c>
      <c r="O59" s="2536"/>
    </row>
    <row r="60" spans="1:35" ht="12" customHeight="1">
      <c r="A60" s="1809"/>
      <c r="B60" s="1747"/>
      <c r="C60" s="1747"/>
      <c r="D60" s="1747"/>
      <c r="E60" s="1578"/>
      <c r="F60" s="1808"/>
      <c r="G60" s="1808"/>
      <c r="H60" s="1810"/>
      <c r="I60" s="129"/>
      <c r="J60" s="3733"/>
      <c r="K60" s="3730"/>
      <c r="L60" s="2527" t="s">
        <v>1370</v>
      </c>
      <c r="M60" s="2531"/>
      <c r="N60" s="2532" t="e">
        <f ca="1">NUMBERSTRING(INT(N59*10000),2)&amp;"元整"</f>
        <v>#VALUE!</v>
      </c>
      <c r="O60" s="2533"/>
    </row>
    <row r="61" spans="1:35" ht="13.5" thickBot="1">
      <c r="A61" s="3789" t="s">
        <v>1373</v>
      </c>
      <c r="B61" s="3789"/>
      <c r="C61" s="3789"/>
      <c r="D61" s="3789"/>
      <c r="E61" s="3789"/>
      <c r="F61" s="1808"/>
      <c r="G61" s="1808"/>
      <c r="H61" s="1810"/>
      <c r="I61" s="129"/>
      <c r="J61" s="2520">
        <f>J59+1</f>
        <v>7</v>
      </c>
      <c r="K61" s="3730" t="s">
        <v>1374</v>
      </c>
      <c r="L61" s="3730"/>
      <c r="M61" s="2537"/>
      <c r="N61" s="2538" t="e">
        <f ca="1">ROUND(N59*10000/'数据-汇总表'!E3,0)</f>
        <v>#VALUE!</v>
      </c>
      <c r="O61" s="2539"/>
    </row>
    <row r="62" spans="1:35" ht="12.75">
      <c r="A62" s="3749" t="s">
        <v>1375</v>
      </c>
      <c r="B62" s="3750"/>
      <c r="C62" s="2021"/>
      <c r="D62" s="2021" t="s">
        <v>1376</v>
      </c>
      <c r="E62" s="166" t="s">
        <v>1377</v>
      </c>
      <c r="F62" s="1808"/>
      <c r="G62" s="1808"/>
      <c r="H62" s="1810"/>
      <c r="I62" s="129"/>
    </row>
    <row r="63" spans="1:35" ht="12.75">
      <c r="A63" s="173" t="s">
        <v>330</v>
      </c>
      <c r="B63" s="167" t="s">
        <v>1378</v>
      </c>
      <c r="C63" s="2561" t="e">
        <f ca="1">ROUND((C64+C65)/(1+'数据-取费表'!C42),0)</f>
        <v>#REF!</v>
      </c>
      <c r="D63" s="167"/>
      <c r="E63" s="168"/>
      <c r="F63" s="1808"/>
      <c r="G63" s="1808"/>
      <c r="H63" s="1810"/>
      <c r="I63" s="129"/>
      <c r="J63" s="3713"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71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713"/>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713"/>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71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713"/>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13"/>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57" t="s">
        <v>1394</v>
      </c>
      <c r="B70" s="3758"/>
      <c r="C70" s="3758"/>
      <c r="D70" s="3758"/>
      <c r="E70" s="3758"/>
      <c r="F70" s="3758"/>
      <c r="G70" s="3758"/>
      <c r="H70" s="3758"/>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49" t="s">
        <v>1375</v>
      </c>
      <c r="B71" s="3750"/>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754" t="s">
        <v>1402</v>
      </c>
      <c r="F76" s="3753"/>
      <c r="G76" s="3753"/>
      <c r="H76" s="375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746" t="s">
        <v>1406</v>
      </c>
      <c r="F78" s="3747"/>
      <c r="G78" s="3747"/>
      <c r="H78" s="374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57" t="s">
        <v>1410</v>
      </c>
      <c r="B83" s="3758"/>
      <c r="C83" s="3758"/>
      <c r="D83" s="3758"/>
      <c r="E83" s="3758"/>
      <c r="F83" s="3758"/>
      <c r="G83" s="3758"/>
      <c r="H83" s="375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49" t="s">
        <v>1375</v>
      </c>
      <c r="B84" s="375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715" t="s">
        <v>2129</v>
      </c>
      <c r="H90" s="3716"/>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746" t="s">
        <v>1419</v>
      </c>
      <c r="F91" s="3747"/>
      <c r="G91" s="374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746" t="s">
        <v>1422</v>
      </c>
      <c r="F92" s="3747"/>
      <c r="G92" s="3747"/>
      <c r="H92" s="3748"/>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746" t="s">
        <v>1406</v>
      </c>
      <c r="F93" s="3747"/>
      <c r="G93" s="3747"/>
      <c r="H93" s="374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791" t="s">
        <v>1426</v>
      </c>
      <c r="F94" s="3792"/>
      <c r="G94" s="3792"/>
      <c r="H94" s="37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6" t="s">
        <v>1428</v>
      </c>
      <c r="B100" s="3697"/>
      <c r="C100" s="3697"/>
      <c r="D100" s="3731"/>
      <c r="E100" s="3697" t="s">
        <v>1429</v>
      </c>
      <c r="F100" s="3697"/>
      <c r="G100" s="3697"/>
      <c r="H100" s="3731"/>
      <c r="I100" s="129"/>
    </row>
    <row r="101" spans="1:35" ht="18.75" customHeight="1">
      <c r="A101" s="3739" t="s">
        <v>1430</v>
      </c>
      <c r="B101" s="3740"/>
      <c r="C101" s="2582">
        <f>C4</f>
        <v>0</v>
      </c>
      <c r="D101" s="2583">
        <f>D4</f>
        <v>0</v>
      </c>
      <c r="E101" s="3709" t="s">
        <v>1431</v>
      </c>
      <c r="F101" s="3710"/>
      <c r="G101" s="1827" t="s">
        <v>1432</v>
      </c>
      <c r="H101" s="2592" t="e">
        <f ca="1">H118</f>
        <v>#REF!</v>
      </c>
      <c r="I101" s="129"/>
    </row>
    <row r="102" spans="1:35" ht="18.75" customHeight="1">
      <c r="A102" s="3741" t="s">
        <v>1433</v>
      </c>
      <c r="B102" s="2581" t="s">
        <v>1432</v>
      </c>
      <c r="C102" s="2582" t="e">
        <f ca="1">IF(D32="楼面单价",ROUND(C19,0),C19)</f>
        <v>#REF!</v>
      </c>
      <c r="D102" s="2583" t="e">
        <f ca="1">IF(D32="楼面单价",ROUND(D19,0),D19)</f>
        <v>#REF!</v>
      </c>
      <c r="E102" s="3709"/>
      <c r="F102" s="3710"/>
      <c r="G102" s="1827" t="s">
        <v>1434</v>
      </c>
      <c r="H102" s="2552" t="e">
        <f ca="1">I118</f>
        <v>#REF!</v>
      </c>
      <c r="I102" s="129"/>
    </row>
    <row r="103" spans="1:35" ht="42.75" customHeight="1">
      <c r="A103" s="3741"/>
      <c r="B103" s="2581" t="s">
        <v>1434</v>
      </c>
      <c r="C103" s="2584" t="e">
        <f ca="1">C20</f>
        <v>#REF!</v>
      </c>
      <c r="D103" s="2585" t="e">
        <f ca="1">D20</f>
        <v>#REF!</v>
      </c>
      <c r="E103" s="3702" t="s">
        <v>1435</v>
      </c>
      <c r="F103" s="3703"/>
      <c r="G103" s="1828" t="s">
        <v>1436</v>
      </c>
      <c r="H103" s="2592">
        <f>IF(D36="正常操作",H104+H105+H106,H105+H106)</f>
        <v>0</v>
      </c>
      <c r="I103" s="129"/>
    </row>
    <row r="104" spans="1:35" ht="18.75" customHeight="1">
      <c r="A104" s="3741"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751"/>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742" t="str">
        <f>IF(项目基本情况!E8="已注销","——","3.房地产抵押价值")</f>
        <v>3.房地产抵押价值</v>
      </c>
      <c r="F107" s="3710"/>
      <c r="G107" s="1827" t="s">
        <v>1432</v>
      </c>
      <c r="H107" s="2592" t="e">
        <f ca="1">IF(E107="——","——",H101-H103)</f>
        <v>#REF!</v>
      </c>
      <c r="I107" s="129"/>
    </row>
    <row r="108" spans="1:35" ht="18.75" customHeight="1">
      <c r="A108" s="129"/>
      <c r="B108" s="129"/>
      <c r="C108" s="129"/>
      <c r="D108" s="129"/>
      <c r="E108" s="3742"/>
      <c r="F108" s="3710"/>
      <c r="G108" s="1827" t="s">
        <v>1434</v>
      </c>
      <c r="H108" s="2552" t="e">
        <f ca="1">IF(H107=H101,H102,ROUND(H107*10000/'数据-汇总表'!E3,0))</f>
        <v>#REF!</v>
      </c>
      <c r="I108" s="129"/>
    </row>
    <row r="109" spans="1:35" ht="18.75" customHeight="1">
      <c r="A109" s="129"/>
      <c r="B109" s="129"/>
      <c r="C109" s="129"/>
      <c r="D109" s="129"/>
      <c r="E109" s="3742" t="str">
        <f>IF(项目基本情况!E8="已注销及未注销","4.抵押担保权已注销时的房地产抵押价值",IF(项目基本情况!E8="已注销","3.抵押担保权已注销时的房地产抵押价值","——"))</f>
        <v>——</v>
      </c>
      <c r="F109" s="3710"/>
      <c r="G109" s="1827" t="s">
        <v>1432</v>
      </c>
      <c r="H109" s="2595" t="str">
        <f>IF(E109="——","——",H101-H105-H106)</f>
        <v>——</v>
      </c>
      <c r="I109" s="129"/>
    </row>
    <row r="110" spans="1:35" ht="18.75" customHeight="1">
      <c r="A110" s="129"/>
      <c r="B110" s="129"/>
      <c r="C110" s="129"/>
      <c r="D110" s="129"/>
      <c r="E110" s="3742"/>
      <c r="F110" s="3710"/>
      <c r="G110" s="1827" t="s">
        <v>1434</v>
      </c>
      <c r="H110" s="2552" t="str">
        <f>IF(H109="——","——",ROUND(H109*10000/'数据-汇总表'!E3,0))</f>
        <v>——</v>
      </c>
      <c r="I110" s="129"/>
    </row>
    <row r="111" spans="1:35" ht="18.75" customHeight="1">
      <c r="A111" s="129"/>
      <c r="B111" s="129"/>
      <c r="C111" s="129"/>
      <c r="D111" s="129"/>
      <c r="E111" s="3743" t="str">
        <f>IF(项目基本情况!E9="抵押净值",IF(OR(项目基本情况!E8="已注销",项目基本情况!E8="房地产抵押价值"),"4.抵押净值","5.抵押净值"),"——")</f>
        <v>——</v>
      </c>
      <c r="F111" s="3729"/>
      <c r="G111" s="1827" t="s">
        <v>1432</v>
      </c>
      <c r="H111" s="2592" t="str">
        <f>IF(E111="——","——",N59)</f>
        <v>——</v>
      </c>
      <c r="I111" s="129"/>
    </row>
    <row r="112" spans="1:35" ht="18.75" customHeight="1" thickBot="1">
      <c r="A112" s="129"/>
      <c r="B112" s="129"/>
      <c r="C112" s="129"/>
      <c r="D112" s="129"/>
      <c r="E112" s="3744"/>
      <c r="F112" s="3745"/>
      <c r="G112" s="1830" t="s">
        <v>1434</v>
      </c>
      <c r="H112" s="2596" t="str">
        <f>IF(E111="——","——",N61)</f>
        <v>——</v>
      </c>
      <c r="I112" s="129"/>
    </row>
    <row r="113" spans="1:27" ht="18.75" customHeight="1">
      <c r="A113" s="129"/>
      <c r="B113" s="129"/>
      <c r="C113" s="129"/>
      <c r="D113" s="129"/>
      <c r="E113" s="3752" t="s">
        <v>1440</v>
      </c>
      <c r="F113" s="3752"/>
      <c r="G113" s="3752"/>
      <c r="H113" s="3752"/>
      <c r="I113" s="129"/>
    </row>
    <row r="114" spans="1:27" ht="3.75" customHeight="1">
      <c r="A114" s="1747"/>
      <c r="B114" s="1747"/>
      <c r="C114" s="1747"/>
      <c r="D114" s="1747"/>
      <c r="E114" s="1809"/>
      <c r="F114" s="1809"/>
      <c r="G114" s="1809"/>
      <c r="H114" s="1809"/>
      <c r="I114" s="1747"/>
    </row>
    <row r="115" spans="1:27" ht="18.75" customHeight="1">
      <c r="A115" s="3760" t="s">
        <v>1442</v>
      </c>
      <c r="B115" s="3761"/>
      <c r="C115" s="3761"/>
      <c r="D115" s="3761"/>
      <c r="E115" s="3761"/>
      <c r="F115" s="3761"/>
      <c r="G115" s="3761"/>
      <c r="H115" s="3761"/>
      <c r="I115" s="3762"/>
    </row>
    <row r="116" spans="1:27" ht="27" customHeight="1">
      <c r="A116" s="3717" t="s">
        <v>1443</v>
      </c>
      <c r="B116" s="3721" t="s">
        <v>1444</v>
      </c>
      <c r="C116" s="3721" t="s">
        <v>1445</v>
      </c>
      <c r="D116" s="3727" t="s">
        <v>1446</v>
      </c>
      <c r="E116" s="3728"/>
      <c r="F116" s="3759" t="s">
        <v>1447</v>
      </c>
      <c r="G116" s="3759"/>
      <c r="H116" s="3717" t="s">
        <v>1448</v>
      </c>
      <c r="I116" s="3717"/>
    </row>
    <row r="117" spans="1:27" ht="18.75" customHeight="1">
      <c r="A117" s="3717"/>
      <c r="B117" s="3722"/>
      <c r="C117" s="3722"/>
      <c r="D117" s="2329" t="s">
        <v>1449</v>
      </c>
      <c r="E117" s="2329" t="s">
        <v>1450</v>
      </c>
      <c r="F117" s="2329" t="s">
        <v>1449</v>
      </c>
      <c r="G117" s="2329" t="s">
        <v>1451</v>
      </c>
      <c r="H117" s="2329" t="s">
        <v>1449</v>
      </c>
      <c r="I117" s="2329" t="s">
        <v>1451</v>
      </c>
    </row>
    <row r="118" spans="1:27" ht="24.75" customHeight="1">
      <c r="A118" s="2597" t="str">
        <f>项目基本情况!S2</f>
        <v>北京市石景山区玉泉西里一区2号楼1层107房地产</v>
      </c>
      <c r="B118" s="2329">
        <f>M18</f>
        <v>642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7" t="s">
        <v>1452</v>
      </c>
      <c r="B119" s="3717"/>
      <c r="C119" s="3717"/>
      <c r="D119" s="3723" t="e">
        <f ca="1">NUMBERSTRING(INT(D118*10000),2)&amp;"元整"</f>
        <v>#REF!</v>
      </c>
      <c r="E119" s="3724"/>
      <c r="F119" s="3723" t="e">
        <f ca="1">NUMBERSTRING(INT(F118*10000),2)&amp;"元整"</f>
        <v>#REF!</v>
      </c>
      <c r="G119" s="3724"/>
      <c r="H119" s="3723" t="e">
        <f ca="1">NUMBERSTRING(INT(H118*10000),2)&amp;"元整"</f>
        <v>#REF!</v>
      </c>
      <c r="I119" s="3724"/>
    </row>
    <row r="120" spans="1:27" ht="18.75" customHeight="1">
      <c r="A120" s="3718" t="str">
        <f>IF(项目基本情况!B9="房地产市场价值","",MID(E103,3,LEN(E103)-2))</f>
        <v/>
      </c>
      <c r="B120" s="3719"/>
      <c r="C120" s="3720"/>
      <c r="D120" s="3718">
        <f>H103</f>
        <v>0</v>
      </c>
      <c r="E120" s="3719"/>
      <c r="F120" s="3719"/>
      <c r="G120" s="3719"/>
      <c r="H120" s="3719"/>
      <c r="I120" s="372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23" t="s">
        <v>1452</v>
      </c>
      <c r="B121" s="3725"/>
      <c r="C121" s="3724"/>
      <c r="D121" s="3723" t="str">
        <f>IF(D120=0,"零元整",NUMBERSTRING(INT(D120*10000),2)&amp;"元整")</f>
        <v>零元整</v>
      </c>
      <c r="E121" s="3725"/>
      <c r="F121" s="3725"/>
      <c r="G121" s="3725"/>
      <c r="H121" s="3725"/>
      <c r="I121" s="3724"/>
      <c r="AA121" s="725"/>
    </row>
    <row r="122" spans="1:27" ht="18.75" customHeight="1">
      <c r="A122" s="3729" t="str">
        <f>IF(项目基本情况!B9="房地产市场价值","",MID(E107,3,LEN(E107)-2))</f>
        <v/>
      </c>
      <c r="B122" s="3729"/>
      <c r="C122" s="3729"/>
      <c r="D122" s="3718" t="e">
        <f ca="1">H107</f>
        <v>#REF!</v>
      </c>
      <c r="E122" s="3719"/>
      <c r="F122" s="3719"/>
      <c r="G122" s="3719"/>
      <c r="H122" s="3719"/>
      <c r="I122" s="3720"/>
      <c r="AA122" s="725"/>
    </row>
    <row r="123" spans="1:27" ht="18.75" customHeight="1">
      <c r="A123" s="3717" t="s">
        <v>1452</v>
      </c>
      <c r="B123" s="3717"/>
      <c r="C123" s="3717"/>
      <c r="D123" s="3723" t="e">
        <f ca="1">NUMBERSTRING(INT(D122*10000),2)&amp;"元整"</f>
        <v>#REF!</v>
      </c>
      <c r="E123" s="3725"/>
      <c r="F123" s="3725"/>
      <c r="G123" s="3725"/>
      <c r="H123" s="3725"/>
      <c r="I123" s="3724"/>
      <c r="AA123" s="725"/>
    </row>
    <row r="124" spans="1:27" ht="18.75" customHeight="1">
      <c r="A124" s="3729" t="str">
        <f>IF(项目基本情况!B9="房地产市场价值","",MID(E109,3,LEN(E109)-2))</f>
        <v/>
      </c>
      <c r="B124" s="3729"/>
      <c r="C124" s="3729"/>
      <c r="D124" s="3718" t="str">
        <f>H109</f>
        <v>——</v>
      </c>
      <c r="E124" s="3719"/>
      <c r="F124" s="3719"/>
      <c r="G124" s="3719"/>
      <c r="H124" s="3719"/>
      <c r="I124" s="3720"/>
      <c r="AA124" s="725"/>
    </row>
    <row r="125" spans="1:27" ht="18.75" customHeight="1">
      <c r="A125" s="3717" t="s">
        <v>1452</v>
      </c>
      <c r="B125" s="3717"/>
      <c r="C125" s="3717"/>
      <c r="D125" s="3723" t="e">
        <f>NUMBERSTRING(INT(D124*10000),2)&amp;"元整"</f>
        <v>#VALUE!</v>
      </c>
      <c r="E125" s="3725"/>
      <c r="F125" s="3725"/>
      <c r="G125" s="3725"/>
      <c r="H125" s="3725"/>
      <c r="I125" s="3724"/>
      <c r="AA125" s="725"/>
    </row>
    <row r="126" spans="1:27" ht="18.75" customHeight="1">
      <c r="A126" s="3729" t="str">
        <f>IF(项目基本情况!B9="房地产市场价值","",MID(E111,3,LEN(E111)-2))</f>
        <v/>
      </c>
      <c r="B126" s="3729"/>
      <c r="C126" s="3729"/>
      <c r="D126" s="3718" t="str">
        <f>H111</f>
        <v>——</v>
      </c>
      <c r="E126" s="3719"/>
      <c r="F126" s="3719"/>
      <c r="G126" s="3719"/>
      <c r="H126" s="3719"/>
      <c r="I126" s="3720"/>
      <c r="AA126" s="725"/>
    </row>
    <row r="127" spans="1:27" ht="18.75" customHeight="1">
      <c r="A127" s="3717" t="s">
        <v>1452</v>
      </c>
      <c r="B127" s="3717"/>
      <c r="C127" s="3717"/>
      <c r="D127" s="3723" t="e">
        <f>NUMBERSTRING(INT(D126*10000),2)&amp;"元整"</f>
        <v>#VALUE!</v>
      </c>
      <c r="E127" s="3725"/>
      <c r="F127" s="3725"/>
      <c r="G127" s="3725"/>
      <c r="H127" s="3725"/>
      <c r="I127" s="3724"/>
      <c r="AA127" s="725"/>
    </row>
    <row r="128" spans="1:27" ht="21.75" customHeight="1">
      <c r="A128" s="3726" t="s">
        <v>1453</v>
      </c>
      <c r="B128" s="3726"/>
      <c r="C128" s="3726"/>
      <c r="D128" s="3726"/>
      <c r="E128" s="3726"/>
      <c r="F128" s="3726"/>
      <c r="G128" s="3726"/>
      <c r="H128" s="3726"/>
      <c r="I128" s="372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12.84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12.84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13</v>
      </c>
      <c r="D10" s="845">
        <f ca="1">IF(B1="",'数据-汇总表'!E6,IF(INDIRECT("'数据-取费表'!c"&amp;$G$1)="住宅",INDIRECT("'数据-取费表'!s"&amp;$G$1),INDIRECT("'数据-取费表'!k"&amp;$G$1)+INDIRECT("'数据-取费表'!s"&amp;$G$1)))</f>
        <v>642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13</v>
      </c>
      <c r="D19" s="849">
        <f ca="1">D9+D10</f>
        <v>642</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289</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v>
      </c>
      <c r="D37" s="217">
        <f ca="1">D19</f>
        <v>642</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796" t="s">
        <v>1544</v>
      </c>
    </row>
    <row r="43" spans="1:7" ht="13.5" customHeight="1">
      <c r="A43" s="780" t="s">
        <v>347</v>
      </c>
      <c r="B43" s="215" t="s">
        <v>1545</v>
      </c>
      <c r="C43" s="238">
        <f ca="1">ROUND(IF('数据-取费表'!B22&lt;=1,C39*F22*'数据-取费表'!B21/2,C39*(POWER((1+F22),'数据-取费表'!B21/2)-1)),0)</f>
        <v>0</v>
      </c>
      <c r="D43" s="238"/>
      <c r="E43" s="238"/>
      <c r="F43" s="239"/>
      <c r="G43" s="3797"/>
    </row>
    <row r="44" spans="1:7" ht="13.5" customHeight="1">
      <c r="A44" s="780" t="s">
        <v>348</v>
      </c>
      <c r="B44" s="215" t="s">
        <v>1546</v>
      </c>
      <c r="C44" s="238">
        <f ca="1">ROUND(IF('数据-取费表'!B22&lt;=1,C40*F22*'数据-取费表'!B21/2,C40*(POWER((1+F22),'数据-取费表'!B21/2)-1)),4)</f>
        <v>6.9999999999999999E-4</v>
      </c>
      <c r="D44" s="238"/>
      <c r="E44" s="238"/>
      <c r="F44" s="239"/>
      <c r="G44" s="3798"/>
    </row>
    <row r="45" spans="1:7" s="214" customFormat="1" ht="13.5" customHeight="1">
      <c r="A45" s="255" t="s">
        <v>1547</v>
      </c>
      <c r="B45" s="244" t="s">
        <v>1513</v>
      </c>
      <c r="C45" s="245">
        <f ca="1">C46</f>
        <v>64</v>
      </c>
      <c r="D45" s="235">
        <f ca="1">C47</f>
        <v>4.0000000000000001E-3</v>
      </c>
      <c r="E45" s="236" t="s">
        <v>1539</v>
      </c>
      <c r="F45" s="246">
        <f ca="1">F27</f>
        <v>0.2</v>
      </c>
      <c r="G45" s="247" t="s">
        <v>1548</v>
      </c>
    </row>
    <row r="46" spans="1:7" s="214" customFormat="1" ht="13.5" customHeight="1">
      <c r="A46" s="780" t="s">
        <v>346</v>
      </c>
      <c r="B46" s="248" t="s">
        <v>1549</v>
      </c>
      <c r="C46" s="249">
        <f ca="1">ROUND((C33+C39)*F27,0)</f>
        <v>64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430</v>
      </c>
      <c r="D49" s="232"/>
      <c r="E49" s="232"/>
      <c r="F49" s="264"/>
      <c r="G49" s="234" t="s">
        <v>1554</v>
      </c>
    </row>
    <row r="50" spans="1:7" s="258" customFormat="1" ht="24">
      <c r="A50" s="255" t="s">
        <v>1555</v>
      </c>
      <c r="B50" s="210" t="s">
        <v>1556</v>
      </c>
      <c r="C50" s="232"/>
      <c r="D50" s="232"/>
      <c r="E50" s="232"/>
      <c r="F50" s="264">
        <f>IF('数据-取费表'!B24=0,'数据-取费表'!N16,1)</f>
        <v>0.77500000000000002</v>
      </c>
      <c r="G50" s="247" t="s">
        <v>1557</v>
      </c>
    </row>
    <row r="51" spans="1:7" ht="16.5" customHeight="1">
      <c r="A51" s="255" t="s">
        <v>1558</v>
      </c>
      <c r="B51" s="210" t="s">
        <v>1559</v>
      </c>
      <c r="C51" s="232">
        <f ca="1">ROUND(C49*F50,0)</f>
        <v>333</v>
      </c>
      <c r="D51" s="232"/>
      <c r="E51" s="232"/>
      <c r="F51" s="264"/>
      <c r="G51" s="234" t="s">
        <v>1560</v>
      </c>
    </row>
    <row r="52" spans="1:7" s="208" customFormat="1" ht="16.5" thickBot="1">
      <c r="A52" s="265" t="s">
        <v>1561</v>
      </c>
      <c r="B52" s="266"/>
      <c r="C52" s="267">
        <f ca="1">C31+C51</f>
        <v>370</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13" t="str">
        <f>项目基本情况!B1</f>
        <v>北京市石景山区玉泉西里一区2号楼1层107房地产市场价值预评估</v>
      </c>
      <c r="C37" s="3613"/>
      <c r="D37" s="3613"/>
      <c r="E37" s="3613"/>
      <c r="F37" s="3613"/>
      <c r="G37" s="3613"/>
      <c r="H37" s="3613"/>
      <c r="I37" s="361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topLeftCell="A4" zoomScale="80" zoomScaleNormal="70" zoomScaleSheetLayoutView="80" workbookViewId="0">
      <selection activeCell="L42" sqref="L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3" t="s">
        <v>3567</v>
      </c>
      <c r="F1" s="1879" t="s">
        <v>3568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0.65480000000000005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10.199999999999999</v>
      </c>
      <c r="C3" s="354" t="s">
        <v>1768</v>
      </c>
      <c r="D3" s="353">
        <f>IF(D1="",'数据-汇总表'!E3,SUMIF('数据-汇总表'!$C19:$C33,D1,'数据-汇总表'!$E19:$E33))</f>
        <v>642</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818" t="s">
        <v>1770</v>
      </c>
      <c r="D4" s="3819"/>
      <c r="E4" s="3820" t="s">
        <v>1771</v>
      </c>
      <c r="F4" s="3821"/>
      <c r="G4" s="3818" t="s">
        <v>1772</v>
      </c>
      <c r="H4" s="3819"/>
      <c r="I4" s="3818" t="s">
        <v>1773</v>
      </c>
      <c r="J4" s="3819"/>
      <c r="K4" s="559" t="s">
        <v>1774</v>
      </c>
      <c r="L4" s="2712"/>
      <c r="M4" s="2713"/>
      <c r="N4" s="2713"/>
      <c r="O4" s="2713"/>
      <c r="P4" s="3822" t="s">
        <v>1775</v>
      </c>
      <c r="Q4" s="3823"/>
      <c r="R4" s="3805" t="s">
        <v>1771</v>
      </c>
      <c r="S4" s="3806"/>
      <c r="T4" s="3805" t="s">
        <v>1772</v>
      </c>
      <c r="U4" s="3806"/>
      <c r="V4" s="3802" t="s">
        <v>1773</v>
      </c>
      <c r="W4" s="3802"/>
      <c r="X4" s="1355"/>
      <c r="Y4" s="3805" t="s">
        <v>1775</v>
      </c>
      <c r="Z4" s="3806"/>
      <c r="AA4" s="3799" t="s">
        <v>1771</v>
      </c>
      <c r="AB4" s="3802" t="s">
        <v>1772</v>
      </c>
      <c r="AC4" s="3799" t="s">
        <v>1773</v>
      </c>
    </row>
    <row r="5" spans="1:29" ht="15">
      <c r="A5" s="358"/>
      <c r="B5" s="359"/>
      <c r="C5" s="3811" t="s">
        <v>3752</v>
      </c>
      <c r="D5" s="3812"/>
      <c r="E5" s="3809" t="s">
        <v>3789</v>
      </c>
      <c r="F5" s="3810"/>
      <c r="G5" s="3809" t="s">
        <v>3753</v>
      </c>
      <c r="H5" s="3810"/>
      <c r="I5" s="3809" t="str">
        <f>租金表!B8</f>
        <v>翔鹰大厦</v>
      </c>
      <c r="J5" s="3810"/>
      <c r="K5" s="559"/>
      <c r="L5" s="2712"/>
      <c r="M5" s="2713"/>
      <c r="N5" s="2713"/>
      <c r="O5" s="2713"/>
      <c r="P5" s="3824"/>
      <c r="Q5" s="3825"/>
      <c r="R5" s="3807"/>
      <c r="S5" s="3808"/>
      <c r="T5" s="3807"/>
      <c r="U5" s="3808"/>
      <c r="V5" s="3802"/>
      <c r="W5" s="3802"/>
      <c r="X5" s="1355"/>
      <c r="Y5" s="3807"/>
      <c r="Z5" s="3808"/>
      <c r="AA5" s="3800"/>
      <c r="AB5" s="3802"/>
      <c r="AC5" s="3800"/>
    </row>
    <row r="6" spans="1:29" ht="15.75" thickBot="1">
      <c r="A6" s="360"/>
      <c r="B6" s="361"/>
      <c r="C6" s="3813" t="s">
        <v>1677</v>
      </c>
      <c r="D6" s="3814"/>
      <c r="E6" s="3815" t="s">
        <v>1677</v>
      </c>
      <c r="F6" s="3816"/>
      <c r="G6" s="3813" t="s">
        <v>1677</v>
      </c>
      <c r="H6" s="3814"/>
      <c r="I6" s="3813" t="s">
        <v>1677</v>
      </c>
      <c r="J6" s="3814"/>
      <c r="K6" s="559" t="s">
        <v>1678</v>
      </c>
      <c r="L6" s="2712"/>
      <c r="M6" s="2713"/>
      <c r="N6" s="2713"/>
      <c r="O6" s="2713"/>
      <c r="P6" s="3826"/>
      <c r="Q6" s="3827"/>
      <c r="R6" s="3807"/>
      <c r="S6" s="3808"/>
      <c r="T6" s="3828"/>
      <c r="U6" s="3829"/>
      <c r="V6" s="3802"/>
      <c r="W6" s="3802"/>
      <c r="X6" s="1355"/>
      <c r="Y6" s="3828"/>
      <c r="Z6" s="3829"/>
      <c r="AA6" s="3801"/>
      <c r="AB6" s="3802"/>
      <c r="AC6" s="3801"/>
    </row>
    <row r="7" spans="1:29" s="108" customFormat="1" ht="15.75" thickBot="1">
      <c r="A7" s="362" t="s">
        <v>1679</v>
      </c>
      <c r="B7" s="363"/>
      <c r="C7" s="364">
        <f>'数据-取费表'!B2</f>
        <v>45426</v>
      </c>
      <c r="D7" s="365">
        <v>100</v>
      </c>
      <c r="E7" s="366">
        <f>C7</f>
        <v>45426</v>
      </c>
      <c r="F7" s="367">
        <f>SUMIF(58:58,YEAR(E7)&amp;"-"&amp;MONTH(E7),59:59)</f>
        <v>100</v>
      </c>
      <c r="G7" s="366">
        <f>C7</f>
        <v>45426</v>
      </c>
      <c r="H7" s="365">
        <f>SUMIF(58:58,YEAR(G7)&amp;"-"&amp;MONTH(G7),59:59)</f>
        <v>100</v>
      </c>
      <c r="I7" s="366">
        <f>C7</f>
        <v>45426</v>
      </c>
      <c r="J7" s="365">
        <f>SUMIF(58:58,YEAR(I7)&amp;"-"&amp;MONTH(I7),59:59)</f>
        <v>100</v>
      </c>
      <c r="K7" s="560"/>
      <c r="L7" s="2714"/>
      <c r="M7" s="2715"/>
      <c r="N7" s="2715"/>
      <c r="O7" s="2715"/>
      <c r="P7" s="3803" t="s">
        <v>1680</v>
      </c>
      <c r="Q7" s="3830"/>
      <c r="R7" s="701" t="s">
        <v>14</v>
      </c>
      <c r="S7" s="702">
        <f t="shared" ref="S7:S15" si="0">F7</f>
        <v>100</v>
      </c>
      <c r="T7" s="701" t="s">
        <v>14</v>
      </c>
      <c r="U7" s="702">
        <f t="shared" ref="U7:U15" si="1">H7</f>
        <v>100</v>
      </c>
      <c r="V7" s="701" t="s">
        <v>14</v>
      </c>
      <c r="W7" s="702">
        <f t="shared" ref="W7:W15" si="2">J7</f>
        <v>100</v>
      </c>
      <c r="X7" s="703"/>
      <c r="Y7" s="3803" t="s">
        <v>1680</v>
      </c>
      <c r="Z7" s="3804"/>
      <c r="AA7" s="704">
        <f>D7/F7</f>
        <v>1</v>
      </c>
      <c r="AB7" s="704">
        <f>D7/H7</f>
        <v>1</v>
      </c>
      <c r="AC7" s="704">
        <f>D7/J7</f>
        <v>1</v>
      </c>
    </row>
    <row r="8" spans="1:29" s="108" customFormat="1" ht="15.75" thickBot="1">
      <c r="A8" s="362" t="s">
        <v>1681</v>
      </c>
      <c r="B8" s="363"/>
      <c r="C8" s="368" t="s">
        <v>3558</v>
      </c>
      <c r="D8" s="365">
        <v>100</v>
      </c>
      <c r="E8" s="368" t="s">
        <v>3558</v>
      </c>
      <c r="F8" s="367">
        <f>SUMIF(61:61,E8,62:62)-SUMIF(61:61,C8,62:62)+100</f>
        <v>100</v>
      </c>
      <c r="G8" s="368" t="s">
        <v>3558</v>
      </c>
      <c r="H8" s="365">
        <f>SUMIF(61:61,G8,62:62)-SUMIF(61:61,C8,62:62)+100</f>
        <v>100</v>
      </c>
      <c r="I8" s="368" t="s">
        <v>3558</v>
      </c>
      <c r="J8" s="365">
        <f>SUMIF(61:61,I8,62:62)-SUMIF(61:61,C8,62:62)+100</f>
        <v>100</v>
      </c>
      <c r="K8" s="560"/>
      <c r="L8" s="2714"/>
      <c r="M8" s="2715"/>
      <c r="N8" s="2715"/>
      <c r="O8" s="2715"/>
      <c r="P8" s="3803" t="s">
        <v>1683</v>
      </c>
      <c r="Q8" s="3804"/>
      <c r="R8" s="701" t="s">
        <v>14</v>
      </c>
      <c r="S8" s="702">
        <f t="shared" si="0"/>
        <v>100</v>
      </c>
      <c r="T8" s="701" t="s">
        <v>14</v>
      </c>
      <c r="U8" s="702">
        <f t="shared" si="1"/>
        <v>100</v>
      </c>
      <c r="V8" s="701" t="s">
        <v>14</v>
      </c>
      <c r="W8" s="702">
        <f t="shared" si="2"/>
        <v>100</v>
      </c>
      <c r="X8" s="703"/>
      <c r="Y8" s="3803" t="s">
        <v>1683</v>
      </c>
      <c r="Z8" s="3804"/>
      <c r="AA8" s="704">
        <f t="shared" ref="AA8:AA46" si="3">D8/F8</f>
        <v>1</v>
      </c>
      <c r="AB8" s="704">
        <f t="shared" ref="AB8:AB46" si="4">D8/H8</f>
        <v>1</v>
      </c>
      <c r="AC8" s="704">
        <f t="shared" ref="AC8:AC46" si="5">D8/J8</f>
        <v>1</v>
      </c>
    </row>
    <row r="9" spans="1:29" s="108" customFormat="1">
      <c r="A9" s="369" t="s">
        <v>1684</v>
      </c>
      <c r="B9" s="63" t="s">
        <v>1685</v>
      </c>
      <c r="C9" s="3537" t="s">
        <v>3559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817"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2"/>
      <c r="H10" s="127">
        <f>SUMIF(65:65,G10,66:66)-SUMIF(65:65,C10,66:66)+100</f>
        <v>100</v>
      </c>
      <c r="I10" s="3431"/>
      <c r="J10" s="127">
        <f>SUMIF(65:65,I10,66:66)-SUMIF(65:65,C10,66:66)+100</f>
        <v>100</v>
      </c>
      <c r="K10" s="560"/>
      <c r="L10" s="2716"/>
      <c r="M10" s="2717"/>
      <c r="N10" s="2717"/>
      <c r="O10" s="2717"/>
      <c r="P10" s="3817"/>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8"/>
      <c r="M11" s="2713"/>
      <c r="N11" s="2713"/>
      <c r="O11" s="2713"/>
      <c r="P11" s="3817"/>
      <c r="Q11" s="1343" t="str">
        <f t="shared" si="6"/>
        <v>容积率</v>
      </c>
      <c r="R11" s="701" t="s">
        <v>14</v>
      </c>
      <c r="S11" s="702">
        <f t="shared" si="0"/>
        <v>100</v>
      </c>
      <c r="T11" s="701" t="s">
        <v>14</v>
      </c>
      <c r="U11" s="702">
        <f t="shared" si="1"/>
        <v>100</v>
      </c>
      <c r="V11" s="701" t="s">
        <v>14</v>
      </c>
      <c r="W11" s="702">
        <f t="shared" si="2"/>
        <v>100</v>
      </c>
      <c r="X11" s="703"/>
      <c r="Y11" s="3772"/>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17"/>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17"/>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17"/>
      <c r="Q14" s="1343">
        <f t="shared" si="6"/>
        <v>111</v>
      </c>
      <c r="R14" s="701" t="s">
        <v>14</v>
      </c>
      <c r="S14" s="702">
        <f t="shared" si="0"/>
        <v>100</v>
      </c>
      <c r="T14" s="701" t="s">
        <v>14</v>
      </c>
      <c r="U14" s="702">
        <f t="shared" si="1"/>
        <v>100</v>
      </c>
      <c r="V14" s="701" t="s">
        <v>14</v>
      </c>
      <c r="W14" s="702">
        <f t="shared" si="2"/>
        <v>100</v>
      </c>
      <c r="X14" s="703"/>
      <c r="Y14" s="3772"/>
      <c r="Z14" s="52">
        <f t="shared" si="7"/>
        <v>111</v>
      </c>
      <c r="AA14" s="704">
        <f t="shared" si="3"/>
        <v>1</v>
      </c>
      <c r="AB14" s="704">
        <f t="shared" si="4"/>
        <v>1</v>
      </c>
      <c r="AC14" s="704">
        <f t="shared" si="5"/>
        <v>1</v>
      </c>
    </row>
    <row r="15" spans="1:29" ht="18.75" customHeight="1">
      <c r="A15" s="391" t="s">
        <v>1690</v>
      </c>
      <c r="B15" s="61" t="s">
        <v>1777</v>
      </c>
      <c r="C15" s="1896" t="str">
        <f>估价对象房地状况!C4</f>
        <v>较好</v>
      </c>
      <c r="D15" s="392">
        <v>100</v>
      </c>
      <c r="E15" s="403" t="s">
        <v>3500</v>
      </c>
      <c r="F15" s="394">
        <f>SUMIF(76:76,E16,77:77)-SUMIF(76:76,C16,77:77)+100</f>
        <v>100</v>
      </c>
      <c r="G15" s="403" t="s">
        <v>3500</v>
      </c>
      <c r="H15" s="392">
        <f>SUMIF(76:76,G16,77:77)-SUMIF(76:76,C16,77:77)+100</f>
        <v>100</v>
      </c>
      <c r="I15" s="3611" t="s">
        <v>3771</v>
      </c>
      <c r="J15" s="392">
        <f>SUMIF(76:76,I16,77:77)-SUMIF(76:76,C16,77:77)+100</f>
        <v>98</v>
      </c>
      <c r="K15" s="563">
        <v>2</v>
      </c>
      <c r="L15" s="2719"/>
      <c r="M15" s="2713"/>
      <c r="N15" s="2713"/>
      <c r="O15" s="2713"/>
      <c r="P15" s="3831" t="s">
        <v>1691</v>
      </c>
      <c r="Q15" s="1352" t="str">
        <f t="shared" si="6"/>
        <v>商业繁华度</v>
      </c>
      <c r="R15" s="705" t="s">
        <v>14</v>
      </c>
      <c r="S15" s="706">
        <f t="shared" si="0"/>
        <v>100</v>
      </c>
      <c r="T15" s="705" t="s">
        <v>14</v>
      </c>
      <c r="U15" s="706">
        <f t="shared" si="1"/>
        <v>100</v>
      </c>
      <c r="V15" s="705" t="s">
        <v>14</v>
      </c>
      <c r="W15" s="706">
        <f t="shared" si="2"/>
        <v>98</v>
      </c>
      <c r="X15" s="1355"/>
      <c r="Y15" s="3833" t="s">
        <v>1691</v>
      </c>
      <c r="Z15" s="1356" t="str">
        <f t="shared" si="7"/>
        <v>商业繁华度</v>
      </c>
      <c r="AA15" s="1353">
        <f t="shared" si="3"/>
        <v>1</v>
      </c>
      <c r="AB15" s="1353">
        <f t="shared" si="4"/>
        <v>1</v>
      </c>
      <c r="AC15" s="1353">
        <f t="shared" si="5"/>
        <v>1.0204081632653061</v>
      </c>
    </row>
    <row r="16" spans="1:29" ht="18.75" customHeight="1" thickBot="1">
      <c r="A16" s="379"/>
      <c r="B16" s="397"/>
      <c r="C16" s="398" t="s">
        <v>3500</v>
      </c>
      <c r="D16" s="399"/>
      <c r="E16" s="1903" t="s">
        <v>3500</v>
      </c>
      <c r="F16" s="400"/>
      <c r="G16" s="1903" t="s">
        <v>3500</v>
      </c>
      <c r="H16" s="401"/>
      <c r="I16" s="398" t="s">
        <v>3532</v>
      </c>
      <c r="J16" s="399"/>
      <c r="K16" s="564"/>
      <c r="L16" s="2719"/>
      <c r="M16" s="2713"/>
      <c r="N16" s="2713"/>
      <c r="O16" s="2713"/>
      <c r="P16" s="3832"/>
      <c r="Q16" s="1352"/>
      <c r="R16" s="705"/>
      <c r="S16" s="706"/>
      <c r="T16" s="705"/>
      <c r="U16" s="706"/>
      <c r="V16" s="705"/>
      <c r="W16" s="706"/>
      <c r="X16" s="1355"/>
      <c r="Y16" s="3834"/>
      <c r="Z16" s="1356"/>
      <c r="AA16" s="1353">
        <v>1</v>
      </c>
      <c r="AB16" s="1353">
        <v>1</v>
      </c>
      <c r="AC16" s="1353">
        <v>1</v>
      </c>
    </row>
    <row r="17" spans="1:29" ht="18.75" customHeight="1">
      <c r="A17" s="379"/>
      <c r="B17" s="402" t="s">
        <v>1259</v>
      </c>
      <c r="C17" s="1900" t="str">
        <f>估价对象房地状况!C6</f>
        <v>较好</v>
      </c>
      <c r="D17" s="401">
        <v>100</v>
      </c>
      <c r="E17" s="403" t="s">
        <v>3500</v>
      </c>
      <c r="F17" s="404">
        <f>SUMIF(78:78,E18,79:79)-SUMIF(78:78,C18,79:79)+100</f>
        <v>100</v>
      </c>
      <c r="G17" s="403" t="s">
        <v>3500</v>
      </c>
      <c r="H17" s="406">
        <f>SUMIF(78:78,G18,79:79)-SUMIF(78:78,C18,79:79)+100</f>
        <v>100</v>
      </c>
      <c r="I17" s="3611" t="s">
        <v>3771</v>
      </c>
      <c r="J17" s="406">
        <f>SUMIF(78:78,I18,79:79)-SUMIF(78:78,C18,79:79)+100</f>
        <v>98</v>
      </c>
      <c r="K17" s="563">
        <v>2</v>
      </c>
      <c r="L17" s="2719"/>
      <c r="M17" s="2713"/>
      <c r="N17" s="2713"/>
      <c r="O17" s="2713"/>
      <c r="P17" s="3832"/>
      <c r="Q17" s="1352" t="str">
        <f>B17</f>
        <v>交通便捷度</v>
      </c>
      <c r="R17" s="705" t="s">
        <v>14</v>
      </c>
      <c r="S17" s="706">
        <f>F17</f>
        <v>100</v>
      </c>
      <c r="T17" s="705" t="s">
        <v>14</v>
      </c>
      <c r="U17" s="706">
        <f>H17</f>
        <v>100</v>
      </c>
      <c r="V17" s="705" t="s">
        <v>14</v>
      </c>
      <c r="W17" s="706">
        <f>J17</f>
        <v>98</v>
      </c>
      <c r="X17" s="1355"/>
      <c r="Y17" s="3834"/>
      <c r="Z17" s="1356" t="str">
        <f>Q17</f>
        <v>交通便捷度</v>
      </c>
      <c r="AA17" s="1353">
        <f t="shared" si="3"/>
        <v>1</v>
      </c>
      <c r="AB17" s="1353">
        <f t="shared" si="4"/>
        <v>1</v>
      </c>
      <c r="AC17" s="1353">
        <f t="shared" si="5"/>
        <v>1.0204081632653061</v>
      </c>
    </row>
    <row r="18" spans="1:29" ht="18.75" customHeight="1" thickBot="1">
      <c r="A18" s="379"/>
      <c r="B18" s="407"/>
      <c r="C18" s="1901" t="s">
        <v>3500</v>
      </c>
      <c r="D18" s="401"/>
      <c r="E18" s="1903" t="s">
        <v>3500</v>
      </c>
      <c r="F18" s="404"/>
      <c r="G18" s="1903" t="s">
        <v>3500</v>
      </c>
      <c r="H18" s="399"/>
      <c r="I18" s="398" t="s">
        <v>3532</v>
      </c>
      <c r="J18" s="399"/>
      <c r="K18" s="564"/>
      <c r="L18" s="2719"/>
      <c r="M18" s="2713"/>
      <c r="N18" s="2713"/>
      <c r="O18" s="2713"/>
      <c r="P18" s="3832"/>
      <c r="Q18" s="1352"/>
      <c r="R18" s="705"/>
      <c r="S18" s="706"/>
      <c r="T18" s="705"/>
      <c r="U18" s="706"/>
      <c r="V18" s="705"/>
      <c r="W18" s="706"/>
      <c r="X18" s="1355"/>
      <c r="Y18" s="3834"/>
      <c r="Z18" s="1356"/>
      <c r="AA18" s="1353">
        <v>1</v>
      </c>
      <c r="AB18" s="1353">
        <v>1</v>
      </c>
      <c r="AC18" s="1353">
        <v>1</v>
      </c>
    </row>
    <row r="19" spans="1:29" ht="18.75" customHeight="1">
      <c r="A19" s="379"/>
      <c r="B19" s="402" t="s">
        <v>1778</v>
      </c>
      <c r="C19" s="1900" t="str">
        <f>估价对象房地状况!C7</f>
        <v>较好</v>
      </c>
      <c r="D19" s="406">
        <v>100</v>
      </c>
      <c r="E19" s="408" t="s">
        <v>3500</v>
      </c>
      <c r="F19" s="409">
        <f>SUMIF(80:80,E20,81:81)-SUMIF(80:80,C20,81:81)+100</f>
        <v>100</v>
      </c>
      <c r="G19" s="408" t="s">
        <v>3500</v>
      </c>
      <c r="H19" s="401">
        <f>SUMIF(80:80,G20,81:81)-SUMIF(80:80,C20,81:81)+100</f>
        <v>100</v>
      </c>
      <c r="I19" s="3611" t="s">
        <v>3771</v>
      </c>
      <c r="J19" s="401">
        <f>SUMIF(80:80,I20,81:81)-SUMIF(80:80,C20,81:81)+100</f>
        <v>98</v>
      </c>
      <c r="K19" s="563">
        <v>2</v>
      </c>
      <c r="L19" s="2719"/>
      <c r="M19" s="2713"/>
      <c r="N19" s="2713"/>
      <c r="O19" s="2713"/>
      <c r="P19" s="3832"/>
      <c r="Q19" s="1352" t="str">
        <f>B19</f>
        <v>公共配套设施</v>
      </c>
      <c r="R19" s="705" t="s">
        <v>14</v>
      </c>
      <c r="S19" s="706">
        <f>F19</f>
        <v>100</v>
      </c>
      <c r="T19" s="705" t="s">
        <v>14</v>
      </c>
      <c r="U19" s="706">
        <f>H19</f>
        <v>100</v>
      </c>
      <c r="V19" s="705" t="s">
        <v>14</v>
      </c>
      <c r="W19" s="706">
        <f>J19</f>
        <v>98</v>
      </c>
      <c r="X19" s="1355"/>
      <c r="Y19" s="3834"/>
      <c r="Z19" s="1356" t="str">
        <f>Q19</f>
        <v>公共配套设施</v>
      </c>
      <c r="AA19" s="1353">
        <f t="shared" si="3"/>
        <v>1</v>
      </c>
      <c r="AB19" s="1353">
        <f t="shared" si="4"/>
        <v>1</v>
      </c>
      <c r="AC19" s="1353">
        <f t="shared" si="5"/>
        <v>1.0204081632653061</v>
      </c>
    </row>
    <row r="20" spans="1:29" ht="18.75" customHeight="1">
      <c r="A20" s="379"/>
      <c r="B20" s="407"/>
      <c r="C20" s="398" t="s">
        <v>3500</v>
      </c>
      <c r="D20" s="399"/>
      <c r="E20" s="1898" t="s">
        <v>3500</v>
      </c>
      <c r="F20" s="400"/>
      <c r="G20" s="1898" t="s">
        <v>3500</v>
      </c>
      <c r="H20" s="399"/>
      <c r="I20" s="398" t="s">
        <v>3532</v>
      </c>
      <c r="J20" s="399"/>
      <c r="K20" s="564"/>
      <c r="L20" s="2719"/>
      <c r="M20" s="2713"/>
      <c r="N20" s="2713"/>
      <c r="O20" s="2713"/>
      <c r="P20" s="3832"/>
      <c r="Q20" s="1352"/>
      <c r="R20" s="705"/>
      <c r="S20" s="706"/>
      <c r="T20" s="705"/>
      <c r="U20" s="706"/>
      <c r="V20" s="705"/>
      <c r="W20" s="706"/>
      <c r="X20" s="1355"/>
      <c r="Y20" s="3834"/>
      <c r="Z20" s="1356"/>
      <c r="AA20" s="1353">
        <v>1</v>
      </c>
      <c r="AB20" s="1353">
        <v>1</v>
      </c>
      <c r="AC20" s="1353">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9"/>
      <c r="M21" s="2713"/>
      <c r="N21" s="2713"/>
      <c r="O21" s="2713"/>
      <c r="P21" s="3832"/>
      <c r="Q21" s="1352" t="str">
        <f>B21</f>
        <v>基础设施水平</v>
      </c>
      <c r="R21" s="705" t="s">
        <v>14</v>
      </c>
      <c r="S21" s="706">
        <f>F21</f>
        <v>100</v>
      </c>
      <c r="T21" s="705" t="s">
        <v>14</v>
      </c>
      <c r="U21" s="706">
        <f>H21</f>
        <v>100</v>
      </c>
      <c r="V21" s="705" t="s">
        <v>14</v>
      </c>
      <c r="W21" s="706">
        <f>J21</f>
        <v>100</v>
      </c>
      <c r="X21" s="1355"/>
      <c r="Y21" s="3834"/>
      <c r="Z21" s="1356" t="str">
        <f>Q21</f>
        <v>基础设施水平</v>
      </c>
      <c r="AA21" s="1353">
        <f t="shared" ref="AA21" si="8">D21/F21</f>
        <v>1</v>
      </c>
      <c r="AB21" s="1353">
        <f t="shared" ref="AB21" si="9">D21/H21</f>
        <v>1</v>
      </c>
      <c r="AC21" s="1353">
        <f t="shared" ref="AC21" si="10">D21/J21</f>
        <v>1</v>
      </c>
    </row>
    <row r="22" spans="1:29" ht="18.75" customHeight="1">
      <c r="A22" s="379"/>
      <c r="B22" s="1131"/>
      <c r="C22" s="1901" t="s">
        <v>3501</v>
      </c>
      <c r="D22" s="399"/>
      <c r="E22" s="398" t="s">
        <v>3501</v>
      </c>
      <c r="F22" s="400"/>
      <c r="G22" s="398" t="s">
        <v>3501</v>
      </c>
      <c r="H22" s="399"/>
      <c r="I22" s="398" t="s">
        <v>3501</v>
      </c>
      <c r="J22" s="399"/>
      <c r="K22" s="1130"/>
      <c r="L22" s="2719"/>
      <c r="M22" s="2713"/>
      <c r="N22" s="2713"/>
      <c r="O22" s="2713"/>
      <c r="P22" s="3832"/>
      <c r="Q22" s="1352"/>
      <c r="R22" s="705"/>
      <c r="S22" s="706"/>
      <c r="T22" s="705"/>
      <c r="U22" s="706"/>
      <c r="V22" s="705"/>
      <c r="W22" s="706"/>
      <c r="X22" s="1355"/>
      <c r="Y22" s="3834"/>
      <c r="Z22" s="1356"/>
      <c r="AA22" s="1353">
        <v>1</v>
      </c>
      <c r="AB22" s="1353">
        <v>1</v>
      </c>
      <c r="AC22" s="1353">
        <v>1</v>
      </c>
    </row>
    <row r="23" spans="1:29" ht="18.75" customHeight="1">
      <c r="A23" s="379"/>
      <c r="B23" s="402" t="s">
        <v>1261</v>
      </c>
      <c r="C23" s="1955" t="str">
        <f>估价对象房地状况!C9</f>
        <v>较好</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19"/>
      <c r="M23" s="2713"/>
      <c r="N23" s="2713"/>
      <c r="O23" s="2713"/>
      <c r="P23" s="3832"/>
      <c r="Q23" s="1352" t="str">
        <f>B23</f>
        <v>自然及人文环境</v>
      </c>
      <c r="R23" s="705" t="s">
        <v>14</v>
      </c>
      <c r="S23" s="706">
        <f>F23</f>
        <v>100</v>
      </c>
      <c r="T23" s="705" t="s">
        <v>14</v>
      </c>
      <c r="U23" s="706">
        <f>H23</f>
        <v>100</v>
      </c>
      <c r="V23" s="705" t="s">
        <v>14</v>
      </c>
      <c r="W23" s="706">
        <f>J23</f>
        <v>100</v>
      </c>
      <c r="X23" s="1355"/>
      <c r="Y23" s="3834"/>
      <c r="Z23" s="1356" t="str">
        <f>Q23</f>
        <v>自然及人文环境</v>
      </c>
      <c r="AA23" s="1353">
        <f t="shared" si="3"/>
        <v>1</v>
      </c>
      <c r="AB23" s="1353">
        <f t="shared" si="4"/>
        <v>1</v>
      </c>
      <c r="AC23" s="1353">
        <f t="shared" si="5"/>
        <v>1</v>
      </c>
    </row>
    <row r="24" spans="1:29" ht="15">
      <c r="A24" s="379"/>
      <c r="B24" s="407"/>
      <c r="C24" s="398" t="s">
        <v>3500</v>
      </c>
      <c r="D24" s="399"/>
      <c r="E24" s="1898" t="s">
        <v>3500</v>
      </c>
      <c r="F24" s="400"/>
      <c r="G24" s="1898" t="s">
        <v>3500</v>
      </c>
      <c r="H24" s="399"/>
      <c r="I24" s="1898" t="s">
        <v>3500</v>
      </c>
      <c r="J24" s="399"/>
      <c r="K24" s="564"/>
      <c r="L24" s="2719"/>
      <c r="M24" s="2713"/>
      <c r="N24" s="2713"/>
      <c r="O24" s="2713"/>
      <c r="P24" s="3832"/>
      <c r="Q24" s="1352"/>
      <c r="R24" s="705"/>
      <c r="S24" s="706"/>
      <c r="T24" s="705"/>
      <c r="U24" s="706"/>
      <c r="V24" s="705"/>
      <c r="W24" s="706"/>
      <c r="X24" s="1355"/>
      <c r="Y24" s="3834"/>
      <c r="Z24" s="1356"/>
      <c r="AA24" s="1353">
        <v>1</v>
      </c>
      <c r="AB24" s="1353">
        <v>1</v>
      </c>
      <c r="AC24" s="1353">
        <v>1</v>
      </c>
    </row>
    <row r="25" spans="1:29" ht="15">
      <c r="A25" s="379"/>
      <c r="B25" s="375" t="s">
        <v>1780</v>
      </c>
      <c r="C25" s="565" t="s">
        <v>3502</v>
      </c>
      <c r="D25" s="386">
        <v>100</v>
      </c>
      <c r="E25" s="565" t="s">
        <v>3502</v>
      </c>
      <c r="F25" s="412">
        <f>SUMIF(86:86,E25,87:87)-SUMIF(86:86,C25,87:87)+100</f>
        <v>100</v>
      </c>
      <c r="G25" s="565" t="s">
        <v>3619</v>
      </c>
      <c r="H25" s="386">
        <f>SUMIF(86:86,G25,87:87)-SUMIF(86:86,C25,87:87)+100</f>
        <v>105</v>
      </c>
      <c r="I25" s="565" t="s">
        <v>3619</v>
      </c>
      <c r="J25" s="386">
        <f>SUMIF(86:86,I25,87:87)-SUMIF(86:86,C25,87:87)+100</f>
        <v>105</v>
      </c>
      <c r="K25" s="561">
        <v>5</v>
      </c>
      <c r="L25" s="2719"/>
      <c r="M25" s="2713"/>
      <c r="N25" s="2713"/>
      <c r="O25" s="2713"/>
      <c r="P25" s="3832"/>
      <c r="Q25" s="1352" t="str">
        <f t="shared" ref="Q25:Q46" si="11">B25</f>
        <v>临街状况</v>
      </c>
      <c r="R25" s="705" t="s">
        <v>14</v>
      </c>
      <c r="S25" s="706">
        <f>F25</f>
        <v>100</v>
      </c>
      <c r="T25" s="705" t="s">
        <v>14</v>
      </c>
      <c r="U25" s="706">
        <f>H25</f>
        <v>105</v>
      </c>
      <c r="V25" s="705" t="s">
        <v>14</v>
      </c>
      <c r="W25" s="706">
        <f>J25</f>
        <v>105</v>
      </c>
      <c r="X25" s="1355"/>
      <c r="Y25" s="3834"/>
      <c r="Z25" s="1356" t="str">
        <f>Q25</f>
        <v>临街状况</v>
      </c>
      <c r="AA25" s="1353">
        <f t="shared" si="3"/>
        <v>1</v>
      </c>
      <c r="AB25" s="1353">
        <f t="shared" si="4"/>
        <v>0.95238095238095233</v>
      </c>
      <c r="AC25" s="1353">
        <f t="shared" si="5"/>
        <v>0.95238095238095233</v>
      </c>
    </row>
    <row r="26" spans="1:29" ht="15">
      <c r="A26" s="379"/>
      <c r="B26" s="1133" t="s">
        <v>1781</v>
      </c>
      <c r="C26" s="3538" t="s">
        <v>3560</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9"/>
      <c r="M26" s="2713"/>
      <c r="N26" s="2713"/>
      <c r="O26" s="2713"/>
      <c r="P26" s="3832"/>
      <c r="Q26" s="1352" t="str">
        <f t="shared" si="11"/>
        <v>平面位置/可视性</v>
      </c>
      <c r="R26" s="705" t="s">
        <v>14</v>
      </c>
      <c r="S26" s="706">
        <f>F26</f>
        <v>100</v>
      </c>
      <c r="T26" s="705" t="s">
        <v>14</v>
      </c>
      <c r="U26" s="706">
        <f>H26</f>
        <v>100</v>
      </c>
      <c r="V26" s="705" t="s">
        <v>14</v>
      </c>
      <c r="W26" s="706">
        <f>J26</f>
        <v>100</v>
      </c>
      <c r="X26" s="1355"/>
      <c r="Y26" s="3834"/>
      <c r="Z26" s="1356" t="str">
        <f>Q26</f>
        <v>平面位置/可视性</v>
      </c>
      <c r="AA26" s="1353">
        <f t="shared" si="3"/>
        <v>1</v>
      </c>
      <c r="AB26" s="1353">
        <f t="shared" si="4"/>
        <v>1</v>
      </c>
      <c r="AC26" s="1353">
        <f t="shared" si="5"/>
        <v>1</v>
      </c>
    </row>
    <row r="27" spans="1:29" s="108" customFormat="1" ht="15">
      <c r="A27" s="382"/>
      <c r="B27" s="402" t="s">
        <v>1782</v>
      </c>
      <c r="C27" s="1956" t="s">
        <v>3532</v>
      </c>
      <c r="D27" s="413">
        <v>100</v>
      </c>
      <c r="E27" s="1956" t="s">
        <v>3532</v>
      </c>
      <c r="F27" s="415">
        <f>SUMIF(90:90,E27,91:91)-SUMIF(90:90,C27,91:91)+100</f>
        <v>100</v>
      </c>
      <c r="G27" s="1956" t="s">
        <v>3500</v>
      </c>
      <c r="H27" s="413">
        <f>SUMIF(90:90,G27,91:91)-SUMIF(90:90,C27,91:91)+100</f>
        <v>105</v>
      </c>
      <c r="I27" s="1956" t="s">
        <v>3543</v>
      </c>
      <c r="J27" s="413">
        <f>SUMIF(90:90,I27,91:91)-SUMIF(90:90,C27,91:91)+100</f>
        <v>95</v>
      </c>
      <c r="K27" s="561">
        <v>5</v>
      </c>
      <c r="L27" s="2714"/>
      <c r="M27" s="2715"/>
      <c r="N27" s="2715"/>
      <c r="O27" s="2715"/>
      <c r="P27" s="3832"/>
      <c r="Q27" s="1343" t="str">
        <f t="shared" si="11"/>
        <v>人流量</v>
      </c>
      <c r="R27" s="701" t="s">
        <v>14</v>
      </c>
      <c r="S27" s="702">
        <f>F27</f>
        <v>100</v>
      </c>
      <c r="T27" s="701" t="s">
        <v>14</v>
      </c>
      <c r="U27" s="702">
        <f>H27</f>
        <v>105</v>
      </c>
      <c r="V27" s="701" t="s">
        <v>14</v>
      </c>
      <c r="W27" s="702">
        <f>J27</f>
        <v>95</v>
      </c>
      <c r="X27" s="703"/>
      <c r="Y27" s="3834"/>
      <c r="Z27" s="52" t="str">
        <f>Q27</f>
        <v>人流量</v>
      </c>
      <c r="AA27" s="1353">
        <f>D27/F27</f>
        <v>1</v>
      </c>
      <c r="AB27" s="1353">
        <f>D27/H27</f>
        <v>0.95238095238095233</v>
      </c>
      <c r="AC27" s="1353">
        <f>D27/J27</f>
        <v>1.0526315789473684</v>
      </c>
    </row>
    <row r="28" spans="1:29" ht="15">
      <c r="A28" s="379"/>
      <c r="B28" s="375" t="s">
        <v>1783</v>
      </c>
      <c r="C28" s="565" t="s">
        <v>3504</v>
      </c>
      <c r="D28" s="386">
        <v>100</v>
      </c>
      <c r="E28" s="565" t="s">
        <v>3504</v>
      </c>
      <c r="F28" s="412">
        <f>SUMIF(92:92,E28,93:93)-SUMIF(92:92,C28,93:93)+100</f>
        <v>100</v>
      </c>
      <c r="G28" s="565" t="s">
        <v>3760</v>
      </c>
      <c r="H28" s="386">
        <f>SUMIF(92:92,G28,93:93)-SUMIF(92:92,C28,93:93)+100</f>
        <v>80</v>
      </c>
      <c r="I28" s="565" t="s">
        <v>3504</v>
      </c>
      <c r="J28" s="386">
        <f>SUMIF(92:92,I28,93:93)-SUMIF(92:92,C28,93:93)+100</f>
        <v>100</v>
      </c>
      <c r="K28" s="562"/>
      <c r="L28" s="2719"/>
      <c r="M28" s="2713"/>
      <c r="N28" s="2713"/>
      <c r="O28" s="2713"/>
      <c r="P28" s="3832"/>
      <c r="Q28" s="1352" t="str">
        <f t="shared" si="11"/>
        <v>楼层</v>
      </c>
      <c r="R28" s="705" t="s">
        <v>14</v>
      </c>
      <c r="S28" s="706">
        <f t="shared" ref="S28:S46" si="12">F28</f>
        <v>100</v>
      </c>
      <c r="T28" s="705" t="s">
        <v>14</v>
      </c>
      <c r="U28" s="706">
        <f t="shared" ref="U28:U46" si="13">H28</f>
        <v>80</v>
      </c>
      <c r="V28" s="705" t="s">
        <v>14</v>
      </c>
      <c r="W28" s="706">
        <f t="shared" ref="W28:W46" si="14">J28</f>
        <v>100</v>
      </c>
      <c r="X28" s="1355"/>
      <c r="Y28" s="3834"/>
      <c r="Z28" s="1356" t="str">
        <f t="shared" ref="Z28:Z46" si="15">Q28</f>
        <v>楼层</v>
      </c>
      <c r="AA28" s="1353">
        <f t="shared" si="3"/>
        <v>1</v>
      </c>
      <c r="AB28" s="1353">
        <f t="shared" si="4"/>
        <v>1.25</v>
      </c>
      <c r="AC28" s="1353">
        <f t="shared" si="5"/>
        <v>1</v>
      </c>
    </row>
    <row r="29" spans="1:29" ht="15.75" thickBot="1">
      <c r="A29" s="379"/>
      <c r="B29" s="3555" t="s">
        <v>3764</v>
      </c>
      <c r="C29" s="3538"/>
      <c r="D29" s="386">
        <v>100</v>
      </c>
      <c r="E29" s="3538"/>
      <c r="F29" s="412">
        <f>SUMIF(94:94,E29,95:95)-SUMIF(94:94,C29,95:95)+100</f>
        <v>100</v>
      </c>
      <c r="G29" s="3538"/>
      <c r="H29" s="386">
        <f>SUMIF(94:94,G29,95:95)-SUMIF(94:94,C29,95:95)+100</f>
        <v>100</v>
      </c>
      <c r="I29" s="3538"/>
      <c r="J29" s="386">
        <f>SUMIF(94:94,I29,95:95)-SUMIF(94:94,C29,95:95)+100</f>
        <v>100</v>
      </c>
      <c r="K29" s="562"/>
      <c r="L29" s="2719"/>
      <c r="M29" s="2713"/>
      <c r="N29" s="2713"/>
      <c r="O29" s="2713"/>
      <c r="P29" s="3832"/>
      <c r="Q29" s="1352" t="str">
        <f t="shared" si="11"/>
        <v>主要临路</v>
      </c>
      <c r="R29" s="705" t="s">
        <v>14</v>
      </c>
      <c r="S29" s="706">
        <f t="shared" si="12"/>
        <v>100</v>
      </c>
      <c r="T29" s="705" t="s">
        <v>14</v>
      </c>
      <c r="U29" s="706">
        <f t="shared" si="13"/>
        <v>100</v>
      </c>
      <c r="V29" s="705" t="s">
        <v>14</v>
      </c>
      <c r="W29" s="706">
        <f t="shared" si="14"/>
        <v>100</v>
      </c>
      <c r="X29" s="1355"/>
      <c r="Y29" s="3834"/>
      <c r="Z29" s="1356" t="str">
        <f t="shared" si="15"/>
        <v>主要临路</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32"/>
      <c r="Q30" s="1352">
        <f t="shared" si="11"/>
        <v>111</v>
      </c>
      <c r="R30" s="705" t="s">
        <v>14</v>
      </c>
      <c r="S30" s="706">
        <f t="shared" si="12"/>
        <v>100</v>
      </c>
      <c r="T30" s="705" t="s">
        <v>14</v>
      </c>
      <c r="U30" s="706">
        <f t="shared" si="13"/>
        <v>100</v>
      </c>
      <c r="V30" s="705" t="s">
        <v>14</v>
      </c>
      <c r="W30" s="706">
        <f t="shared" si="14"/>
        <v>100</v>
      </c>
      <c r="X30" s="1355"/>
      <c r="Y30" s="3834"/>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32"/>
      <c r="Q31" s="1352">
        <f t="shared" si="11"/>
        <v>111</v>
      </c>
      <c r="R31" s="705" t="s">
        <v>14</v>
      </c>
      <c r="S31" s="706">
        <f t="shared" si="12"/>
        <v>100</v>
      </c>
      <c r="T31" s="705" t="s">
        <v>14</v>
      </c>
      <c r="U31" s="706">
        <f t="shared" si="13"/>
        <v>100</v>
      </c>
      <c r="V31" s="705" t="s">
        <v>14</v>
      </c>
      <c r="W31" s="706">
        <f t="shared" si="14"/>
        <v>100</v>
      </c>
      <c r="X31" s="1355"/>
      <c r="Y31" s="3834"/>
      <c r="Z31" s="1356">
        <f t="shared" si="15"/>
        <v>111</v>
      </c>
      <c r="AA31" s="1353">
        <f t="shared" si="3"/>
        <v>1</v>
      </c>
      <c r="AB31" s="1353">
        <f t="shared" si="4"/>
        <v>1</v>
      </c>
      <c r="AC31" s="1353">
        <f t="shared" si="5"/>
        <v>1</v>
      </c>
    </row>
    <row r="32" spans="1:29" ht="15">
      <c r="A32" s="391" t="s">
        <v>1694</v>
      </c>
      <c r="B32" s="63" t="s">
        <v>1784</v>
      </c>
      <c r="C32" s="1910" t="s">
        <v>3505</v>
      </c>
      <c r="D32" s="418">
        <v>100</v>
      </c>
      <c r="E32" s="1910" t="s">
        <v>3505</v>
      </c>
      <c r="F32" s="412">
        <f>SUMIF(100:100,E32,101:101)-SUMIF(100:100,C32,101:101)+100</f>
        <v>100</v>
      </c>
      <c r="G32" s="1910" t="s">
        <v>3793</v>
      </c>
      <c r="H32" s="386">
        <f>SUMIF(100:100,G32,101:101)-SUMIF(100:100,C32,101:101)+100</f>
        <v>108</v>
      </c>
      <c r="I32" s="1910" t="s">
        <v>3561</v>
      </c>
      <c r="J32" s="418">
        <f>SUMIF(100:100,I32,101:101)-SUMIF(100:100,C32,101:101)+100</f>
        <v>104</v>
      </c>
      <c r="K32" s="561">
        <v>4</v>
      </c>
      <c r="L32" s="2719"/>
      <c r="M32" s="2713"/>
      <c r="N32" s="2713"/>
      <c r="O32" s="2713"/>
      <c r="P32" s="3835" t="s">
        <v>1696</v>
      </c>
      <c r="Q32" s="1352" t="str">
        <f t="shared" si="11"/>
        <v>商业类型</v>
      </c>
      <c r="R32" s="705" t="s">
        <v>14</v>
      </c>
      <c r="S32" s="706">
        <f t="shared" si="12"/>
        <v>100</v>
      </c>
      <c r="T32" s="705" t="s">
        <v>14</v>
      </c>
      <c r="U32" s="706">
        <f t="shared" si="13"/>
        <v>108</v>
      </c>
      <c r="V32" s="705" t="s">
        <v>14</v>
      </c>
      <c r="W32" s="706">
        <f t="shared" si="14"/>
        <v>104</v>
      </c>
      <c r="X32" s="1355"/>
      <c r="Y32" s="3838" t="s">
        <v>1696</v>
      </c>
      <c r="Z32" s="1356" t="str">
        <f t="shared" si="15"/>
        <v>商业类型</v>
      </c>
      <c r="AA32" s="1353">
        <f t="shared" si="3"/>
        <v>1</v>
      </c>
      <c r="AB32" s="1353">
        <f t="shared" si="4"/>
        <v>0.92592592592592593</v>
      </c>
      <c r="AC32" s="1353">
        <f t="shared" si="5"/>
        <v>0.96153846153846156</v>
      </c>
    </row>
    <row r="33" spans="1:29" s="422" customFormat="1" ht="15">
      <c r="A33" s="419"/>
      <c r="B33" s="375" t="s">
        <v>1697</v>
      </c>
      <c r="C33" s="420">
        <f>'数据-汇总表'!F19</f>
        <v>642</v>
      </c>
      <c r="D33" s="127">
        <v>100</v>
      </c>
      <c r="E33" s="381">
        <f>租金表!F19</f>
        <v>380.25</v>
      </c>
      <c r="F33" s="376">
        <f>LOOKUP(E33,103:103,104:104)-LOOKUP(C33,103:103,104:104)+100</f>
        <v>102</v>
      </c>
      <c r="G33" s="380">
        <f>租金表!D3</f>
        <v>1311.28</v>
      </c>
      <c r="H33" s="127">
        <f>LOOKUP(G33,103:103,104:104)-LOOKUP(C33,103:103,104:104)+100</f>
        <v>98</v>
      </c>
      <c r="I33" s="380">
        <f>租金表!D7</f>
        <v>500</v>
      </c>
      <c r="J33" s="127">
        <f>LOOKUP(I33,103:103,104:104)-LOOKUP(C33,103:103,104:104)+100</f>
        <v>100</v>
      </c>
      <c r="K33" s="562"/>
      <c r="L33" s="2718"/>
      <c r="M33" s="2720"/>
      <c r="N33" s="2720"/>
      <c r="O33" s="2720"/>
      <c r="P33" s="3836"/>
      <c r="Q33" s="707" t="str">
        <f t="shared" si="11"/>
        <v>项目建筑规模</v>
      </c>
      <c r="R33" s="708" t="s">
        <v>14</v>
      </c>
      <c r="S33" s="709">
        <f t="shared" si="12"/>
        <v>102</v>
      </c>
      <c r="T33" s="708" t="s">
        <v>14</v>
      </c>
      <c r="U33" s="709">
        <f t="shared" si="13"/>
        <v>98</v>
      </c>
      <c r="V33" s="708" t="s">
        <v>14</v>
      </c>
      <c r="W33" s="709">
        <f t="shared" si="14"/>
        <v>100</v>
      </c>
      <c r="X33" s="710"/>
      <c r="Y33" s="3838"/>
      <c r="Z33" s="711" t="str">
        <f t="shared" si="15"/>
        <v>项目建筑规模</v>
      </c>
      <c r="AA33" s="1353">
        <f t="shared" si="3"/>
        <v>0.98039215686274506</v>
      </c>
      <c r="AB33" s="1353">
        <f t="shared" si="4"/>
        <v>1.0204081632653061</v>
      </c>
      <c r="AC33" s="1353">
        <f t="shared" si="5"/>
        <v>1</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9"/>
      <c r="M34" s="2713"/>
      <c r="N34" s="2713"/>
      <c r="O34" s="2713"/>
      <c r="P34" s="3836"/>
      <c r="Q34" s="1352" t="str">
        <f t="shared" si="11"/>
        <v>建筑结构</v>
      </c>
      <c r="R34" s="705" t="s">
        <v>14</v>
      </c>
      <c r="S34" s="706">
        <f t="shared" si="12"/>
        <v>100</v>
      </c>
      <c r="T34" s="705" t="s">
        <v>14</v>
      </c>
      <c r="U34" s="706">
        <f t="shared" si="13"/>
        <v>100</v>
      </c>
      <c r="V34" s="705" t="s">
        <v>14</v>
      </c>
      <c r="W34" s="706">
        <f t="shared" si="14"/>
        <v>100</v>
      </c>
      <c r="X34" s="1355"/>
      <c r="Y34" s="3838"/>
      <c r="Z34" s="1356" t="str">
        <f t="shared" si="15"/>
        <v>建筑结构</v>
      </c>
      <c r="AA34" s="1353">
        <f t="shared" si="3"/>
        <v>1</v>
      </c>
      <c r="AB34" s="1353">
        <f t="shared" si="4"/>
        <v>1</v>
      </c>
      <c r="AC34" s="1353">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9"/>
      <c r="M35" s="2713"/>
      <c r="N35" s="2713"/>
      <c r="O35" s="2713"/>
      <c r="P35" s="3836"/>
      <c r="Q35" s="1352" t="str">
        <f t="shared" si="11"/>
        <v>公共部分装修</v>
      </c>
      <c r="R35" s="705" t="s">
        <v>14</v>
      </c>
      <c r="S35" s="706">
        <f t="shared" si="12"/>
        <v>100</v>
      </c>
      <c r="T35" s="705" t="s">
        <v>14</v>
      </c>
      <c r="U35" s="706">
        <f t="shared" si="13"/>
        <v>100</v>
      </c>
      <c r="V35" s="705" t="s">
        <v>14</v>
      </c>
      <c r="W35" s="706">
        <f t="shared" si="14"/>
        <v>100</v>
      </c>
      <c r="X35" s="1355"/>
      <c r="Y35" s="3838"/>
      <c r="Z35" s="1356" t="str">
        <f t="shared" si="15"/>
        <v>公共部分装修</v>
      </c>
      <c r="AA35" s="1353">
        <f t="shared" si="3"/>
        <v>1</v>
      </c>
      <c r="AB35" s="1353">
        <f t="shared" si="4"/>
        <v>1</v>
      </c>
      <c r="AC35" s="1353">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9"/>
      <c r="M36" s="2713"/>
      <c r="N36" s="2713"/>
      <c r="O36" s="2713"/>
      <c r="P36" s="3836"/>
      <c r="Q36" s="1352" t="str">
        <f t="shared" si="11"/>
        <v>成新度</v>
      </c>
      <c r="R36" s="705" t="s">
        <v>14</v>
      </c>
      <c r="S36" s="706">
        <f t="shared" si="12"/>
        <v>100</v>
      </c>
      <c r="T36" s="705" t="s">
        <v>14</v>
      </c>
      <c r="U36" s="706">
        <f t="shared" si="13"/>
        <v>100</v>
      </c>
      <c r="V36" s="705" t="s">
        <v>14</v>
      </c>
      <c r="W36" s="706">
        <f t="shared" si="14"/>
        <v>100</v>
      </c>
      <c r="X36" s="1355"/>
      <c r="Y36" s="3838"/>
      <c r="Z36" s="1356" t="str">
        <f t="shared" si="15"/>
        <v>成新度</v>
      </c>
      <c r="AA36" s="1353">
        <f t="shared" si="3"/>
        <v>1</v>
      </c>
      <c r="AB36" s="1353">
        <f t="shared" si="4"/>
        <v>1</v>
      </c>
      <c r="AC36" s="1353">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4"/>
      <c r="M37" s="2715"/>
      <c r="N37" s="2715"/>
      <c r="O37" s="2715"/>
      <c r="P37" s="3836"/>
      <c r="Q37" s="1343" t="str">
        <f t="shared" si="11"/>
        <v>市政基础设施</v>
      </c>
      <c r="R37" s="701" t="s">
        <v>14</v>
      </c>
      <c r="S37" s="702">
        <f t="shared" si="12"/>
        <v>100</v>
      </c>
      <c r="T37" s="701" t="s">
        <v>14</v>
      </c>
      <c r="U37" s="702">
        <f t="shared" si="13"/>
        <v>100</v>
      </c>
      <c r="V37" s="701" t="s">
        <v>14</v>
      </c>
      <c r="W37" s="702">
        <f t="shared" si="14"/>
        <v>100</v>
      </c>
      <c r="X37" s="703"/>
      <c r="Y37" s="3838"/>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36" t="s">
        <v>1696</v>
      </c>
      <c r="Q38" s="1352" t="str">
        <f t="shared" si="11"/>
        <v>业态</v>
      </c>
      <c r="R38" s="705" t="s">
        <v>14</v>
      </c>
      <c r="S38" s="706">
        <f t="shared" si="12"/>
        <v>100</v>
      </c>
      <c r="T38" s="705" t="s">
        <v>14</v>
      </c>
      <c r="U38" s="706">
        <f t="shared" si="13"/>
        <v>100</v>
      </c>
      <c r="V38" s="705" t="s">
        <v>14</v>
      </c>
      <c r="W38" s="706">
        <f t="shared" si="14"/>
        <v>100</v>
      </c>
      <c r="X38" s="1355"/>
      <c r="Y38" s="3838" t="s">
        <v>1696</v>
      </c>
      <c r="Z38" s="1356" t="str">
        <f t="shared" si="15"/>
        <v>业态</v>
      </c>
      <c r="AA38" s="1353">
        <f t="shared" si="3"/>
        <v>1</v>
      </c>
      <c r="AB38" s="1353">
        <f t="shared" si="4"/>
        <v>1</v>
      </c>
      <c r="AC38" s="1353">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9"/>
      <c r="M39" s="2713"/>
      <c r="N39" s="2713"/>
      <c r="O39" s="2713"/>
      <c r="P39" s="3836"/>
      <c r="Q39" s="1352" t="str">
        <f t="shared" si="11"/>
        <v>层高</v>
      </c>
      <c r="R39" s="705" t="s">
        <v>14</v>
      </c>
      <c r="S39" s="706">
        <f t="shared" si="12"/>
        <v>100</v>
      </c>
      <c r="T39" s="705" t="s">
        <v>14</v>
      </c>
      <c r="U39" s="706">
        <f t="shared" si="13"/>
        <v>100</v>
      </c>
      <c r="V39" s="705" t="s">
        <v>14</v>
      </c>
      <c r="W39" s="706">
        <f t="shared" si="14"/>
        <v>100</v>
      </c>
      <c r="X39" s="1355"/>
      <c r="Y39" s="3838"/>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36"/>
      <c r="Q40" s="1352" t="str">
        <f t="shared" si="11"/>
        <v>单套建筑面积</v>
      </c>
      <c r="R40" s="705" t="s">
        <v>14</v>
      </c>
      <c r="S40" s="706">
        <f t="shared" si="12"/>
        <v>100</v>
      </c>
      <c r="T40" s="705" t="s">
        <v>14</v>
      </c>
      <c r="U40" s="706">
        <f t="shared" si="13"/>
        <v>100</v>
      </c>
      <c r="V40" s="705" t="s">
        <v>14</v>
      </c>
      <c r="W40" s="706">
        <f t="shared" si="14"/>
        <v>100</v>
      </c>
      <c r="X40" s="1355"/>
      <c r="Y40" s="3838"/>
      <c r="Z40" s="1356" t="str">
        <f t="shared" si="15"/>
        <v>单套建筑面积</v>
      </c>
      <c r="AA40" s="1353">
        <f t="shared" si="3"/>
        <v>1</v>
      </c>
      <c r="AB40" s="1353">
        <f t="shared" si="4"/>
        <v>1</v>
      </c>
      <c r="AC40" s="1353">
        <f t="shared" si="5"/>
        <v>1</v>
      </c>
    </row>
    <row r="41" spans="1:29" s="422" customFormat="1" ht="15">
      <c r="A41" s="419"/>
      <c r="B41" s="1354"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8"/>
      <c r="M41" s="2720"/>
      <c r="N41" s="2720"/>
      <c r="O41" s="2720"/>
      <c r="P41" s="3836"/>
      <c r="Q41" s="707" t="str">
        <f t="shared" si="11"/>
        <v>进深比</v>
      </c>
      <c r="R41" s="708" t="s">
        <v>14</v>
      </c>
      <c r="S41" s="709">
        <f t="shared" si="12"/>
        <v>100</v>
      </c>
      <c r="T41" s="708" t="s">
        <v>14</v>
      </c>
      <c r="U41" s="709">
        <f t="shared" si="13"/>
        <v>100</v>
      </c>
      <c r="V41" s="708" t="s">
        <v>14</v>
      </c>
      <c r="W41" s="709">
        <f t="shared" si="14"/>
        <v>100</v>
      </c>
      <c r="X41" s="710"/>
      <c r="Y41" s="3838"/>
      <c r="Z41" s="711" t="str">
        <f t="shared" si="15"/>
        <v>进深比</v>
      </c>
      <c r="AA41" s="1353">
        <f t="shared" si="3"/>
        <v>1</v>
      </c>
      <c r="AB41" s="1353">
        <f t="shared" si="4"/>
        <v>1</v>
      </c>
      <c r="AC41" s="1353">
        <f t="shared" si="5"/>
        <v>1</v>
      </c>
    </row>
    <row r="42" spans="1:29" ht="15">
      <c r="A42" s="423"/>
      <c r="B42" s="375" t="s">
        <v>1792</v>
      </c>
      <c r="C42" s="411"/>
      <c r="D42" s="386">
        <v>100</v>
      </c>
      <c r="E42" s="1906"/>
      <c r="F42" s="412">
        <f>SUMIF(122:122,E42,123:123)-SUMIF(122:122,C42,123:123)+100</f>
        <v>100</v>
      </c>
      <c r="G42" s="1906"/>
      <c r="H42" s="386">
        <f>SUMIF(122:122,G42,123:123)-SUMIF(122:122,C42,123:123)+100</f>
        <v>100</v>
      </c>
      <c r="I42" s="1906"/>
      <c r="J42" s="386">
        <f>SUMIF(122:122,I42,123:123)-SUMIF(122:122,C42,123:123)+100</f>
        <v>100</v>
      </c>
      <c r="K42" s="561">
        <v>3</v>
      </c>
      <c r="L42" s="2719"/>
      <c r="M42" s="2713"/>
      <c r="N42" s="2713"/>
      <c r="O42" s="2713"/>
      <c r="P42" s="3836"/>
      <c r="Q42" s="1352" t="str">
        <f t="shared" si="11"/>
        <v>内部装修</v>
      </c>
      <c r="R42" s="705" t="s">
        <v>14</v>
      </c>
      <c r="S42" s="706">
        <f t="shared" si="12"/>
        <v>100</v>
      </c>
      <c r="T42" s="705" t="s">
        <v>14</v>
      </c>
      <c r="U42" s="706">
        <f t="shared" si="13"/>
        <v>100</v>
      </c>
      <c r="V42" s="705" t="s">
        <v>14</v>
      </c>
      <c r="W42" s="706">
        <f t="shared" si="14"/>
        <v>100</v>
      </c>
      <c r="X42" s="1355"/>
      <c r="Y42" s="3838"/>
      <c r="Z42" s="1356" t="str">
        <f t="shared" si="15"/>
        <v>内部装修</v>
      </c>
      <c r="AA42" s="1353">
        <f t="shared" si="3"/>
        <v>1</v>
      </c>
      <c r="AB42" s="1353">
        <f t="shared" si="4"/>
        <v>1</v>
      </c>
      <c r="AC42" s="1353">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9"/>
      <c r="M43" s="2713"/>
      <c r="N43" s="2713"/>
      <c r="O43" s="2713"/>
      <c r="P43" s="3836"/>
      <c r="Q43" s="1352" t="str">
        <f t="shared" si="11"/>
        <v>内部装修维护情况</v>
      </c>
      <c r="R43" s="705" t="s">
        <v>14</v>
      </c>
      <c r="S43" s="706">
        <f t="shared" si="12"/>
        <v>100</v>
      </c>
      <c r="T43" s="705" t="s">
        <v>14</v>
      </c>
      <c r="U43" s="706">
        <f t="shared" si="13"/>
        <v>100</v>
      </c>
      <c r="V43" s="705" t="s">
        <v>14</v>
      </c>
      <c r="W43" s="706">
        <f t="shared" si="14"/>
        <v>100</v>
      </c>
      <c r="X43" s="1355"/>
      <c r="Y43" s="3838"/>
      <c r="Z43" s="1356" t="str">
        <f t="shared" si="15"/>
        <v>内部装修维护情况</v>
      </c>
      <c r="AA43" s="1353">
        <f t="shared" si="3"/>
        <v>1</v>
      </c>
      <c r="AB43" s="1353">
        <f t="shared" si="4"/>
        <v>1</v>
      </c>
      <c r="AC43" s="1353">
        <f t="shared" si="5"/>
        <v>1</v>
      </c>
    </row>
    <row r="44" spans="1:29" s="108" customFormat="1" ht="15">
      <c r="A44" s="424"/>
      <c r="B44" s="3555" t="s">
        <v>3596</v>
      </c>
      <c r="C44" s="3556" t="s">
        <v>3597</v>
      </c>
      <c r="D44" s="127">
        <v>100</v>
      </c>
      <c r="E44" s="3538" t="s">
        <v>3597</v>
      </c>
      <c r="F44" s="376">
        <f>SUMIF(126:126,E44,127:127)-SUMIF(126:126,C44,127:127)+100</f>
        <v>100</v>
      </c>
      <c r="G44" s="3538" t="s">
        <v>3597</v>
      </c>
      <c r="H44" s="127">
        <f>SUMIF(126:126,G44,127:127)-SUMIF(126:126,C44,127:127)+100</f>
        <v>100</v>
      </c>
      <c r="I44" s="3538" t="s">
        <v>3597</v>
      </c>
      <c r="J44" s="127">
        <f>SUMIF(126:126,I44,127:127)-SUMIF(126:126,C44,127:127)+100</f>
        <v>100</v>
      </c>
      <c r="K44" s="562"/>
      <c r="L44" s="2714"/>
      <c r="M44" s="2715"/>
      <c r="N44" s="2715"/>
      <c r="O44" s="2715"/>
      <c r="P44" s="3836"/>
      <c r="Q44" s="1343" t="str">
        <f t="shared" si="11"/>
        <v>经营类型</v>
      </c>
      <c r="R44" s="701" t="s">
        <v>14</v>
      </c>
      <c r="S44" s="702">
        <f t="shared" si="12"/>
        <v>100</v>
      </c>
      <c r="T44" s="701" t="s">
        <v>14</v>
      </c>
      <c r="U44" s="702">
        <f t="shared" si="13"/>
        <v>100</v>
      </c>
      <c r="V44" s="701" t="s">
        <v>14</v>
      </c>
      <c r="W44" s="702">
        <f t="shared" si="14"/>
        <v>100</v>
      </c>
      <c r="X44" s="703"/>
      <c r="Y44" s="3838"/>
      <c r="Z44" s="52" t="str">
        <f t="shared" si="15"/>
        <v>经营类型</v>
      </c>
      <c r="AA44" s="704">
        <f t="shared" si="3"/>
        <v>1</v>
      </c>
      <c r="AB44" s="704">
        <f t="shared" si="4"/>
        <v>1</v>
      </c>
      <c r="AC44" s="704">
        <f t="shared" si="5"/>
        <v>1</v>
      </c>
    </row>
    <row r="45" spans="1:29" ht="15">
      <c r="A45" s="423"/>
      <c r="B45" s="1133"/>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36"/>
      <c r="Q45" s="1352">
        <f t="shared" si="11"/>
        <v>0</v>
      </c>
      <c r="R45" s="705" t="s">
        <v>14</v>
      </c>
      <c r="S45" s="706">
        <f t="shared" si="12"/>
        <v>100</v>
      </c>
      <c r="T45" s="705" t="s">
        <v>14</v>
      </c>
      <c r="U45" s="706">
        <f t="shared" si="13"/>
        <v>100</v>
      </c>
      <c r="V45" s="705" t="s">
        <v>14</v>
      </c>
      <c r="W45" s="706">
        <f t="shared" si="14"/>
        <v>100</v>
      </c>
      <c r="X45" s="1355"/>
      <c r="Y45" s="3838"/>
      <c r="Z45" s="1356">
        <f t="shared" si="15"/>
        <v>0</v>
      </c>
      <c r="AA45" s="1353">
        <f t="shared" si="3"/>
        <v>1</v>
      </c>
      <c r="AB45" s="1353">
        <f t="shared" si="4"/>
        <v>1</v>
      </c>
      <c r="AC45" s="1353">
        <f t="shared" si="5"/>
        <v>1</v>
      </c>
    </row>
    <row r="46" spans="1:29" ht="15.75" thickBot="1">
      <c r="A46" s="429"/>
      <c r="B46" s="1895"/>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v>0.1</v>
      </c>
      <c r="M46" s="2713"/>
      <c r="N46" s="2713"/>
      <c r="O46" s="2713"/>
      <c r="P46" s="3837"/>
      <c r="Q46" s="1352">
        <f t="shared" si="11"/>
        <v>0</v>
      </c>
      <c r="R46" s="705" t="s">
        <v>14</v>
      </c>
      <c r="S46" s="706">
        <f t="shared" si="12"/>
        <v>100</v>
      </c>
      <c r="T46" s="705" t="s">
        <v>14</v>
      </c>
      <c r="U46" s="706">
        <f t="shared" si="13"/>
        <v>100</v>
      </c>
      <c r="V46" s="705" t="s">
        <v>14</v>
      </c>
      <c r="W46" s="706">
        <f t="shared" si="14"/>
        <v>100</v>
      </c>
      <c r="X46" s="1355"/>
      <c r="Y46" s="3839"/>
      <c r="Z46" s="1356">
        <f t="shared" si="15"/>
        <v>0</v>
      </c>
      <c r="AA46" s="1353">
        <f t="shared" si="3"/>
        <v>1</v>
      </c>
      <c r="AB46" s="1353">
        <f t="shared" si="4"/>
        <v>1</v>
      </c>
      <c r="AC46" s="1353">
        <f t="shared" si="5"/>
        <v>1</v>
      </c>
    </row>
    <row r="47" spans="1:29" ht="15">
      <c r="A47" s="430" t="s">
        <v>1708</v>
      </c>
      <c r="B47" s="431"/>
      <c r="C47" s="1154" t="s">
        <v>0</v>
      </c>
      <c r="D47" s="1155"/>
      <c r="E47" s="1156">
        <f>租金表!G19</f>
        <v>9</v>
      </c>
      <c r="F47" s="1157"/>
      <c r="G47" s="1158">
        <f>租金表!H3</f>
        <v>10.4</v>
      </c>
      <c r="H47" s="1159"/>
      <c r="I47" s="1156">
        <f>租金表!E8</f>
        <v>10.5</v>
      </c>
      <c r="J47" s="1159"/>
      <c r="K47" s="714"/>
      <c r="L47" s="2721"/>
      <c r="M47" s="2722"/>
      <c r="N47" s="2713"/>
      <c r="O47" s="2722"/>
      <c r="P47" s="3840" t="str">
        <f>A47</f>
        <v>成交单价（元/平方米）</v>
      </c>
      <c r="Q47" s="3840"/>
      <c r="R47" s="3802">
        <f>E47</f>
        <v>9</v>
      </c>
      <c r="S47" s="3802"/>
      <c r="T47" s="3802">
        <f>G47</f>
        <v>10.4</v>
      </c>
      <c r="U47" s="3802"/>
      <c r="V47" s="3802">
        <f>I47</f>
        <v>10.5</v>
      </c>
      <c r="W47" s="3802"/>
      <c r="X47" s="690"/>
      <c r="Y47" s="712"/>
      <c r="Z47" s="690"/>
      <c r="AA47" s="690"/>
      <c r="AB47" s="690"/>
      <c r="AC47" s="690"/>
    </row>
    <row r="48" spans="1:29" ht="15.75" thickBot="1">
      <c r="A48" s="437" t="s">
        <v>1793</v>
      </c>
      <c r="B48" s="438"/>
      <c r="C48" s="1160">
        <f>R49</f>
        <v>10.199999999999999</v>
      </c>
      <c r="D48" s="2317" t="s">
        <v>2138</v>
      </c>
      <c r="E48" s="1161">
        <f>R48</f>
        <v>8.8000000000000007</v>
      </c>
      <c r="F48" s="2318"/>
      <c r="G48" s="1160">
        <f>T48</f>
        <v>11.1</v>
      </c>
      <c r="H48" s="2318"/>
      <c r="I48" s="1161">
        <f>V48</f>
        <v>10.8</v>
      </c>
      <c r="J48" s="2318"/>
      <c r="K48" s="2320">
        <f>F48+H48+J48</f>
        <v>0</v>
      </c>
      <c r="L48" s="3606" t="s">
        <v>3762</v>
      </c>
      <c r="M48" s="3607" t="s">
        <v>3763</v>
      </c>
      <c r="N48" s="2713"/>
      <c r="O48" s="2722"/>
      <c r="P48" s="3840" t="str">
        <f>A48</f>
        <v>比较价值（元/平方米）</v>
      </c>
      <c r="Q48" s="3840"/>
      <c r="R48" s="3841">
        <f>IF(F1="售价",ROUND(PRODUCT(R47,AA7:AA46),0),ROUND(PRODUCT(R47,AA7:AA46),1))</f>
        <v>8.8000000000000007</v>
      </c>
      <c r="S48" s="3841"/>
      <c r="T48" s="3841">
        <f>IF(F1="售价",ROUND(PRODUCT(T47,AB7:AB46),0),ROUND(PRODUCT(T47,AB7:AB46),1))</f>
        <v>11.1</v>
      </c>
      <c r="U48" s="3841"/>
      <c r="V48" s="3841">
        <f>IF(F1="售价",ROUND(PRODUCT(V47,AC7:AC46),0),ROUND(PRODUCT(V47,AC7:AC46),1))</f>
        <v>10.8</v>
      </c>
      <c r="W48" s="3841"/>
      <c r="X48" s="690"/>
      <c r="Y48" s="690"/>
      <c r="Z48" s="690"/>
      <c r="AA48" s="690"/>
      <c r="AB48" s="690"/>
      <c r="AC48" s="690"/>
    </row>
    <row r="49" spans="1:29" ht="15.75" thickBot="1">
      <c r="A49" s="441" t="s">
        <v>1794</v>
      </c>
      <c r="B49" s="442"/>
      <c r="C49" s="1163">
        <f>R49</f>
        <v>10.199999999999999</v>
      </c>
      <c r="D49" s="1163"/>
      <c r="E49" s="1163"/>
      <c r="F49" s="1163"/>
      <c r="G49" s="1163"/>
      <c r="H49" s="1163"/>
      <c r="I49" s="1163"/>
      <c r="J49" s="1163"/>
      <c r="K49" s="715"/>
      <c r="L49" s="3608">
        <f>ROUND(C49*(1-L46),1)</f>
        <v>9.1999999999999993</v>
      </c>
      <c r="M49" s="3608">
        <f>ROUND(C49*(1+L46),1)</f>
        <v>11.2</v>
      </c>
      <c r="N49" s="2713"/>
      <c r="O49" s="2722"/>
      <c r="P49" s="3842" t="str">
        <f>A49</f>
        <v>估价对象XX用房的比较价值（楼面单价，元/平方米）</v>
      </c>
      <c r="Q49" s="3843"/>
      <c r="R49" s="3844">
        <f>IF(F1="售价",ROUND(IF(D48="简单平均",AVERAGE(R48:V48),R48*F48+T48*H48+V48*J48),0),ROUND(IF(D48="简单平均",AVERAGE(R48:V48),R48*F48+T48*H48+V48*J48),1))</f>
        <v>10.199999999999999</v>
      </c>
      <c r="S49" s="3844"/>
      <c r="T49" s="3844"/>
      <c r="U49" s="3844"/>
      <c r="V49" s="3844"/>
      <c r="W49" s="384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3612" t="s">
        <v>3790</v>
      </c>
      <c r="M51" s="2722" t="s">
        <v>3791</v>
      </c>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2.2727272727272707E-2</v>
      </c>
      <c r="F52" s="449" t="str">
        <f>IF(OR(E52&gt;=0.3,E52&lt;=-0.3),"超过30%","")</f>
        <v/>
      </c>
      <c r="G52" s="448">
        <f>IF(G47&lt;G48,G48/G47-1,G47/G48-1)</f>
        <v>6.7307692307692291E-2</v>
      </c>
      <c r="H52" s="449" t="str">
        <f>IF(OR(G52&gt;=0.3,G52&lt;=-0.3),"超过30%","")</f>
        <v/>
      </c>
      <c r="I52" s="448">
        <f>IF(I47&lt;I48,I48/I47-1,I47/I48-1)</f>
        <v>2.8571428571428692E-2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0.26136363636363624</v>
      </c>
      <c r="F53" s="449" t="str">
        <f>IF(OR(E53&gt;=0.2,E53&lt;=-0.2),"超过20%","")</f>
        <v>超过20%</v>
      </c>
      <c r="G53" s="448">
        <f>IF(G48&lt;I48,I48/G48-1,G48/I48-1)</f>
        <v>2.7777777777777679E-2</v>
      </c>
      <c r="H53" s="449" t="str">
        <f>IF(OR(G53&gt;=0.2,G53&lt;=-0.2),"超过20%","")</f>
        <v/>
      </c>
      <c r="I53" s="448">
        <f>IF(I48&lt;E48,E48/I48-1,I48/E48-1)</f>
        <v>0.22727272727272729</v>
      </c>
      <c r="J53" s="449" t="str">
        <f>IF(OR(I53&gt;=0.2,I53&lt;=-0.2),"超过20%","")</f>
        <v>超过20%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0.15555555555555567</v>
      </c>
      <c r="F54" s="449" t="str">
        <f>IF(OR(E54&gt;=0.3,E54&lt;=-0.3),"超过30%","")</f>
        <v/>
      </c>
      <c r="G54" s="448">
        <f>IF(G47&lt;I47,I47/G47-1,G47/I47-1)</f>
        <v>9.6153846153845812E-3</v>
      </c>
      <c r="H54" s="449" t="str">
        <f>IF(OR(G54&gt;=0.3,G54&lt;=-0.3),"超过30%","")</f>
        <v/>
      </c>
      <c r="I54" s="448">
        <f>IF(I47&lt;E47,E47/I47-1,I47/E47-1)</f>
        <v>0.16666666666666674</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532" t="s">
        <v>3537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533" t="s">
        <v>3538</v>
      </c>
      <c r="D86" s="3533" t="s">
        <v>3539</v>
      </c>
      <c r="E86" s="3533" t="s">
        <v>3540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3541</v>
      </c>
      <c r="D88" s="503" t="s">
        <v>3542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3533</v>
      </c>
      <c r="D90" s="503" t="s">
        <v>3500</v>
      </c>
      <c r="E90" s="503" t="s">
        <v>3532</v>
      </c>
      <c r="F90" s="503" t="s">
        <v>3543</v>
      </c>
      <c r="G90" s="503" t="s">
        <v>3536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3544</v>
      </c>
      <c r="D92" s="503" t="s">
        <v>3545</v>
      </c>
      <c r="E92" s="3534" t="s">
        <v>3761</v>
      </c>
      <c r="F92" s="3533" t="s">
        <v>3547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100</v>
      </c>
      <c r="E93" s="485">
        <v>80</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主要临路</v>
      </c>
      <c r="C94" s="3533" t="s">
        <v>3765</v>
      </c>
      <c r="D94" s="3533" t="s">
        <v>3766</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95</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534" t="s">
        <v>3794</v>
      </c>
      <c r="D100" s="3534" t="s">
        <v>3548</v>
      </c>
      <c r="E100" s="3535" t="s">
        <v>3549</v>
      </c>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96</v>
      </c>
      <c r="E101" s="493">
        <f t="shared" si="22"/>
        <v>92</v>
      </c>
      <c r="F101" s="493">
        <f t="shared" si="22"/>
        <v>88</v>
      </c>
      <c r="G101" s="493">
        <f t="shared" si="22"/>
        <v>84</v>
      </c>
      <c r="H101" s="493">
        <f t="shared" si="22"/>
        <v>80</v>
      </c>
      <c r="I101" s="493">
        <f t="shared" si="22"/>
        <v>76</v>
      </c>
      <c r="J101" s="493">
        <f t="shared" si="22"/>
        <v>72</v>
      </c>
      <c r="K101" s="493">
        <f t="shared" si="22"/>
        <v>68</v>
      </c>
      <c r="L101" s="493">
        <f t="shared" si="22"/>
        <v>64</v>
      </c>
      <c r="M101" s="494">
        <f t="shared" si="22"/>
        <v>60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0(含)-50</v>
      </c>
      <c r="D102" s="527" t="str">
        <f t="shared" ref="D102:L102" si="23">D103&amp;"(含)"&amp;"-"&amp;E103</f>
        <v>50(含)-100</v>
      </c>
      <c r="E102" s="527" t="str">
        <f t="shared" si="23"/>
        <v>100(含)-300</v>
      </c>
      <c r="F102" s="527" t="str">
        <f t="shared" si="23"/>
        <v>300(含)-500</v>
      </c>
      <c r="G102" s="527" t="str">
        <f t="shared" si="23"/>
        <v>500(含)-1000</v>
      </c>
      <c r="H102" s="527" t="str">
        <f t="shared" si="23"/>
        <v>1000(含)-2000</v>
      </c>
      <c r="I102" s="527" t="str">
        <f t="shared" si="23"/>
        <v>2000(含)-3000</v>
      </c>
      <c r="J102" s="527" t="str">
        <f t="shared" si="23"/>
        <v>3000(含)-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50</v>
      </c>
      <c r="E103" s="544">
        <v>100</v>
      </c>
      <c r="F103" s="544">
        <v>300</v>
      </c>
      <c r="G103" s="544">
        <v>500</v>
      </c>
      <c r="H103" s="544">
        <v>1000</v>
      </c>
      <c r="I103" s="544">
        <v>2000</v>
      </c>
      <c r="J103" s="545">
        <v>3000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533"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533" t="s">
        <v>3551</v>
      </c>
      <c r="D107" s="3533" t="s">
        <v>3552</v>
      </c>
      <c r="E107" s="3533" t="s">
        <v>3553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533" t="s">
        <v>3554</v>
      </c>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533" t="s">
        <v>3555</v>
      </c>
      <c r="D116" s="3533" t="s">
        <v>3556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3536" t="s">
        <v>3557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533" t="s">
        <v>3551</v>
      </c>
      <c r="D122" s="3533" t="s">
        <v>3552</v>
      </c>
      <c r="E122" s="3533" t="s">
        <v>3553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经营类型</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0</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0</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0.16000000000000014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13</v>
      </c>
      <c r="D20" s="846">
        <f ca="1">IF(C1="",'数据-汇总表'!E6,IF(INDIRECT("'数据-取费表'!c"&amp;$K$1)="住宅",INDIRECT("'数据-取费表'!s"&amp;$K$1),INDIRECT("'数据-取费表'!k"&amp;$K$1)+INDIRECT("'数据-取费表'!s"&amp;$K$1)))</f>
        <v>642</v>
      </c>
      <c r="E20" s="21">
        <f>'数据-取费表'!B28</f>
        <v>200</v>
      </c>
      <c r="F20" s="804"/>
      <c r="G20" s="12"/>
      <c r="H20" s="809"/>
      <c r="I20" s="809"/>
      <c r="J20" s="809"/>
      <c r="K20" s="810"/>
    </row>
    <row r="21" spans="1:33" s="803" customFormat="1" ht="13.5" customHeight="1">
      <c r="A21" s="790" t="s">
        <v>357</v>
      </c>
      <c r="B21" s="813" t="s">
        <v>1628</v>
      </c>
      <c r="C21" s="814">
        <f ca="1">C16+C17+C18</f>
        <v>0.16000000000000014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47" t="s">
        <v>694</v>
      </c>
      <c r="C6" s="1074">
        <f ca="1">ROUND(F6*F8*F7*(1-F9)/10000,0)</f>
        <v>0</v>
      </c>
      <c r="D6" s="155" t="s">
        <v>2109</v>
      </c>
      <c r="E6" s="302" t="s">
        <v>696</v>
      </c>
      <c r="F6" s="303">
        <f ca="1">INDIRECT("'数据-取费表'!u"&amp;$G$1)</f>
        <v>0</v>
      </c>
      <c r="G6" s="1384"/>
      <c r="H6" s="1069" t="s">
        <v>398</v>
      </c>
      <c r="I6" s="3847" t="s">
        <v>694</v>
      </c>
      <c r="J6" s="301">
        <f ca="1">ROUND(M6*M8*M7*(1-M9)/10000,0)</f>
        <v>0</v>
      </c>
      <c r="K6" s="155" t="s">
        <v>2108</v>
      </c>
      <c r="L6" s="302" t="s">
        <v>696</v>
      </c>
      <c r="M6" s="303">
        <f ca="1">INDIRECT("'数据-取费表'!z"&amp;$G$1)</f>
        <v>0</v>
      </c>
    </row>
    <row r="7" spans="1:37" ht="18" customHeight="1">
      <c r="A7" s="1073"/>
      <c r="B7" s="3848"/>
      <c r="C7" s="1075"/>
      <c r="D7" s="307"/>
      <c r="E7" s="1076" t="s">
        <v>697</v>
      </c>
      <c r="F7" s="303">
        <f ca="1">IF(INDIRECT("'数据-取费表'!ah"&amp;$G$1)="",INDIRECT("'数据-取费表'!k"&amp;$G$1),INDIRECT("'数据-取费表'!ah"&amp;$G$1))</f>
        <v>0</v>
      </c>
      <c r="G7" s="1384"/>
      <c r="H7" s="304"/>
      <c r="I7" s="3848"/>
      <c r="J7" s="306"/>
      <c r="K7" s="307"/>
      <c r="L7" s="302" t="s">
        <v>697</v>
      </c>
      <c r="M7" s="303">
        <f ca="1">F7</f>
        <v>0</v>
      </c>
    </row>
    <row r="8" spans="1:37" ht="18" customHeight="1">
      <c r="A8" s="304"/>
      <c r="B8" s="3848"/>
      <c r="C8" s="306"/>
      <c r="D8" s="307"/>
      <c r="E8" s="302" t="s">
        <v>698</v>
      </c>
      <c r="F8" s="303">
        <f ca="1">INDIRECT("'数据-取费表'!ai"&amp;$G$1)</f>
        <v>0</v>
      </c>
      <c r="G8" s="1384"/>
      <c r="H8" s="304"/>
      <c r="I8" s="3848"/>
      <c r="J8" s="306"/>
      <c r="K8" s="307"/>
      <c r="L8" s="302" t="s">
        <v>698</v>
      </c>
      <c r="M8" s="303">
        <f ca="1">INDIRECT("'数据-取费表'!ai"&amp;$G$1)</f>
        <v>0</v>
      </c>
    </row>
    <row r="9" spans="1:37" ht="18" customHeight="1">
      <c r="A9" s="304"/>
      <c r="B9" s="3849"/>
      <c r="C9" s="306"/>
      <c r="D9" s="307"/>
      <c r="E9" s="302" t="s">
        <v>699</v>
      </c>
      <c r="F9" s="312">
        <f ca="1">INDIRECT("'数据-取费表'!w"&amp;$G$1)</f>
        <v>0</v>
      </c>
      <c r="G9" s="1384"/>
      <c r="H9" s="304"/>
      <c r="I9" s="38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45" t="s">
        <v>837</v>
      </c>
      <c r="L53" s="38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3504</v>
      </c>
      <c r="D1" s="1362" t="s">
        <v>43</v>
      </c>
      <c r="E1" s="1363" t="s">
        <v>678</v>
      </c>
      <c r="F1" s="1062">
        <f ca="1">J53</f>
        <v>0</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0</v>
      </c>
      <c r="C2" s="1387" t="s">
        <v>879</v>
      </c>
      <c r="D2" s="1471">
        <f ca="1">C40+J29+L46</f>
        <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2897593</v>
      </c>
      <c r="D5" s="1364" t="s">
        <v>889</v>
      </c>
      <c r="E5" s="1071"/>
      <c r="F5" s="1072"/>
      <c r="G5" s="1384"/>
      <c r="H5" s="299">
        <v>1</v>
      </c>
      <c r="I5" s="300" t="s">
        <v>888</v>
      </c>
      <c r="J5" s="1070">
        <f ca="1">J6+J10+J12</f>
        <v>0</v>
      </c>
      <c r="K5" s="1364" t="s">
        <v>889</v>
      </c>
      <c r="L5" s="1071"/>
      <c r="M5" s="1072"/>
    </row>
    <row r="6" spans="1:37" ht="18" customHeight="1">
      <c r="A6" s="1069" t="s">
        <v>398</v>
      </c>
      <c r="B6" s="3847" t="s">
        <v>694</v>
      </c>
      <c r="C6" s="1074">
        <f ca="1">ROUND(F6*F8*F7*(1-F9),0)</f>
        <v>2893976</v>
      </c>
      <c r="D6" s="155" t="s">
        <v>2106</v>
      </c>
      <c r="E6" s="302" t="s">
        <v>696</v>
      </c>
      <c r="F6" s="303">
        <f ca="1">INDIRECT("'数据-取费表'!u"&amp;$G$1)</f>
        <v>13</v>
      </c>
      <c r="G6" s="1384"/>
      <c r="H6" s="1069" t="s">
        <v>398</v>
      </c>
      <c r="I6" s="3847" t="s">
        <v>694</v>
      </c>
      <c r="J6" s="301">
        <f ca="1">ROUND(M6*M8*M7*(1-M9),0)</f>
        <v>0</v>
      </c>
      <c r="K6" s="1376" t="s">
        <v>2107</v>
      </c>
      <c r="L6" s="302" t="s">
        <v>696</v>
      </c>
      <c r="M6" s="303">
        <f ca="1">INDIRECT("'数据-取费表'!z"&amp;$G$1)</f>
        <v>0</v>
      </c>
    </row>
    <row r="7" spans="1:37" ht="18" customHeight="1">
      <c r="A7" s="1073"/>
      <c r="B7" s="3848"/>
      <c r="C7" s="1075"/>
      <c r="D7" s="307"/>
      <c r="E7" s="1076" t="s">
        <v>697</v>
      </c>
      <c r="F7" s="303">
        <f ca="1">IF(INDIRECT("'数据-取费表'!ah"&amp;$G$1)="",INDIRECT("'数据-取费表'!k"&amp;$G$1),INDIRECT("'数据-取费表'!ah"&amp;$G$1))</f>
        <v>642</v>
      </c>
      <c r="G7" s="1384"/>
      <c r="H7" s="304"/>
      <c r="I7" s="3848"/>
      <c r="J7" s="306"/>
      <c r="K7" s="307"/>
      <c r="L7" s="302" t="s">
        <v>697</v>
      </c>
      <c r="M7" s="303">
        <f ca="1">F7</f>
        <v>642</v>
      </c>
    </row>
    <row r="8" spans="1:37" ht="18" customHeight="1">
      <c r="A8" s="304"/>
      <c r="B8" s="3848"/>
      <c r="C8" s="306"/>
      <c r="D8" s="307"/>
      <c r="E8" s="302" t="s">
        <v>698</v>
      </c>
      <c r="F8" s="303">
        <f ca="1">INDIRECT("'数据-取费表'!ai"&amp;$G$1)</f>
        <v>365</v>
      </c>
      <c r="G8" s="1384"/>
      <c r="H8" s="304"/>
      <c r="I8" s="3848"/>
      <c r="J8" s="306"/>
      <c r="K8" s="307"/>
      <c r="L8" s="302" t="s">
        <v>698</v>
      </c>
      <c r="M8" s="303">
        <f ca="1">INDIRECT("'数据-取费表'!ai"&amp;$G$1)</f>
        <v>365</v>
      </c>
    </row>
    <row r="9" spans="1:37" ht="18" customHeight="1">
      <c r="A9" s="304"/>
      <c r="B9" s="3849"/>
      <c r="C9" s="306"/>
      <c r="D9" s="307"/>
      <c r="E9" s="302" t="s">
        <v>699</v>
      </c>
      <c r="F9" s="312">
        <f ca="1">INDIRECT("'数据-取费表'!w"&amp;$G$1)</f>
        <v>0.05</v>
      </c>
      <c r="G9" s="1384"/>
      <c r="H9" s="304"/>
      <c r="I9" s="3849"/>
      <c r="J9" s="306"/>
      <c r="K9" s="307"/>
      <c r="L9" s="313" t="s">
        <v>699</v>
      </c>
      <c r="M9" s="314">
        <f ca="1">INDIRECT("'数据-取费表'!ab"&amp;$G$1)</f>
        <v>0</v>
      </c>
    </row>
    <row r="10" spans="1:37" ht="18" customHeight="1">
      <c r="A10" s="1069" t="s">
        <v>402</v>
      </c>
      <c r="B10" s="1365" t="s">
        <v>700</v>
      </c>
      <c r="C10" s="316">
        <f ca="1">ROUND(IF(F10="押一",C6/12*F11,IF(F10="押二",C6/12*2*F11,IF(F10="押三",C6/12*3*F11,C11*F11))),0)</f>
        <v>3617</v>
      </c>
      <c r="D10" s="1366" t="s">
        <v>2116</v>
      </c>
      <c r="E10" s="313" t="s">
        <v>701</v>
      </c>
      <c r="F10" s="1116" t="s">
        <v>3572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3331307</v>
      </c>
      <c r="D13" s="1081" t="s">
        <v>705</v>
      </c>
      <c r="E13" s="1081" t="s">
        <v>706</v>
      </c>
      <c r="F13" s="1082">
        <f ca="1">INDIRECT("'数据-取费表'!y"&amp;$G$1)</f>
        <v>0.77500000000000002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2889000</v>
      </c>
      <c r="D14" s="1345" t="s">
        <v>708</v>
      </c>
      <c r="E14" s="1342"/>
      <c r="F14" s="319"/>
      <c r="G14" s="1384"/>
      <c r="H14" s="982" t="s">
        <v>398</v>
      </c>
      <c r="I14" s="302" t="s">
        <v>709</v>
      </c>
      <c r="J14" s="21">
        <f ca="1">C29</f>
        <v>4298461</v>
      </c>
      <c r="K14" s="12"/>
      <c r="L14" s="807"/>
      <c r="M14" s="808"/>
    </row>
    <row r="15" spans="1:37" s="1397" customFormat="1" ht="18" customHeight="1" thickBot="1">
      <c r="A15" s="982" t="s">
        <v>399</v>
      </c>
      <c r="B15" s="302" t="s">
        <v>710</v>
      </c>
      <c r="C15" s="21">
        <f ca="1">ROUND(C14*F15,0)</f>
        <v>86670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64477</v>
      </c>
      <c r="K16" s="1087" t="s">
        <v>715</v>
      </c>
      <c r="L16" s="1088"/>
      <c r="M16" s="1072"/>
    </row>
    <row r="17" spans="1:37" s="1397" customFormat="1" ht="18" customHeight="1">
      <c r="A17" s="982" t="s">
        <v>681</v>
      </c>
      <c r="B17" s="302" t="s">
        <v>716</v>
      </c>
      <c r="C17" s="21">
        <f ca="1">ROUND(F17*(F43+INDIRECT("'数据-取费表'!S"&amp;$G$1)),0)</f>
        <v>128400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43335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3147405</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62948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64477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110757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-64477</v>
      </c>
      <c r="K25" s="1095" t="s">
        <v>753</v>
      </c>
      <c r="L25" s="1096"/>
      <c r="M25" s="1097"/>
    </row>
    <row r="26" spans="1:37" ht="18" customHeight="1">
      <c r="A26" s="982" t="s">
        <v>397</v>
      </c>
      <c r="B26" s="302" t="s">
        <v>754</v>
      </c>
      <c r="C26" s="21">
        <f ca="1">ROUND((C19+C20)*F26,0)</f>
        <v>642071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4298461</v>
      </c>
      <c r="D29" s="1092"/>
      <c r="E29" s="1090"/>
      <c r="F29" s="1093"/>
      <c r="G29" s="1396"/>
      <c r="H29" s="334" t="s">
        <v>396</v>
      </c>
      <c r="I29" s="335" t="s">
        <v>768</v>
      </c>
      <c r="J29" s="336">
        <f ca="1">ROUND(J26/(1+F40)^F41,0)</f>
        <v>0</v>
      </c>
      <c r="K29" s="337" t="s">
        <v>769</v>
      </c>
      <c r="L29" s="338"/>
      <c r="M29" s="339">
        <f ca="1">INDIRECT("'数据-取费表'!k"&amp;$G$1)</f>
        <v>642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583535</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485085</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IF(项目基本情况!B11="自然人","——",ROUND(C6*F32/(1+'数据-取费表'!C42),0))</f>
        <v>154345</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330740</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64477</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ROUND(C13*F37,0)</f>
        <v>4997</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28976</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2314058</v>
      </c>
      <c r="D39" s="1095" t="s">
        <v>773</v>
      </c>
      <c r="E39" s="1096"/>
      <c r="F39" s="1097"/>
      <c r="G39" s="1384"/>
      <c r="H39" s="2697"/>
      <c r="I39" s="1398"/>
      <c r="J39" s="1399"/>
      <c r="K39" s="2701"/>
      <c r="L39" s="2697"/>
      <c r="M39" s="2697"/>
    </row>
    <row r="40" spans="1:18" ht="18" customHeight="1">
      <c r="A40" s="299" t="s">
        <v>395</v>
      </c>
      <c r="B40" s="300" t="s">
        <v>774</v>
      </c>
      <c r="C40" s="301">
        <f ca="1">ROUND(C39*(1-((1+F42)/(1+F40))^F41)/(F40-F42),0)</f>
        <v>0</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0</v>
      </c>
      <c r="D43" s="337" t="s">
        <v>777</v>
      </c>
      <c r="E43" s="338" t="s">
        <v>778</v>
      </c>
      <c r="F43" s="339">
        <f ca="1">INDIRECT("'数据-取费表'!k"&amp;$G$1)</f>
        <v>642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3353</v>
      </c>
      <c r="B45" s="1400"/>
      <c r="C45" s="1472">
        <f ca="1">ROUND((C68-C40)/10000,4)</f>
        <v>0</v>
      </c>
      <c r="D45" s="3429" t="s">
        <v>3354</v>
      </c>
      <c r="E45" s="1400"/>
      <c r="F45" s="1400"/>
      <c r="O45" s="1403" t="s">
        <v>808</v>
      </c>
      <c r="P45" s="1461"/>
      <c r="Q45" s="1461"/>
      <c r="R45" s="1461"/>
    </row>
    <row r="46" spans="1:18" s="1384" customFormat="1" ht="13.5" thickBot="1">
      <c r="A46" s="1404" t="s">
        <v>809</v>
      </c>
      <c r="C46" s="1405">
        <f ca="1">ROUND(C45,0)</f>
        <v>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3506</v>
      </c>
      <c r="K47" s="1416" t="s">
        <v>816</v>
      </c>
      <c r="L47" s="1417">
        <f ca="1">INDIRECT("'数据-取费表'!d"&amp;$G$1)</f>
        <v>40</v>
      </c>
      <c r="M47" s="1380" t="str">
        <f>IF(ISNUMBER(FIND("住宅",C1)),"住宅","非住宅")</f>
        <v>非住宅</v>
      </c>
      <c r="O47" s="1418" t="s">
        <v>403</v>
      </c>
      <c r="P47" s="1419" t="s">
        <v>817</v>
      </c>
      <c r="Q47" s="1420">
        <f ca="1">C40+J29</f>
        <v>0</v>
      </c>
      <c r="R47" s="1420" t="s">
        <v>818</v>
      </c>
    </row>
    <row r="48" spans="1:18" s="1384" customFormat="1" ht="28.5" thickBot="1">
      <c r="A48" s="1110" t="s">
        <v>438</v>
      </c>
      <c r="B48" s="300" t="s">
        <v>692</v>
      </c>
      <c r="C48" s="1359">
        <f ca="1">C49+C53+C55</f>
        <v>0</v>
      </c>
      <c r="D48" s="1112"/>
      <c r="E48" s="1113"/>
      <c r="F48" s="962"/>
      <c r="G48" s="722"/>
      <c r="H48" s="723"/>
      <c r="I48" s="1421" t="s">
        <v>819</v>
      </c>
      <c r="J48" s="1422" t="s">
        <v>3573</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4298461</v>
      </c>
      <c r="R49" s="1420" t="s">
        <v>818</v>
      </c>
    </row>
    <row r="50" spans="1:18" s="1384" customFormat="1" ht="13.5" thickBot="1">
      <c r="A50" s="976"/>
      <c r="B50" s="979"/>
      <c r="C50" s="980"/>
      <c r="D50" s="953"/>
      <c r="E50" s="1056" t="s">
        <v>697</v>
      </c>
      <c r="F50" s="1057">
        <f ca="1">F7</f>
        <v>642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39038135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45" t="s">
        <v>837</v>
      </c>
      <c r="L53" s="3846"/>
      <c r="O53" s="1418" t="s">
        <v>409</v>
      </c>
      <c r="P53" s="1419" t="s">
        <v>838</v>
      </c>
      <c r="Q53" s="1420">
        <f ca="1">Q47+Q48</f>
        <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3331307</v>
      </c>
      <c r="D56" s="1447"/>
      <c r="E56" s="1448"/>
      <c r="F56" s="1440"/>
      <c r="I56" s="1449" t="s">
        <v>842</v>
      </c>
      <c r="J56" s="1450" t="s">
        <v>3521</v>
      </c>
      <c r="K56" s="1421" t="s">
        <v>843</v>
      </c>
      <c r="L56" s="1424" t="str">
        <f ca="1">IF(L48&lt;J51,"——",L48-J51)</f>
        <v>——</v>
      </c>
      <c r="O56" s="1418" t="s">
        <v>403</v>
      </c>
      <c r="P56" s="1419" t="s">
        <v>817</v>
      </c>
      <c r="Q56" s="1420">
        <f ca="1">C40+J29</f>
        <v>0</v>
      </c>
      <c r="R56" s="1420" t="s">
        <v>818</v>
      </c>
    </row>
    <row r="57" spans="1:18" s="1384" customFormat="1" ht="24.75" thickBot="1">
      <c r="A57" s="1451"/>
      <c r="B57" s="950" t="s">
        <v>767</v>
      </c>
      <c r="C57" s="238">
        <f ca="1">C29</f>
        <v>4298461</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69474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64477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4997</v>
      </c>
      <c r="D65" s="964" t="s">
        <v>743</v>
      </c>
      <c r="E65" s="950" t="s">
        <v>744</v>
      </c>
      <c r="F65" s="330">
        <f t="shared" ca="1" si="0"/>
        <v>1.5E-3</v>
      </c>
      <c r="I65" s="1462" t="s">
        <v>867</v>
      </c>
      <c r="J65" s="1463">
        <v>40</v>
      </c>
      <c r="K65" s="1463">
        <v>30</v>
      </c>
      <c r="L65" s="1463">
        <v>50</v>
      </c>
      <c r="M65" s="1465">
        <v>0.02</v>
      </c>
      <c r="O65" s="1418" t="s">
        <v>403</v>
      </c>
      <c r="P65" s="1419" t="s">
        <v>868</v>
      </c>
      <c r="Q65" s="1420">
        <f ca="1">C40+J29</f>
        <v>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-69474</v>
      </c>
      <c r="D67" s="963" t="s">
        <v>753</v>
      </c>
      <c r="E67" s="968"/>
      <c r="F67" s="969"/>
      <c r="O67" s="1428" t="s">
        <v>405</v>
      </c>
      <c r="P67" s="1419" t="s">
        <v>850</v>
      </c>
      <c r="Q67" s="1466">
        <f ca="1">L51</f>
        <v>39038135</v>
      </c>
      <c r="R67" s="1420" t="s">
        <v>870</v>
      </c>
    </row>
    <row r="68" spans="1:18" s="1384" customFormat="1" ht="16.5" thickBot="1">
      <c r="A68" s="947" t="s">
        <v>395</v>
      </c>
      <c r="B68" s="948" t="s">
        <v>774</v>
      </c>
      <c r="C68" s="301">
        <f ca="1">ROUND(C67*(1-((1+F70)/(1+F68))^F69)/(F68-F70),0)</f>
        <v>0</v>
      </c>
      <c r="D68" s="965" t="s">
        <v>758</v>
      </c>
      <c r="E68" s="950" t="s">
        <v>759</v>
      </c>
      <c r="F68" s="312">
        <f ca="1">F40</f>
        <v>0.06</v>
      </c>
      <c r="O68" s="1428" t="s">
        <v>406</v>
      </c>
      <c r="P68" s="1467" t="s">
        <v>871</v>
      </c>
      <c r="Q68" s="1420">
        <f ca="1">ROUND(Q69-Q70*Q71,0)</f>
        <v>2080867</v>
      </c>
      <c r="R68" s="1420" t="s">
        <v>414</v>
      </c>
    </row>
    <row r="69" spans="1:18" s="1384" customFormat="1" ht="13.5" thickBot="1">
      <c r="A69" s="951"/>
      <c r="B69" s="952"/>
      <c r="C69" s="306"/>
      <c r="D69" s="970" t="s">
        <v>762</v>
      </c>
      <c r="E69" s="950" t="s">
        <v>763</v>
      </c>
      <c r="F69" s="333">
        <f ca="1">F41</f>
        <v>0</v>
      </c>
      <c r="O69" s="1428" t="s">
        <v>411</v>
      </c>
      <c r="P69" s="1467" t="s">
        <v>872</v>
      </c>
      <c r="Q69" s="1420">
        <f ca="1">C39</f>
        <v>2314058</v>
      </c>
      <c r="R69" s="1420" t="s">
        <v>818</v>
      </c>
    </row>
    <row r="70" spans="1:18" s="1384" customFormat="1" ht="13.5" thickBot="1">
      <c r="A70" s="954"/>
      <c r="B70" s="955"/>
      <c r="C70" s="310"/>
      <c r="D70" s="966"/>
      <c r="E70" s="950" t="s">
        <v>766</v>
      </c>
      <c r="F70" s="1054"/>
      <c r="O70" s="1428" t="s">
        <v>412</v>
      </c>
      <c r="P70" s="1467" t="s">
        <v>873</v>
      </c>
      <c r="Q70" s="1420">
        <f ca="1">C13</f>
        <v>3331307</v>
      </c>
      <c r="R70" s="1420" t="s">
        <v>818</v>
      </c>
    </row>
    <row r="71" spans="1:18" s="1384" customFormat="1" ht="13.5" thickBot="1">
      <c r="A71" s="971" t="s">
        <v>396</v>
      </c>
      <c r="B71" s="972" t="s">
        <v>776</v>
      </c>
      <c r="C71" s="336">
        <f ca="1">ROUND(C68/F71,0)</f>
        <v>0</v>
      </c>
      <c r="D71" s="973" t="s">
        <v>777</v>
      </c>
      <c r="E71" s="974" t="s">
        <v>778</v>
      </c>
      <c r="F71" s="339">
        <f ca="1">F43</f>
        <v>642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233191</v>
      </c>
      <c r="D75" s="1384"/>
      <c r="E75" s="1384"/>
      <c r="F75" s="1384"/>
      <c r="K75" s="1402"/>
      <c r="L75" s="1384"/>
      <c r="O75" s="1418" t="s">
        <v>409</v>
      </c>
      <c r="P75" s="1419" t="s">
        <v>838</v>
      </c>
      <c r="Q75" s="1420">
        <f ca="1">Q65+Q66</f>
        <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0.89900000000000002</v>
      </c>
    </row>
    <row r="80" spans="1:18">
      <c r="B80" s="340" t="s">
        <v>800</v>
      </c>
      <c r="C80" s="274">
        <f ca="1">ROUND(C75/C39,3)</f>
        <v>0.10100000000000001</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39" t="s">
        <v>3360</v>
      </c>
      <c r="E2" s="3440"/>
      <c r="F2" s="2843"/>
      <c r="G2" s="2844"/>
      <c r="H2" s="2845"/>
      <c r="I2" s="2846"/>
      <c r="J2" s="3850" t="s">
        <v>2316</v>
      </c>
      <c r="K2" s="3851"/>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852" t="s">
        <v>2326</v>
      </c>
      <c r="K3" s="3853"/>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852" t="s">
        <v>2328</v>
      </c>
      <c r="K4" s="3853"/>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854" t="s">
        <v>2332</v>
      </c>
      <c r="B6" s="3855"/>
      <c r="C6" s="3856"/>
      <c r="D6" s="2867"/>
      <c r="E6" s="2868"/>
      <c r="F6" s="2869"/>
      <c r="G6" s="2870"/>
      <c r="H6" s="2845"/>
      <c r="I6" s="2846"/>
      <c r="J6" s="3857">
        <v>1</v>
      </c>
      <c r="K6" s="3858"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857"/>
      <c r="K7" s="3859"/>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861" t="s">
        <v>2346</v>
      </c>
      <c r="C8" s="3862"/>
      <c r="D8" s="2886" t="s">
        <v>2347</v>
      </c>
      <c r="E8" s="2887" t="s">
        <v>2348</v>
      </c>
      <c r="F8" s="2888" t="s">
        <v>2349</v>
      </c>
      <c r="G8" s="2889"/>
      <c r="H8" s="2845"/>
      <c r="I8" s="2846"/>
      <c r="J8" s="3857"/>
      <c r="K8" s="3859"/>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861" t="s">
        <v>2352</v>
      </c>
      <c r="C9" s="3862"/>
      <c r="D9" s="2886">
        <f>ROUND(D6*E9,0)</f>
        <v>0</v>
      </c>
      <c r="E9" s="2890"/>
      <c r="F9" s="2891" t="s">
        <v>2353</v>
      </c>
      <c r="G9" s="2870"/>
      <c r="H9" s="2845"/>
      <c r="I9" s="2846"/>
      <c r="J9" s="3857"/>
      <c r="K9" s="3859"/>
      <c r="L9" s="2880" t="s">
        <v>2354</v>
      </c>
      <c r="M9" s="2881"/>
      <c r="N9" s="2857"/>
      <c r="O9" s="2882"/>
      <c r="P9" s="2882"/>
      <c r="Q9" s="2883">
        <v>365</v>
      </c>
      <c r="R9" s="2884">
        <f t="shared" si="0"/>
        <v>0</v>
      </c>
      <c r="S9" s="2838"/>
      <c r="T9" s="2838"/>
      <c r="U9" s="2838"/>
      <c r="V9" s="2846"/>
    </row>
    <row r="10" spans="1:22" s="2850" customFormat="1" ht="13.15" customHeight="1">
      <c r="A10" s="2885">
        <v>2</v>
      </c>
      <c r="B10" s="3861" t="s">
        <v>2355</v>
      </c>
      <c r="C10" s="3862"/>
      <c r="D10" s="2886">
        <f>ROUND(D6*E10,0)</f>
        <v>0</v>
      </c>
      <c r="E10" s="2890"/>
      <c r="F10" s="2891" t="s">
        <v>2356</v>
      </c>
      <c r="G10" s="2870"/>
      <c r="H10" s="2845"/>
      <c r="I10" s="2846"/>
      <c r="J10" s="3857"/>
      <c r="K10" s="3859"/>
      <c r="L10" s="2880" t="s">
        <v>2357</v>
      </c>
      <c r="M10" s="2881"/>
      <c r="N10" s="2857"/>
      <c r="O10" s="2882"/>
      <c r="P10" s="2882"/>
      <c r="Q10" s="2883">
        <v>365</v>
      </c>
      <c r="R10" s="2884">
        <f t="shared" si="0"/>
        <v>0</v>
      </c>
      <c r="S10" s="2838"/>
      <c r="T10" s="2838"/>
      <c r="U10" s="2838"/>
      <c r="V10" s="2846"/>
    </row>
    <row r="11" spans="1:22" s="2850" customFormat="1" ht="13.15" customHeight="1">
      <c r="A11" s="2885">
        <v>3</v>
      </c>
      <c r="B11" s="3861" t="s">
        <v>2358</v>
      </c>
      <c r="C11" s="3862"/>
      <c r="D11" s="2886">
        <f>D12+D14+D15+D16</f>
        <v>0</v>
      </c>
      <c r="E11" s="2892" t="e">
        <f>D11/D6</f>
        <v>#DIV/0!</v>
      </c>
      <c r="F11" s="2888"/>
      <c r="G11" s="2889"/>
      <c r="H11" s="2845"/>
      <c r="I11" s="2846"/>
      <c r="J11" s="3857"/>
      <c r="K11" s="3859"/>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863" t="s">
        <v>2361</v>
      </c>
      <c r="C12" s="3864"/>
      <c r="D12" s="2894">
        <f>ROUND(D13*1.2%*(1-30%),0)</f>
        <v>0</v>
      </c>
      <c r="E12" s="2895">
        <v>1.2E-2</v>
      </c>
      <c r="F12" s="2888" t="s">
        <v>2362</v>
      </c>
      <c r="G12" s="2889"/>
      <c r="H12" s="2845"/>
      <c r="I12" s="2846"/>
      <c r="J12" s="3857"/>
      <c r="K12" s="3859"/>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857"/>
      <c r="K13" s="3859"/>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863" t="s">
        <v>2367</v>
      </c>
      <c r="C14" s="3864"/>
      <c r="D14" s="2894">
        <f>ROUND(E14*B5/10000,0)</f>
        <v>0</v>
      </c>
      <c r="E14" s="2883"/>
      <c r="F14" s="2888" t="s">
        <v>2368</v>
      </c>
      <c r="G14" s="2889"/>
      <c r="H14" s="2845"/>
      <c r="I14" s="2846"/>
      <c r="J14" s="3857"/>
      <c r="K14" s="3860"/>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863" t="s">
        <v>2371</v>
      </c>
      <c r="C15" s="3864"/>
      <c r="D15" s="2894">
        <f>ROUND(D6*E15,0)</f>
        <v>0</v>
      </c>
      <c r="E15" s="2895">
        <v>5.5E-2</v>
      </c>
      <c r="F15" s="2888" t="s">
        <v>2372</v>
      </c>
      <c r="G15" s="2870"/>
      <c r="H15" s="2845"/>
      <c r="I15" s="2846"/>
      <c r="J15" s="3857">
        <v>2</v>
      </c>
      <c r="K15" s="3858"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863" t="s">
        <v>2380</v>
      </c>
      <c r="C16" s="3864"/>
      <c r="D16" s="2905">
        <f>D6*E16</f>
        <v>0</v>
      </c>
      <c r="E16" s="2906"/>
      <c r="F16" s="2891" t="s">
        <v>2381</v>
      </c>
      <c r="G16" s="2870"/>
      <c r="H16" s="2845"/>
      <c r="I16" s="2846"/>
      <c r="J16" s="3857"/>
      <c r="K16" s="3859"/>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865" t="s">
        <v>2383</v>
      </c>
      <c r="C17" s="3866"/>
      <c r="D17" s="2908">
        <f>ROUND(D6*E17,0)</f>
        <v>0</v>
      </c>
      <c r="E17" s="2909"/>
      <c r="F17" s="2910" t="s">
        <v>2384</v>
      </c>
      <c r="G17" s="2870"/>
      <c r="H17" s="2845"/>
      <c r="I17" s="2846"/>
      <c r="J17" s="3857"/>
      <c r="K17" s="3859"/>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857"/>
      <c r="K18" s="3859"/>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857"/>
      <c r="K19" s="3860"/>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857">
        <v>3</v>
      </c>
      <c r="K20" s="3858"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857"/>
      <c r="K21" s="3859"/>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857"/>
      <c r="K22" s="3859"/>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857"/>
      <c r="K23" s="3859"/>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857"/>
      <c r="K24" s="3860"/>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867">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86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850" t="s">
        <v>2316</v>
      </c>
      <c r="K32" s="3851"/>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852" t="s">
        <v>2326</v>
      </c>
      <c r="K33" s="3853"/>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852" t="s">
        <v>2328</v>
      </c>
      <c r="K34" s="385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857">
        <v>1</v>
      </c>
      <c r="K36" s="3858"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857"/>
      <c r="K37" s="3859"/>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857"/>
      <c r="K38" s="3859"/>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857"/>
      <c r="K39" s="3859"/>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857"/>
      <c r="K40" s="3860"/>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867">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86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4">
        <f>SUM(E6:E13)</f>
        <v>642</v>
      </c>
      <c r="F2" s="2704"/>
      <c r="G2" s="1489"/>
      <c r="H2" s="1489"/>
      <c r="I2" s="1489"/>
      <c r="J2" s="1489"/>
      <c r="K2" s="1489"/>
      <c r="L2" s="1489"/>
      <c r="M2" s="1489"/>
      <c r="N2" s="1489"/>
      <c r="O2" s="1489"/>
      <c r="P2" s="1489"/>
      <c r="Q2" s="1489"/>
      <c r="R2" s="1489"/>
      <c r="S2" s="1489"/>
    </row>
    <row r="3" spans="1:22" ht="15.75">
      <c r="A3" s="1870" t="s">
        <v>686</v>
      </c>
      <c r="B3" s="2598">
        <f ca="1">ROUND(B2*10000/E2,0)</f>
        <v>0</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869" t="s">
        <v>1654</v>
      </c>
      <c r="C5" s="3870"/>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0</v>
      </c>
      <c r="C6" s="1872" t="s">
        <v>1651</v>
      </c>
      <c r="D6" s="2706"/>
      <c r="E6" s="2603">
        <f>IF(OR(A6=0,F6="否"),0,'数据-取费表'!K6+'数据-取费表'!S6)</f>
        <v>642</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642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818" t="s">
        <v>1667</v>
      </c>
      <c r="D4" s="3819"/>
      <c r="E4" s="3820" t="s">
        <v>1668</v>
      </c>
      <c r="F4" s="3821"/>
      <c r="G4" s="3818" t="s">
        <v>1669</v>
      </c>
      <c r="H4" s="3819"/>
      <c r="I4" s="3818" t="s">
        <v>1670</v>
      </c>
      <c r="J4" s="3819"/>
      <c r="K4" s="1889" t="s">
        <v>1671</v>
      </c>
      <c r="L4" s="2712"/>
      <c r="M4" s="2713"/>
      <c r="N4" s="2713"/>
      <c r="O4" s="2713"/>
      <c r="P4" s="3822" t="s">
        <v>1672</v>
      </c>
      <c r="Q4" s="3823"/>
      <c r="R4" s="3805" t="s">
        <v>1668</v>
      </c>
      <c r="S4" s="3806"/>
      <c r="T4" s="3805" t="s">
        <v>1669</v>
      </c>
      <c r="U4" s="3806"/>
      <c r="V4" s="3802" t="s">
        <v>1670</v>
      </c>
      <c r="W4" s="3802"/>
      <c r="X4" s="1355"/>
      <c r="Y4" s="3805" t="s">
        <v>1672</v>
      </c>
      <c r="Z4" s="3806"/>
      <c r="AA4" s="3799" t="s">
        <v>1668</v>
      </c>
      <c r="AB4" s="3799" t="s">
        <v>1669</v>
      </c>
      <c r="AC4" s="3799" t="s">
        <v>1670</v>
      </c>
    </row>
    <row r="5" spans="1:29" ht="15">
      <c r="A5" s="358"/>
      <c r="B5" s="359"/>
      <c r="C5" s="3872" t="s">
        <v>1673</v>
      </c>
      <c r="D5" s="3812"/>
      <c r="E5" s="3871" t="s">
        <v>1674</v>
      </c>
      <c r="F5" s="3810"/>
      <c r="G5" s="3872" t="s">
        <v>1675</v>
      </c>
      <c r="H5" s="3812"/>
      <c r="I5" s="3872" t="s">
        <v>1676</v>
      </c>
      <c r="J5" s="3812"/>
      <c r="K5" s="1890"/>
      <c r="L5" s="2712"/>
      <c r="M5" s="2713"/>
      <c r="N5" s="2713"/>
      <c r="O5" s="2713"/>
      <c r="P5" s="3824"/>
      <c r="Q5" s="3825"/>
      <c r="R5" s="3807"/>
      <c r="S5" s="3808"/>
      <c r="T5" s="3807"/>
      <c r="U5" s="3808"/>
      <c r="V5" s="3802"/>
      <c r="W5" s="3802"/>
      <c r="X5" s="1355"/>
      <c r="Y5" s="3807"/>
      <c r="Z5" s="3808"/>
      <c r="AA5" s="3800"/>
      <c r="AB5" s="3800"/>
      <c r="AC5" s="3800"/>
    </row>
    <row r="6" spans="1:29" ht="15.75" thickBot="1">
      <c r="A6" s="360"/>
      <c r="B6" s="361"/>
      <c r="C6" s="3813" t="s">
        <v>1677</v>
      </c>
      <c r="D6" s="3814"/>
      <c r="E6" s="3815" t="s">
        <v>1677</v>
      </c>
      <c r="F6" s="3816"/>
      <c r="G6" s="3813" t="s">
        <v>1677</v>
      </c>
      <c r="H6" s="3814"/>
      <c r="I6" s="3813" t="s">
        <v>1677</v>
      </c>
      <c r="J6" s="3814"/>
      <c r="K6" s="1890" t="s">
        <v>1678</v>
      </c>
      <c r="L6" s="2712"/>
      <c r="M6" s="2713"/>
      <c r="N6" s="2713"/>
      <c r="O6" s="2713"/>
      <c r="P6" s="3826"/>
      <c r="Q6" s="3827"/>
      <c r="R6" s="3807"/>
      <c r="S6" s="3808"/>
      <c r="T6" s="3828"/>
      <c r="U6" s="3829"/>
      <c r="V6" s="3802"/>
      <c r="W6" s="3802"/>
      <c r="X6" s="1355"/>
      <c r="Y6" s="3828"/>
      <c r="Z6" s="3829"/>
      <c r="AA6" s="3801"/>
      <c r="AB6" s="3801"/>
      <c r="AC6" s="3801"/>
    </row>
    <row r="7" spans="1:29" s="108" customFormat="1" ht="15.75" thickBot="1">
      <c r="A7" s="362" t="s">
        <v>1679</v>
      </c>
      <c r="B7" s="363"/>
      <c r="C7" s="364">
        <f>'数据-取费表'!B2</f>
        <v>45426</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803" t="s">
        <v>1680</v>
      </c>
      <c r="Q7" s="3830"/>
      <c r="R7" s="701" t="s">
        <v>20</v>
      </c>
      <c r="S7" s="702">
        <f t="shared" ref="S7:S15" si="0">F7</f>
        <v>0</v>
      </c>
      <c r="T7" s="701" t="s">
        <v>20</v>
      </c>
      <c r="U7" s="702">
        <f t="shared" ref="U7:U15" si="1">H7</f>
        <v>0</v>
      </c>
      <c r="V7" s="701" t="s">
        <v>20</v>
      </c>
      <c r="W7" s="702">
        <f t="shared" ref="W7:W15" si="2">J7</f>
        <v>0</v>
      </c>
      <c r="X7" s="703"/>
      <c r="Y7" s="3803" t="s">
        <v>1680</v>
      </c>
      <c r="Z7" s="380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803" t="s">
        <v>1683</v>
      </c>
      <c r="Q8" s="3804"/>
      <c r="R8" s="701" t="s">
        <v>20</v>
      </c>
      <c r="S8" s="702">
        <f t="shared" si="0"/>
        <v>100</v>
      </c>
      <c r="T8" s="701" t="s">
        <v>20</v>
      </c>
      <c r="U8" s="702">
        <f t="shared" si="1"/>
        <v>100</v>
      </c>
      <c r="V8" s="701" t="s">
        <v>20</v>
      </c>
      <c r="W8" s="702">
        <f t="shared" si="2"/>
        <v>100</v>
      </c>
      <c r="X8" s="703"/>
      <c r="Y8" s="3803" t="s">
        <v>1683</v>
      </c>
      <c r="Z8" s="380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817"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817"/>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817"/>
      <c r="Q11" s="1343" t="str">
        <f t="shared" si="6"/>
        <v>容积率</v>
      </c>
      <c r="R11" s="701" t="s">
        <v>18</v>
      </c>
      <c r="S11" s="702" t="e">
        <f t="shared" si="0"/>
        <v>#N/A</v>
      </c>
      <c r="T11" s="701" t="s">
        <v>18</v>
      </c>
      <c r="U11" s="702" t="e">
        <f t="shared" si="1"/>
        <v>#N/A</v>
      </c>
      <c r="V11" s="701" t="s">
        <v>18</v>
      </c>
      <c r="W11" s="702" t="e">
        <f t="shared" si="2"/>
        <v>#N/A</v>
      </c>
      <c r="X11" s="703"/>
      <c r="Y11" s="377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17"/>
      <c r="Q12" s="1343">
        <f t="shared" si="6"/>
        <v>111</v>
      </c>
      <c r="R12" s="701" t="s">
        <v>18</v>
      </c>
      <c r="S12" s="702">
        <f t="shared" si="0"/>
        <v>100</v>
      </c>
      <c r="T12" s="701" t="s">
        <v>18</v>
      </c>
      <c r="U12" s="702">
        <f t="shared" si="1"/>
        <v>100</v>
      </c>
      <c r="V12" s="701" t="s">
        <v>18</v>
      </c>
      <c r="W12" s="702">
        <f t="shared" si="2"/>
        <v>100</v>
      </c>
      <c r="X12" s="703"/>
      <c r="Y12" s="37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17"/>
      <c r="Q13" s="1343">
        <f t="shared" si="6"/>
        <v>111</v>
      </c>
      <c r="R13" s="701" t="s">
        <v>18</v>
      </c>
      <c r="S13" s="702">
        <f t="shared" si="0"/>
        <v>100</v>
      </c>
      <c r="T13" s="701" t="s">
        <v>18</v>
      </c>
      <c r="U13" s="702">
        <f t="shared" si="1"/>
        <v>100</v>
      </c>
      <c r="V13" s="701" t="s">
        <v>18</v>
      </c>
      <c r="W13" s="702">
        <f t="shared" si="2"/>
        <v>100</v>
      </c>
      <c r="X13" s="703"/>
      <c r="Y13" s="377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17"/>
      <c r="Q14" s="1343">
        <f t="shared" si="6"/>
        <v>111</v>
      </c>
      <c r="R14" s="701" t="s">
        <v>18</v>
      </c>
      <c r="S14" s="702">
        <f t="shared" si="0"/>
        <v>100</v>
      </c>
      <c r="T14" s="701" t="s">
        <v>18</v>
      </c>
      <c r="U14" s="702">
        <f t="shared" si="1"/>
        <v>100</v>
      </c>
      <c r="V14" s="701" t="s">
        <v>18</v>
      </c>
      <c r="W14" s="702">
        <f t="shared" si="2"/>
        <v>100</v>
      </c>
      <c r="X14" s="703"/>
      <c r="Y14" s="3772"/>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831" t="s">
        <v>1691</v>
      </c>
      <c r="Q15" s="1352" t="str">
        <f t="shared" si="6"/>
        <v>居住社区成熟度</v>
      </c>
      <c r="R15" s="705" t="s">
        <v>18</v>
      </c>
      <c r="S15" s="706">
        <f t="shared" si="0"/>
        <v>100</v>
      </c>
      <c r="T15" s="705" t="s">
        <v>18</v>
      </c>
      <c r="U15" s="706">
        <f t="shared" si="1"/>
        <v>100</v>
      </c>
      <c r="V15" s="705" t="s">
        <v>18</v>
      </c>
      <c r="W15" s="706">
        <f t="shared" si="2"/>
        <v>100</v>
      </c>
      <c r="X15" s="1355"/>
      <c r="Y15" s="383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832"/>
      <c r="Q16" s="1352"/>
      <c r="R16" s="705"/>
      <c r="S16" s="706"/>
      <c r="T16" s="705"/>
      <c r="U16" s="706"/>
      <c r="V16" s="705"/>
      <c r="W16" s="706"/>
      <c r="X16" s="1355"/>
      <c r="Y16" s="3834"/>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832"/>
      <c r="Q17" s="1352" t="str">
        <f>B17</f>
        <v>交通便捷度</v>
      </c>
      <c r="R17" s="705" t="s">
        <v>18</v>
      </c>
      <c r="S17" s="706">
        <f>F17</f>
        <v>100</v>
      </c>
      <c r="T17" s="705" t="s">
        <v>18</v>
      </c>
      <c r="U17" s="706">
        <f>H17</f>
        <v>100</v>
      </c>
      <c r="V17" s="705" t="s">
        <v>18</v>
      </c>
      <c r="W17" s="706">
        <f>J17</f>
        <v>100</v>
      </c>
      <c r="X17" s="1355"/>
      <c r="Y17" s="383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832"/>
      <c r="Q18" s="1352"/>
      <c r="R18" s="705"/>
      <c r="S18" s="706"/>
      <c r="T18" s="705"/>
      <c r="U18" s="706"/>
      <c r="V18" s="705"/>
      <c r="W18" s="706"/>
      <c r="X18" s="1355"/>
      <c r="Y18" s="3834"/>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832"/>
      <c r="Q19" s="1352" t="str">
        <f>B19</f>
        <v>公共配套设施</v>
      </c>
      <c r="R19" s="705" t="s">
        <v>18</v>
      </c>
      <c r="S19" s="706">
        <f>F19</f>
        <v>100</v>
      </c>
      <c r="T19" s="705" t="s">
        <v>18</v>
      </c>
      <c r="U19" s="706">
        <f>H19</f>
        <v>100</v>
      </c>
      <c r="V19" s="705" t="s">
        <v>18</v>
      </c>
      <c r="W19" s="706">
        <f>J19</f>
        <v>100</v>
      </c>
      <c r="X19" s="1355"/>
      <c r="Y19" s="383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832"/>
      <c r="Q20" s="1352"/>
      <c r="R20" s="705"/>
      <c r="S20" s="706"/>
      <c r="T20" s="705"/>
      <c r="U20" s="706"/>
      <c r="V20" s="705"/>
      <c r="W20" s="706"/>
      <c r="X20" s="1355"/>
      <c r="Y20" s="3834"/>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832"/>
      <c r="Q21" s="1352" t="str">
        <f>B21</f>
        <v>基础设施水平</v>
      </c>
      <c r="R21" s="705" t="s">
        <v>14</v>
      </c>
      <c r="S21" s="706">
        <f>F21</f>
        <v>100</v>
      </c>
      <c r="T21" s="705" t="s">
        <v>14</v>
      </c>
      <c r="U21" s="706">
        <f>H21</f>
        <v>100</v>
      </c>
      <c r="V21" s="705" t="s">
        <v>14</v>
      </c>
      <c r="W21" s="706">
        <f>J21</f>
        <v>100</v>
      </c>
      <c r="X21" s="1355"/>
      <c r="Y21" s="38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832"/>
      <c r="Q22" s="1352"/>
      <c r="R22" s="705"/>
      <c r="S22" s="706"/>
      <c r="T22" s="705"/>
      <c r="U22" s="706"/>
      <c r="V22" s="705"/>
      <c r="W22" s="706"/>
      <c r="X22" s="1355"/>
      <c r="Y22" s="3834"/>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832"/>
      <c r="Q23" s="1352" t="str">
        <f>B23</f>
        <v>自然及人文环境</v>
      </c>
      <c r="R23" s="705" t="s">
        <v>18</v>
      </c>
      <c r="S23" s="706">
        <f>F23</f>
        <v>100</v>
      </c>
      <c r="T23" s="705" t="s">
        <v>18</v>
      </c>
      <c r="U23" s="706">
        <f>H23</f>
        <v>100</v>
      </c>
      <c r="V23" s="705" t="s">
        <v>18</v>
      </c>
      <c r="W23" s="706">
        <f>J23</f>
        <v>100</v>
      </c>
      <c r="X23" s="1355"/>
      <c r="Y23" s="383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832"/>
      <c r="Q24" s="1352"/>
      <c r="R24" s="705"/>
      <c r="S24" s="706"/>
      <c r="T24" s="705"/>
      <c r="U24" s="706"/>
      <c r="V24" s="705"/>
      <c r="W24" s="706"/>
      <c r="X24" s="1355"/>
      <c r="Y24" s="383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3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832"/>
      <c r="Q26" s="1352" t="str">
        <f t="shared" si="11"/>
        <v>朝向</v>
      </c>
      <c r="R26" s="705" t="s">
        <v>18</v>
      </c>
      <c r="S26" s="706">
        <f t="shared" si="12"/>
        <v>100</v>
      </c>
      <c r="T26" s="705" t="s">
        <v>18</v>
      </c>
      <c r="U26" s="706">
        <f t="shared" si="13"/>
        <v>100</v>
      </c>
      <c r="V26" s="705" t="s">
        <v>18</v>
      </c>
      <c r="W26" s="706">
        <f t="shared" si="14"/>
        <v>100</v>
      </c>
      <c r="X26" s="1355"/>
      <c r="Y26" s="383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832"/>
      <c r="Q27" s="1343">
        <f t="shared" si="11"/>
        <v>111</v>
      </c>
      <c r="R27" s="701" t="s">
        <v>18</v>
      </c>
      <c r="S27" s="702">
        <f t="shared" si="12"/>
        <v>100</v>
      </c>
      <c r="T27" s="701" t="s">
        <v>18</v>
      </c>
      <c r="U27" s="702">
        <f t="shared" si="13"/>
        <v>100</v>
      </c>
      <c r="V27" s="701" t="s">
        <v>18</v>
      </c>
      <c r="W27" s="702">
        <f t="shared" si="14"/>
        <v>100</v>
      </c>
      <c r="X27" s="703"/>
      <c r="Y27" s="383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32"/>
      <c r="Q28" s="1352">
        <f t="shared" si="11"/>
        <v>111</v>
      </c>
      <c r="R28" s="705" t="s">
        <v>18</v>
      </c>
      <c r="S28" s="706">
        <f t="shared" si="12"/>
        <v>100</v>
      </c>
      <c r="T28" s="705" t="s">
        <v>18</v>
      </c>
      <c r="U28" s="706">
        <f t="shared" si="13"/>
        <v>100</v>
      </c>
      <c r="V28" s="705" t="s">
        <v>18</v>
      </c>
      <c r="W28" s="706">
        <f t="shared" si="14"/>
        <v>100</v>
      </c>
      <c r="X28" s="1355"/>
      <c r="Y28" s="383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32"/>
      <c r="Q29" s="1352">
        <f t="shared" si="11"/>
        <v>111</v>
      </c>
      <c r="R29" s="705" t="s">
        <v>18</v>
      </c>
      <c r="S29" s="706">
        <f t="shared" si="12"/>
        <v>100</v>
      </c>
      <c r="T29" s="705" t="s">
        <v>18</v>
      </c>
      <c r="U29" s="706">
        <f t="shared" si="13"/>
        <v>100</v>
      </c>
      <c r="V29" s="705" t="s">
        <v>18</v>
      </c>
      <c r="W29" s="706">
        <f t="shared" si="14"/>
        <v>100</v>
      </c>
      <c r="X29" s="1355"/>
      <c r="Y29" s="383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32"/>
      <c r="Q30" s="1352">
        <f t="shared" si="11"/>
        <v>111</v>
      </c>
      <c r="R30" s="705" t="s">
        <v>18</v>
      </c>
      <c r="S30" s="706">
        <f t="shared" si="12"/>
        <v>100</v>
      </c>
      <c r="T30" s="705" t="s">
        <v>18</v>
      </c>
      <c r="U30" s="706">
        <f t="shared" si="13"/>
        <v>100</v>
      </c>
      <c r="V30" s="705" t="s">
        <v>18</v>
      </c>
      <c r="W30" s="706">
        <f t="shared" si="14"/>
        <v>100</v>
      </c>
      <c r="X30" s="1355"/>
      <c r="Y30" s="383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32"/>
      <c r="Q31" s="1352">
        <f t="shared" si="11"/>
        <v>111</v>
      </c>
      <c r="R31" s="705" t="s">
        <v>18</v>
      </c>
      <c r="S31" s="706">
        <f t="shared" si="12"/>
        <v>100</v>
      </c>
      <c r="T31" s="705" t="s">
        <v>18</v>
      </c>
      <c r="U31" s="706">
        <f t="shared" si="13"/>
        <v>100</v>
      </c>
      <c r="V31" s="705" t="s">
        <v>18</v>
      </c>
      <c r="W31" s="706">
        <f t="shared" si="14"/>
        <v>100</v>
      </c>
      <c r="X31" s="1355"/>
      <c r="Y31" s="383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835" t="s">
        <v>1696</v>
      </c>
      <c r="Q32" s="1352" t="str">
        <f t="shared" si="11"/>
        <v>建筑类型</v>
      </c>
      <c r="R32" s="705" t="s">
        <v>18</v>
      </c>
      <c r="S32" s="706">
        <f t="shared" si="12"/>
        <v>100</v>
      </c>
      <c r="T32" s="705" t="s">
        <v>18</v>
      </c>
      <c r="U32" s="706">
        <f t="shared" si="13"/>
        <v>100</v>
      </c>
      <c r="V32" s="705" t="s">
        <v>18</v>
      </c>
      <c r="W32" s="706">
        <f t="shared" si="14"/>
        <v>100</v>
      </c>
      <c r="X32" s="1355"/>
      <c r="Y32" s="383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836"/>
      <c r="Q33" s="707" t="str">
        <f t="shared" si="11"/>
        <v>项目建筑规模</v>
      </c>
      <c r="R33" s="708" t="s">
        <v>18</v>
      </c>
      <c r="S33" s="709" t="e">
        <f t="shared" si="12"/>
        <v>#N/A</v>
      </c>
      <c r="T33" s="708" t="s">
        <v>18</v>
      </c>
      <c r="U33" s="709" t="e">
        <f t="shared" si="13"/>
        <v>#N/A</v>
      </c>
      <c r="V33" s="708" t="s">
        <v>18</v>
      </c>
      <c r="W33" s="709" t="e">
        <f t="shared" si="14"/>
        <v>#N/A</v>
      </c>
      <c r="X33" s="710"/>
      <c r="Y33" s="383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836"/>
      <c r="Q34" s="1352" t="str">
        <f t="shared" si="11"/>
        <v>建筑结构</v>
      </c>
      <c r="R34" s="705" t="s">
        <v>18</v>
      </c>
      <c r="S34" s="706">
        <f t="shared" si="12"/>
        <v>100</v>
      </c>
      <c r="T34" s="705" t="s">
        <v>18</v>
      </c>
      <c r="U34" s="706">
        <f t="shared" si="13"/>
        <v>100</v>
      </c>
      <c r="V34" s="705" t="s">
        <v>18</v>
      </c>
      <c r="W34" s="706">
        <f t="shared" si="14"/>
        <v>100</v>
      </c>
      <c r="X34" s="1355"/>
      <c r="Y34" s="383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36"/>
      <c r="Q35" s="1352" t="str">
        <f t="shared" si="11"/>
        <v>建筑品质</v>
      </c>
      <c r="R35" s="705" t="s">
        <v>18</v>
      </c>
      <c r="S35" s="706">
        <f t="shared" si="12"/>
        <v>100</v>
      </c>
      <c r="T35" s="705" t="s">
        <v>18</v>
      </c>
      <c r="U35" s="706">
        <f t="shared" si="13"/>
        <v>100</v>
      </c>
      <c r="V35" s="705" t="s">
        <v>18</v>
      </c>
      <c r="W35" s="706">
        <f t="shared" si="14"/>
        <v>100</v>
      </c>
      <c r="X35" s="1355"/>
      <c r="Y35" s="383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836"/>
      <c r="Q36" s="1352" t="str">
        <f t="shared" si="11"/>
        <v>公共部分装修</v>
      </c>
      <c r="R36" s="705" t="s">
        <v>18</v>
      </c>
      <c r="S36" s="706">
        <f t="shared" si="12"/>
        <v>100</v>
      </c>
      <c r="T36" s="705" t="s">
        <v>18</v>
      </c>
      <c r="U36" s="706">
        <f t="shared" si="13"/>
        <v>100</v>
      </c>
      <c r="V36" s="705" t="s">
        <v>18</v>
      </c>
      <c r="W36" s="706">
        <f t="shared" si="14"/>
        <v>100</v>
      </c>
      <c r="X36" s="1355"/>
      <c r="Y36" s="383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836"/>
      <c r="Q37" s="1343" t="str">
        <f t="shared" si="11"/>
        <v>成新度</v>
      </c>
      <c r="R37" s="701" t="s">
        <v>18</v>
      </c>
      <c r="S37" s="702" t="e">
        <f t="shared" si="12"/>
        <v>#N/A</v>
      </c>
      <c r="T37" s="701" t="s">
        <v>18</v>
      </c>
      <c r="U37" s="702" t="e">
        <f t="shared" si="13"/>
        <v>#N/A</v>
      </c>
      <c r="V37" s="701" t="s">
        <v>18</v>
      </c>
      <c r="W37" s="702" t="e">
        <f t="shared" si="14"/>
        <v>#N/A</v>
      </c>
      <c r="X37" s="703"/>
      <c r="Y37" s="383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836" t="s">
        <v>1696</v>
      </c>
      <c r="Q38" s="1352" t="str">
        <f t="shared" si="11"/>
        <v>物业管理</v>
      </c>
      <c r="R38" s="705" t="s">
        <v>18</v>
      </c>
      <c r="S38" s="706">
        <f t="shared" si="12"/>
        <v>100</v>
      </c>
      <c r="T38" s="705" t="s">
        <v>18</v>
      </c>
      <c r="U38" s="706">
        <f t="shared" si="13"/>
        <v>100</v>
      </c>
      <c r="V38" s="705" t="s">
        <v>18</v>
      </c>
      <c r="W38" s="706">
        <f t="shared" si="14"/>
        <v>100</v>
      </c>
      <c r="X38" s="1355"/>
      <c r="Y38" s="383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836"/>
      <c r="Q39" s="1352" t="str">
        <f t="shared" si="11"/>
        <v>市政基础设施</v>
      </c>
      <c r="R39" s="705" t="s">
        <v>18</v>
      </c>
      <c r="S39" s="706">
        <f t="shared" si="12"/>
        <v>100</v>
      </c>
      <c r="T39" s="705" t="s">
        <v>18</v>
      </c>
      <c r="U39" s="706">
        <f t="shared" si="13"/>
        <v>100</v>
      </c>
      <c r="V39" s="705" t="s">
        <v>18</v>
      </c>
      <c r="W39" s="706">
        <f t="shared" si="14"/>
        <v>100</v>
      </c>
      <c r="X39" s="1355"/>
      <c r="Y39" s="383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836"/>
      <c r="Q40" s="1352" t="str">
        <f t="shared" si="11"/>
        <v>房型</v>
      </c>
      <c r="R40" s="705" t="s">
        <v>18</v>
      </c>
      <c r="S40" s="706">
        <f t="shared" si="12"/>
        <v>100</v>
      </c>
      <c r="T40" s="705" t="s">
        <v>18</v>
      </c>
      <c r="U40" s="706">
        <f t="shared" si="13"/>
        <v>100</v>
      </c>
      <c r="V40" s="705" t="s">
        <v>18</v>
      </c>
      <c r="W40" s="706">
        <f t="shared" si="14"/>
        <v>100</v>
      </c>
      <c r="X40" s="1355"/>
      <c r="Y40" s="383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36"/>
      <c r="Q41" s="707" t="str">
        <f t="shared" si="11"/>
        <v>单套/主力户型建筑面积</v>
      </c>
      <c r="R41" s="708" t="s">
        <v>18</v>
      </c>
      <c r="S41" s="709">
        <f t="shared" si="12"/>
        <v>100</v>
      </c>
      <c r="T41" s="708" t="s">
        <v>18</v>
      </c>
      <c r="U41" s="709">
        <f t="shared" si="13"/>
        <v>100</v>
      </c>
      <c r="V41" s="708" t="s">
        <v>18</v>
      </c>
      <c r="W41" s="709">
        <f t="shared" si="14"/>
        <v>100</v>
      </c>
      <c r="X41" s="710"/>
      <c r="Y41" s="383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836"/>
      <c r="Q42" s="1352" t="str">
        <f t="shared" si="11"/>
        <v>内部装修</v>
      </c>
      <c r="R42" s="705" t="s">
        <v>18</v>
      </c>
      <c r="S42" s="706">
        <f t="shared" si="12"/>
        <v>100</v>
      </c>
      <c r="T42" s="705" t="s">
        <v>18</v>
      </c>
      <c r="U42" s="706">
        <f t="shared" si="13"/>
        <v>100</v>
      </c>
      <c r="V42" s="705" t="s">
        <v>18</v>
      </c>
      <c r="W42" s="706">
        <f t="shared" si="14"/>
        <v>100</v>
      </c>
      <c r="X42" s="1355"/>
      <c r="Y42" s="383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836"/>
      <c r="Q43" s="1352" t="str">
        <f t="shared" si="11"/>
        <v>内部装修维护情况</v>
      </c>
      <c r="R43" s="705" t="s">
        <v>18</v>
      </c>
      <c r="S43" s="706">
        <f t="shared" si="12"/>
        <v>100</v>
      </c>
      <c r="T43" s="705" t="s">
        <v>18</v>
      </c>
      <c r="U43" s="706">
        <f t="shared" si="13"/>
        <v>100</v>
      </c>
      <c r="V43" s="705" t="s">
        <v>18</v>
      </c>
      <c r="W43" s="706">
        <f t="shared" si="14"/>
        <v>100</v>
      </c>
      <c r="X43" s="1355"/>
      <c r="Y43" s="383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36"/>
      <c r="Q44" s="1343">
        <f t="shared" si="11"/>
        <v>111</v>
      </c>
      <c r="R44" s="701" t="s">
        <v>18</v>
      </c>
      <c r="S44" s="702">
        <f t="shared" si="12"/>
        <v>100</v>
      </c>
      <c r="T44" s="701" t="s">
        <v>18</v>
      </c>
      <c r="U44" s="702">
        <f t="shared" si="13"/>
        <v>100</v>
      </c>
      <c r="V44" s="701" t="s">
        <v>18</v>
      </c>
      <c r="W44" s="702">
        <f t="shared" si="14"/>
        <v>100</v>
      </c>
      <c r="X44" s="703"/>
      <c r="Y44" s="383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36"/>
      <c r="Q45" s="1352">
        <f t="shared" si="11"/>
        <v>111</v>
      </c>
      <c r="R45" s="705" t="s">
        <v>18</v>
      </c>
      <c r="S45" s="706">
        <f t="shared" si="12"/>
        <v>100</v>
      </c>
      <c r="T45" s="705" t="s">
        <v>18</v>
      </c>
      <c r="U45" s="706">
        <f t="shared" si="13"/>
        <v>100</v>
      </c>
      <c r="V45" s="705" t="s">
        <v>18</v>
      </c>
      <c r="W45" s="706">
        <f t="shared" si="14"/>
        <v>100</v>
      </c>
      <c r="X45" s="1355"/>
      <c r="Y45" s="383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37"/>
      <c r="Q46" s="1352">
        <f t="shared" si="11"/>
        <v>111</v>
      </c>
      <c r="R46" s="705" t="s">
        <v>17</v>
      </c>
      <c r="S46" s="706">
        <f t="shared" si="12"/>
        <v>100</v>
      </c>
      <c r="T46" s="705" t="s">
        <v>17</v>
      </c>
      <c r="U46" s="706">
        <f t="shared" si="13"/>
        <v>100</v>
      </c>
      <c r="V46" s="705" t="s">
        <v>17</v>
      </c>
      <c r="W46" s="706">
        <f t="shared" si="14"/>
        <v>100</v>
      </c>
      <c r="X46" s="1355"/>
      <c r="Y46" s="383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840" t="str">
        <f>A47</f>
        <v>成交单价（元/平方米）</v>
      </c>
      <c r="Q47" s="3840"/>
      <c r="R47" s="3841">
        <f>E47</f>
        <v>0</v>
      </c>
      <c r="S47" s="3841"/>
      <c r="T47" s="3841">
        <f>G47</f>
        <v>0</v>
      </c>
      <c r="U47" s="3841"/>
      <c r="V47" s="3841">
        <f>I47</f>
        <v>0</v>
      </c>
      <c r="W47" s="384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840" t="str">
        <f>A48</f>
        <v>比较价值（元/平方米）</v>
      </c>
      <c r="Q48" s="3840"/>
      <c r="R48" s="3841" t="e">
        <f>IF(F1="售价",ROUND(PRODUCT(R47,AA7:AA46),0),ROUND(PRODUCT(R47,AA7:AA46),1))</f>
        <v>#DIV/0!</v>
      </c>
      <c r="S48" s="3841"/>
      <c r="T48" s="3841" t="e">
        <f>IF(F1="售价",ROUND(PRODUCT(T47,AB7:AB46),0),ROUND(PRODUCT(T47,AB7:AB46),1))</f>
        <v>#DIV/0!</v>
      </c>
      <c r="U48" s="3841"/>
      <c r="V48" s="3841" t="e">
        <f>IF(F1="售价",ROUND(PRODUCT(V47,AC7:AC46),0),ROUND(PRODUCT(V47,AC7:AC46),1))</f>
        <v>#DIV/0!</v>
      </c>
      <c r="W48" s="384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842" t="str">
        <f>A49</f>
        <v>估价对象XX用房的比较价值（楼面单价，元/平方米）</v>
      </c>
      <c r="Q49" s="3843"/>
      <c r="R49" s="3844" t="e">
        <f>IF(F1="售价",ROUND(IF(D48="简单平均",AVERAGE(R48:V48),R48*F48+T48*H48+V48*J48),0),ROUND(IF(D48="简单平均",AVERAGE(R48:V48),R48*F48+T48*H48+V48*J48),1))</f>
        <v>#DIV/0!</v>
      </c>
      <c r="S49" s="3844"/>
      <c r="T49" s="3844"/>
      <c r="U49" s="3844"/>
      <c r="V49" s="3844"/>
      <c r="W49" s="384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642</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818" t="s">
        <v>1770</v>
      </c>
      <c r="D4" s="3819"/>
      <c r="E4" s="3820" t="s">
        <v>1771</v>
      </c>
      <c r="F4" s="3821"/>
      <c r="G4" s="3818" t="s">
        <v>1772</v>
      </c>
      <c r="H4" s="3819"/>
      <c r="I4" s="3818" t="s">
        <v>1773</v>
      </c>
      <c r="J4" s="3819"/>
      <c r="K4" s="559" t="s">
        <v>1774</v>
      </c>
      <c r="L4" s="2712"/>
      <c r="M4" s="2713"/>
      <c r="N4" s="2713"/>
      <c r="O4" s="2713"/>
      <c r="P4" s="3879" t="s">
        <v>1775</v>
      </c>
      <c r="Q4" s="3880"/>
      <c r="R4" s="3874" t="s">
        <v>1771</v>
      </c>
      <c r="S4" s="3875"/>
      <c r="T4" s="3874" t="s">
        <v>1772</v>
      </c>
      <c r="U4" s="3875"/>
      <c r="V4" s="3883" t="s">
        <v>1773</v>
      </c>
      <c r="W4" s="3883"/>
      <c r="X4" s="1958"/>
      <c r="Y4" s="3874" t="s">
        <v>1775</v>
      </c>
      <c r="Z4" s="3875"/>
      <c r="AA4" s="3873" t="s">
        <v>1771</v>
      </c>
      <c r="AB4" s="3873" t="s">
        <v>1772</v>
      </c>
      <c r="AC4" s="3876" t="s">
        <v>1773</v>
      </c>
    </row>
    <row r="5" spans="1:29" ht="15">
      <c r="A5" s="358"/>
      <c r="B5" s="359"/>
      <c r="C5" s="3872" t="s">
        <v>1673</v>
      </c>
      <c r="D5" s="3812"/>
      <c r="E5" s="3871" t="s">
        <v>1674</v>
      </c>
      <c r="F5" s="3810"/>
      <c r="G5" s="3872" t="s">
        <v>1675</v>
      </c>
      <c r="H5" s="3812"/>
      <c r="I5" s="3872" t="s">
        <v>1676</v>
      </c>
      <c r="J5" s="3812"/>
      <c r="K5" s="559"/>
      <c r="L5" s="2712"/>
      <c r="M5" s="2713"/>
      <c r="N5" s="2713"/>
      <c r="O5" s="2713"/>
      <c r="P5" s="3881"/>
      <c r="Q5" s="3825"/>
      <c r="R5" s="3807"/>
      <c r="S5" s="3808"/>
      <c r="T5" s="3807"/>
      <c r="U5" s="3808"/>
      <c r="V5" s="3802"/>
      <c r="W5" s="3802"/>
      <c r="X5" s="1355"/>
      <c r="Y5" s="3807"/>
      <c r="Z5" s="3808"/>
      <c r="AA5" s="3800"/>
      <c r="AB5" s="3800"/>
      <c r="AC5" s="3877"/>
    </row>
    <row r="6" spans="1:29" ht="15.75" thickBot="1">
      <c r="A6" s="360"/>
      <c r="B6" s="361"/>
      <c r="C6" s="3813" t="s">
        <v>1677</v>
      </c>
      <c r="D6" s="3814"/>
      <c r="E6" s="3815" t="s">
        <v>1677</v>
      </c>
      <c r="F6" s="3816"/>
      <c r="G6" s="3813" t="s">
        <v>1677</v>
      </c>
      <c r="H6" s="3814"/>
      <c r="I6" s="3813" t="s">
        <v>1677</v>
      </c>
      <c r="J6" s="3814"/>
      <c r="K6" s="559" t="s">
        <v>1678</v>
      </c>
      <c r="L6" s="2712"/>
      <c r="M6" s="2713"/>
      <c r="N6" s="2713"/>
      <c r="O6" s="2713"/>
      <c r="P6" s="3882"/>
      <c r="Q6" s="3827"/>
      <c r="R6" s="3807"/>
      <c r="S6" s="3808"/>
      <c r="T6" s="3828"/>
      <c r="U6" s="3829"/>
      <c r="V6" s="3802"/>
      <c r="W6" s="3802"/>
      <c r="X6" s="1355"/>
      <c r="Y6" s="3828"/>
      <c r="Z6" s="3829"/>
      <c r="AA6" s="3801"/>
      <c r="AB6" s="3801"/>
      <c r="AC6" s="3878"/>
    </row>
    <row r="7" spans="1:29" s="108" customFormat="1" ht="15.75" thickBot="1">
      <c r="A7" s="362" t="s">
        <v>1679</v>
      </c>
      <c r="B7" s="363"/>
      <c r="C7" s="364">
        <f>'数据-取费表'!B2</f>
        <v>45426</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84" t="s">
        <v>1680</v>
      </c>
      <c r="Q7" s="3830"/>
      <c r="R7" s="701" t="s">
        <v>14</v>
      </c>
      <c r="S7" s="702">
        <f t="shared" ref="S7:S15" si="0">F7</f>
        <v>0</v>
      </c>
      <c r="T7" s="701" t="s">
        <v>14</v>
      </c>
      <c r="U7" s="702">
        <f t="shared" ref="U7:U15" si="1">H7</f>
        <v>0</v>
      </c>
      <c r="V7" s="701" t="s">
        <v>14</v>
      </c>
      <c r="W7" s="702">
        <f t="shared" ref="W7:W15" si="2">J7</f>
        <v>0</v>
      </c>
      <c r="X7" s="703"/>
      <c r="Y7" s="3803" t="s">
        <v>1680</v>
      </c>
      <c r="Z7" s="380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84" t="s">
        <v>1683</v>
      </c>
      <c r="Q8" s="3804"/>
      <c r="R8" s="701" t="s">
        <v>14</v>
      </c>
      <c r="S8" s="702">
        <f t="shared" si="0"/>
        <v>100</v>
      </c>
      <c r="T8" s="701" t="s">
        <v>14</v>
      </c>
      <c r="U8" s="702">
        <f t="shared" si="1"/>
        <v>100</v>
      </c>
      <c r="V8" s="701" t="s">
        <v>14</v>
      </c>
      <c r="W8" s="702">
        <f t="shared" si="2"/>
        <v>100</v>
      </c>
      <c r="X8" s="703"/>
      <c r="Y8" s="3803" t="s">
        <v>1683</v>
      </c>
      <c r="Z8" s="380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17"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17"/>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17"/>
      <c r="Q11" s="1343" t="str">
        <f t="shared" si="6"/>
        <v>容积率</v>
      </c>
      <c r="R11" s="701" t="s">
        <v>14</v>
      </c>
      <c r="S11" s="702">
        <f t="shared" si="0"/>
        <v>100</v>
      </c>
      <c r="T11" s="701" t="s">
        <v>14</v>
      </c>
      <c r="U11" s="702">
        <f t="shared" si="1"/>
        <v>100</v>
      </c>
      <c r="V11" s="701" t="s">
        <v>14</v>
      </c>
      <c r="W11" s="702">
        <f t="shared" si="2"/>
        <v>100</v>
      </c>
      <c r="X11" s="703"/>
      <c r="Y11" s="377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817"/>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817"/>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817"/>
      <c r="Q14" s="1343">
        <f t="shared" si="6"/>
        <v>111</v>
      </c>
      <c r="R14" s="701" t="s">
        <v>14</v>
      </c>
      <c r="S14" s="702">
        <f t="shared" si="0"/>
        <v>100</v>
      </c>
      <c r="T14" s="701" t="s">
        <v>14</v>
      </c>
      <c r="U14" s="702">
        <f t="shared" si="1"/>
        <v>100</v>
      </c>
      <c r="V14" s="701" t="s">
        <v>14</v>
      </c>
      <c r="W14" s="702">
        <f t="shared" si="2"/>
        <v>100</v>
      </c>
      <c r="X14" s="703"/>
      <c r="Y14" s="3772"/>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31" t="s">
        <v>1691</v>
      </c>
      <c r="Q15" s="1352" t="str">
        <f t="shared" si="6"/>
        <v>办公集聚程度</v>
      </c>
      <c r="R15" s="705" t="s">
        <v>14</v>
      </c>
      <c r="S15" s="706">
        <f t="shared" si="0"/>
        <v>100</v>
      </c>
      <c r="T15" s="705" t="s">
        <v>14</v>
      </c>
      <c r="U15" s="706">
        <f t="shared" si="1"/>
        <v>100</v>
      </c>
      <c r="V15" s="705" t="s">
        <v>14</v>
      </c>
      <c r="W15" s="706">
        <f t="shared" si="2"/>
        <v>100</v>
      </c>
      <c r="X15" s="1355"/>
      <c r="Y15" s="383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832"/>
      <c r="Q16" s="1352"/>
      <c r="R16" s="705"/>
      <c r="S16" s="706"/>
      <c r="T16" s="705"/>
      <c r="U16" s="706"/>
      <c r="V16" s="705"/>
      <c r="W16" s="706"/>
      <c r="X16" s="1355"/>
      <c r="Y16" s="3834"/>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32"/>
      <c r="Q17" s="1352" t="str">
        <f>B17</f>
        <v>交通便捷度</v>
      </c>
      <c r="R17" s="705" t="s">
        <v>14</v>
      </c>
      <c r="S17" s="706">
        <f>F17</f>
        <v>100</v>
      </c>
      <c r="T17" s="705" t="s">
        <v>14</v>
      </c>
      <c r="U17" s="706">
        <f>H17</f>
        <v>100</v>
      </c>
      <c r="V17" s="705" t="s">
        <v>14</v>
      </c>
      <c r="W17" s="706">
        <f>J17</f>
        <v>100</v>
      </c>
      <c r="X17" s="1355"/>
      <c r="Y17" s="383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832"/>
      <c r="Q18" s="1352"/>
      <c r="R18" s="705"/>
      <c r="S18" s="706"/>
      <c r="T18" s="705"/>
      <c r="U18" s="706"/>
      <c r="V18" s="705"/>
      <c r="W18" s="706"/>
      <c r="X18" s="1355"/>
      <c r="Y18" s="3834"/>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32"/>
      <c r="Q19" s="1352" t="str">
        <f>B19</f>
        <v>公共配套设施</v>
      </c>
      <c r="R19" s="705" t="s">
        <v>14</v>
      </c>
      <c r="S19" s="706">
        <f>F19</f>
        <v>100</v>
      </c>
      <c r="T19" s="705" t="s">
        <v>14</v>
      </c>
      <c r="U19" s="706">
        <f>H19</f>
        <v>100</v>
      </c>
      <c r="V19" s="705" t="s">
        <v>14</v>
      </c>
      <c r="W19" s="706">
        <f>J19</f>
        <v>100</v>
      </c>
      <c r="X19" s="1355"/>
      <c r="Y19" s="383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832"/>
      <c r="Q20" s="1352"/>
      <c r="R20" s="705"/>
      <c r="S20" s="706"/>
      <c r="T20" s="705"/>
      <c r="U20" s="706"/>
      <c r="V20" s="705"/>
      <c r="W20" s="706"/>
      <c r="X20" s="1355"/>
      <c r="Y20" s="3834"/>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32"/>
      <c r="Q21" s="1352" t="str">
        <f>B21</f>
        <v>基础设施水平</v>
      </c>
      <c r="R21" s="705" t="s">
        <v>14</v>
      </c>
      <c r="S21" s="706">
        <f>F21</f>
        <v>100</v>
      </c>
      <c r="T21" s="705" t="s">
        <v>14</v>
      </c>
      <c r="U21" s="706">
        <f>H21</f>
        <v>100</v>
      </c>
      <c r="V21" s="705" t="s">
        <v>14</v>
      </c>
      <c r="W21" s="706">
        <f>J21</f>
        <v>100</v>
      </c>
      <c r="X21" s="1355"/>
      <c r="Y21" s="383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832"/>
      <c r="Q22" s="1352"/>
      <c r="R22" s="705"/>
      <c r="S22" s="706"/>
      <c r="T22" s="705"/>
      <c r="U22" s="706"/>
      <c r="V22" s="705"/>
      <c r="W22" s="706"/>
      <c r="X22" s="1355"/>
      <c r="Y22" s="3834"/>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32"/>
      <c r="Q23" s="1352" t="str">
        <f>B23</f>
        <v>环境质量</v>
      </c>
      <c r="R23" s="705" t="s">
        <v>14</v>
      </c>
      <c r="S23" s="706">
        <f>F23</f>
        <v>100</v>
      </c>
      <c r="T23" s="705" t="s">
        <v>14</v>
      </c>
      <c r="U23" s="706">
        <f>H23</f>
        <v>100</v>
      </c>
      <c r="V23" s="705" t="s">
        <v>14</v>
      </c>
      <c r="W23" s="706">
        <f>J23</f>
        <v>100</v>
      </c>
      <c r="X23" s="1355"/>
      <c r="Y23" s="383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832"/>
      <c r="Q24" s="1352"/>
      <c r="R24" s="705"/>
      <c r="S24" s="706"/>
      <c r="T24" s="705"/>
      <c r="U24" s="706"/>
      <c r="V24" s="705"/>
      <c r="W24" s="706"/>
      <c r="X24" s="1355"/>
      <c r="Y24" s="383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32"/>
      <c r="Q25" s="1352" t="str">
        <f>B25</f>
        <v>毗邻道路的类型与等级</v>
      </c>
      <c r="R25" s="705" t="s">
        <v>14</v>
      </c>
      <c r="S25" s="706">
        <f>F25</f>
        <v>100</v>
      </c>
      <c r="T25" s="705" t="s">
        <v>14</v>
      </c>
      <c r="U25" s="706">
        <f>H25</f>
        <v>100</v>
      </c>
      <c r="V25" s="705" t="s">
        <v>14</v>
      </c>
      <c r="W25" s="706">
        <f>J25</f>
        <v>100</v>
      </c>
      <c r="X25" s="1355"/>
      <c r="Y25" s="383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832"/>
      <c r="Q26" s="1352"/>
      <c r="R26" s="705"/>
      <c r="S26" s="706"/>
      <c r="T26" s="705"/>
      <c r="U26" s="706"/>
      <c r="V26" s="705"/>
      <c r="W26" s="706"/>
      <c r="X26" s="1355"/>
      <c r="Y26" s="383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32"/>
      <c r="Q27" s="1352" t="str">
        <f t="shared" ref="Q27:Q47" si="11">B27</f>
        <v>楼层</v>
      </c>
      <c r="R27" s="705" t="s">
        <v>14</v>
      </c>
      <c r="S27" s="706">
        <f>F27</f>
        <v>100</v>
      </c>
      <c r="T27" s="705" t="s">
        <v>14</v>
      </c>
      <c r="U27" s="706">
        <f>H27</f>
        <v>100</v>
      </c>
      <c r="V27" s="705" t="s">
        <v>14</v>
      </c>
      <c r="W27" s="706">
        <f>J27</f>
        <v>100</v>
      </c>
      <c r="X27" s="1355"/>
      <c r="Y27" s="383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832"/>
      <c r="Q28" s="1343" t="str">
        <f t="shared" si="11"/>
        <v>朝向</v>
      </c>
      <c r="R28" s="701" t="s">
        <v>14</v>
      </c>
      <c r="S28" s="702">
        <f>F28</f>
        <v>100</v>
      </c>
      <c r="T28" s="701" t="s">
        <v>14</v>
      </c>
      <c r="U28" s="702">
        <f>H28</f>
        <v>100</v>
      </c>
      <c r="V28" s="701" t="s">
        <v>14</v>
      </c>
      <c r="W28" s="702">
        <f>J28</f>
        <v>100</v>
      </c>
      <c r="X28" s="703"/>
      <c r="Y28" s="383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832"/>
      <c r="Q29" s="1352">
        <f t="shared" si="11"/>
        <v>111</v>
      </c>
      <c r="R29" s="705" t="s">
        <v>14</v>
      </c>
      <c r="S29" s="706">
        <f t="shared" ref="S29:S47" si="12">F29</f>
        <v>100</v>
      </c>
      <c r="T29" s="705" t="s">
        <v>14</v>
      </c>
      <c r="U29" s="706">
        <f t="shared" ref="U29:U47" si="13">H29</f>
        <v>100</v>
      </c>
      <c r="V29" s="705" t="s">
        <v>14</v>
      </c>
      <c r="W29" s="706">
        <f t="shared" ref="W29:W47" si="14">J29</f>
        <v>100</v>
      </c>
      <c r="X29" s="1355"/>
      <c r="Y29" s="383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832"/>
      <c r="Q30" s="1352">
        <f t="shared" si="11"/>
        <v>111</v>
      </c>
      <c r="R30" s="705" t="s">
        <v>14</v>
      </c>
      <c r="S30" s="706">
        <f t="shared" si="12"/>
        <v>100</v>
      </c>
      <c r="T30" s="705" t="s">
        <v>14</v>
      </c>
      <c r="U30" s="706">
        <f t="shared" si="13"/>
        <v>100</v>
      </c>
      <c r="V30" s="705" t="s">
        <v>14</v>
      </c>
      <c r="W30" s="706">
        <f t="shared" si="14"/>
        <v>100</v>
      </c>
      <c r="X30" s="1355"/>
      <c r="Y30" s="383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832"/>
      <c r="Q31" s="1352">
        <f t="shared" si="11"/>
        <v>111</v>
      </c>
      <c r="R31" s="705" t="s">
        <v>14</v>
      </c>
      <c r="S31" s="706">
        <f t="shared" si="12"/>
        <v>100</v>
      </c>
      <c r="T31" s="705" t="s">
        <v>14</v>
      </c>
      <c r="U31" s="706">
        <f t="shared" si="13"/>
        <v>100</v>
      </c>
      <c r="V31" s="705" t="s">
        <v>14</v>
      </c>
      <c r="W31" s="706">
        <f t="shared" si="14"/>
        <v>100</v>
      </c>
      <c r="X31" s="1355"/>
      <c r="Y31" s="383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832"/>
      <c r="Q32" s="1352">
        <f t="shared" si="11"/>
        <v>111</v>
      </c>
      <c r="R32" s="705" t="s">
        <v>14</v>
      </c>
      <c r="S32" s="706">
        <f t="shared" si="12"/>
        <v>100</v>
      </c>
      <c r="T32" s="705" t="s">
        <v>14</v>
      </c>
      <c r="U32" s="706">
        <f t="shared" si="13"/>
        <v>100</v>
      </c>
      <c r="V32" s="705" t="s">
        <v>14</v>
      </c>
      <c r="W32" s="706">
        <f t="shared" si="14"/>
        <v>100</v>
      </c>
      <c r="X32" s="1355"/>
      <c r="Y32" s="383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835" t="s">
        <v>1696</v>
      </c>
      <c r="Q33" s="1352" t="str">
        <f t="shared" si="11"/>
        <v>建筑类型</v>
      </c>
      <c r="R33" s="705" t="s">
        <v>14</v>
      </c>
      <c r="S33" s="706">
        <f t="shared" si="12"/>
        <v>100</v>
      </c>
      <c r="T33" s="705" t="s">
        <v>14</v>
      </c>
      <c r="U33" s="706">
        <f t="shared" si="13"/>
        <v>100</v>
      </c>
      <c r="V33" s="705" t="s">
        <v>14</v>
      </c>
      <c r="W33" s="706">
        <f t="shared" si="14"/>
        <v>100</v>
      </c>
      <c r="X33" s="1355"/>
      <c r="Y33" s="383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36"/>
      <c r="Q34" s="707" t="str">
        <f t="shared" si="11"/>
        <v>项目建筑规模</v>
      </c>
      <c r="R34" s="708" t="s">
        <v>14</v>
      </c>
      <c r="S34" s="709" t="e">
        <f t="shared" si="12"/>
        <v>#N/A</v>
      </c>
      <c r="T34" s="708" t="s">
        <v>14</v>
      </c>
      <c r="U34" s="709" t="e">
        <f t="shared" si="13"/>
        <v>#N/A</v>
      </c>
      <c r="V34" s="708" t="s">
        <v>14</v>
      </c>
      <c r="W34" s="709" t="e">
        <f t="shared" si="14"/>
        <v>#N/A</v>
      </c>
      <c r="X34" s="710"/>
      <c r="Y34" s="383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36"/>
      <c r="Q35" s="1352" t="str">
        <f t="shared" si="11"/>
        <v>建筑结构</v>
      </c>
      <c r="R35" s="705" t="s">
        <v>14</v>
      </c>
      <c r="S35" s="706">
        <f t="shared" si="12"/>
        <v>100</v>
      </c>
      <c r="T35" s="705" t="s">
        <v>14</v>
      </c>
      <c r="U35" s="706">
        <f t="shared" si="13"/>
        <v>100</v>
      </c>
      <c r="V35" s="705" t="s">
        <v>14</v>
      </c>
      <c r="W35" s="706">
        <f t="shared" si="14"/>
        <v>100</v>
      </c>
      <c r="X35" s="1355"/>
      <c r="Y35" s="383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36"/>
      <c r="Q36" s="1352" t="str">
        <f t="shared" si="11"/>
        <v>公共部分装修</v>
      </c>
      <c r="R36" s="705" t="s">
        <v>14</v>
      </c>
      <c r="S36" s="706">
        <f t="shared" si="12"/>
        <v>100</v>
      </c>
      <c r="T36" s="705" t="s">
        <v>14</v>
      </c>
      <c r="U36" s="706">
        <f t="shared" si="13"/>
        <v>100</v>
      </c>
      <c r="V36" s="705" t="s">
        <v>14</v>
      </c>
      <c r="W36" s="706">
        <f t="shared" si="14"/>
        <v>100</v>
      </c>
      <c r="X36" s="1355"/>
      <c r="Y36" s="383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36"/>
      <c r="Q37" s="1352" t="str">
        <f t="shared" si="11"/>
        <v>成新度</v>
      </c>
      <c r="R37" s="705" t="s">
        <v>14</v>
      </c>
      <c r="S37" s="706" t="e">
        <f t="shared" si="12"/>
        <v>#N/A</v>
      </c>
      <c r="T37" s="705" t="s">
        <v>14</v>
      </c>
      <c r="U37" s="706" t="e">
        <f t="shared" si="13"/>
        <v>#N/A</v>
      </c>
      <c r="V37" s="705" t="s">
        <v>14</v>
      </c>
      <c r="W37" s="706" t="e">
        <f t="shared" si="14"/>
        <v>#N/A</v>
      </c>
      <c r="X37" s="1355"/>
      <c r="Y37" s="383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36"/>
      <c r="Q38" s="1343" t="str">
        <f t="shared" si="11"/>
        <v>写字楼等级</v>
      </c>
      <c r="R38" s="701" t="s">
        <v>14</v>
      </c>
      <c r="S38" s="702">
        <f t="shared" si="12"/>
        <v>100</v>
      </c>
      <c r="T38" s="701" t="s">
        <v>14</v>
      </c>
      <c r="U38" s="702">
        <f t="shared" si="13"/>
        <v>100</v>
      </c>
      <c r="V38" s="701" t="s">
        <v>14</v>
      </c>
      <c r="W38" s="702">
        <f t="shared" si="14"/>
        <v>100</v>
      </c>
      <c r="X38" s="703"/>
      <c r="Y38" s="383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36" t="s">
        <v>1696</v>
      </c>
      <c r="Q39" s="1352" t="str">
        <f t="shared" si="11"/>
        <v>物业管理</v>
      </c>
      <c r="R39" s="705" t="s">
        <v>14</v>
      </c>
      <c r="S39" s="706">
        <f t="shared" si="12"/>
        <v>100</v>
      </c>
      <c r="T39" s="705" t="s">
        <v>14</v>
      </c>
      <c r="U39" s="706">
        <f t="shared" si="13"/>
        <v>100</v>
      </c>
      <c r="V39" s="705" t="s">
        <v>14</v>
      </c>
      <c r="W39" s="706">
        <f t="shared" si="14"/>
        <v>100</v>
      </c>
      <c r="X39" s="1355"/>
      <c r="Y39" s="383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36"/>
      <c r="Q40" s="1352" t="str">
        <f t="shared" si="11"/>
        <v>市政基础设施</v>
      </c>
      <c r="R40" s="705" t="s">
        <v>14</v>
      </c>
      <c r="S40" s="706">
        <f t="shared" si="12"/>
        <v>100</v>
      </c>
      <c r="T40" s="705" t="s">
        <v>14</v>
      </c>
      <c r="U40" s="706">
        <f t="shared" si="13"/>
        <v>100</v>
      </c>
      <c r="V40" s="705" t="s">
        <v>14</v>
      </c>
      <c r="W40" s="706">
        <f t="shared" si="14"/>
        <v>100</v>
      </c>
      <c r="X40" s="1355"/>
      <c r="Y40" s="383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36"/>
      <c r="Q41" s="1352" t="str">
        <f t="shared" si="11"/>
        <v>层高</v>
      </c>
      <c r="R41" s="705" t="s">
        <v>14</v>
      </c>
      <c r="S41" s="706">
        <f t="shared" si="12"/>
        <v>100</v>
      </c>
      <c r="T41" s="705" t="s">
        <v>14</v>
      </c>
      <c r="U41" s="706">
        <f t="shared" si="13"/>
        <v>100</v>
      </c>
      <c r="V41" s="705" t="s">
        <v>14</v>
      </c>
      <c r="W41" s="706">
        <f t="shared" si="14"/>
        <v>100</v>
      </c>
      <c r="X41" s="1355"/>
      <c r="Y41" s="383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36"/>
      <c r="Q42" s="707" t="str">
        <f t="shared" si="11"/>
        <v>单套建筑面积</v>
      </c>
      <c r="R42" s="708" t="s">
        <v>14</v>
      </c>
      <c r="S42" s="709">
        <f t="shared" si="12"/>
        <v>100</v>
      </c>
      <c r="T42" s="708" t="s">
        <v>14</v>
      </c>
      <c r="U42" s="709">
        <f t="shared" si="13"/>
        <v>100</v>
      </c>
      <c r="V42" s="708" t="s">
        <v>14</v>
      </c>
      <c r="W42" s="709">
        <f t="shared" si="14"/>
        <v>100</v>
      </c>
      <c r="X42" s="710"/>
      <c r="Y42" s="383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36"/>
      <c r="Q43" s="1352" t="str">
        <f t="shared" si="11"/>
        <v>内部装修</v>
      </c>
      <c r="R43" s="705" t="s">
        <v>14</v>
      </c>
      <c r="S43" s="706">
        <f t="shared" si="12"/>
        <v>100</v>
      </c>
      <c r="T43" s="705" t="s">
        <v>14</v>
      </c>
      <c r="U43" s="706">
        <f t="shared" si="13"/>
        <v>100</v>
      </c>
      <c r="V43" s="705" t="s">
        <v>14</v>
      </c>
      <c r="W43" s="706">
        <f t="shared" si="14"/>
        <v>100</v>
      </c>
      <c r="X43" s="1355"/>
      <c r="Y43" s="383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36"/>
      <c r="Q44" s="1352" t="str">
        <f t="shared" si="11"/>
        <v>内部装修维护情况</v>
      </c>
      <c r="R44" s="705" t="s">
        <v>14</v>
      </c>
      <c r="S44" s="706">
        <f t="shared" si="12"/>
        <v>100</v>
      </c>
      <c r="T44" s="705" t="s">
        <v>14</v>
      </c>
      <c r="U44" s="706">
        <f t="shared" si="13"/>
        <v>100</v>
      </c>
      <c r="V44" s="705" t="s">
        <v>14</v>
      </c>
      <c r="W44" s="706">
        <f t="shared" si="14"/>
        <v>100</v>
      </c>
      <c r="X44" s="1355"/>
      <c r="Y44" s="383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36"/>
      <c r="Q45" s="1343">
        <f t="shared" si="11"/>
        <v>111</v>
      </c>
      <c r="R45" s="701" t="s">
        <v>14</v>
      </c>
      <c r="S45" s="702">
        <f t="shared" si="12"/>
        <v>100</v>
      </c>
      <c r="T45" s="701" t="s">
        <v>14</v>
      </c>
      <c r="U45" s="702">
        <f t="shared" si="13"/>
        <v>100</v>
      </c>
      <c r="V45" s="701" t="s">
        <v>14</v>
      </c>
      <c r="W45" s="702">
        <f t="shared" si="14"/>
        <v>100</v>
      </c>
      <c r="X45" s="703"/>
      <c r="Y45" s="383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36"/>
      <c r="Q46" s="1352">
        <f t="shared" si="11"/>
        <v>111</v>
      </c>
      <c r="R46" s="705" t="s">
        <v>14</v>
      </c>
      <c r="S46" s="706">
        <f t="shared" si="12"/>
        <v>100</v>
      </c>
      <c r="T46" s="705" t="s">
        <v>14</v>
      </c>
      <c r="U46" s="706">
        <f t="shared" si="13"/>
        <v>100</v>
      </c>
      <c r="V46" s="705" t="s">
        <v>14</v>
      </c>
      <c r="W46" s="706">
        <f t="shared" si="14"/>
        <v>100</v>
      </c>
      <c r="X46" s="1355"/>
      <c r="Y46" s="383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37"/>
      <c r="Q47" s="1352">
        <f t="shared" si="11"/>
        <v>111</v>
      </c>
      <c r="R47" s="705" t="s">
        <v>14</v>
      </c>
      <c r="S47" s="706">
        <f t="shared" si="12"/>
        <v>100</v>
      </c>
      <c r="T47" s="705" t="s">
        <v>14</v>
      </c>
      <c r="U47" s="706">
        <f t="shared" si="13"/>
        <v>100</v>
      </c>
      <c r="V47" s="705" t="s">
        <v>14</v>
      </c>
      <c r="W47" s="706">
        <f t="shared" si="14"/>
        <v>100</v>
      </c>
      <c r="X47" s="1355"/>
      <c r="Y47" s="383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817" t="str">
        <f>A48</f>
        <v>成交单价（元/平方米）</v>
      </c>
      <c r="Q48" s="3840"/>
      <c r="R48" s="3841">
        <f>E48</f>
        <v>0</v>
      </c>
      <c r="S48" s="3841"/>
      <c r="T48" s="3841">
        <f>G48</f>
        <v>0</v>
      </c>
      <c r="U48" s="3841"/>
      <c r="V48" s="3841">
        <f>I48</f>
        <v>0</v>
      </c>
      <c r="W48" s="384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817" t="str">
        <f>A49</f>
        <v>比较价值（元/平方米）</v>
      </c>
      <c r="Q49" s="3840"/>
      <c r="R49" s="3841" t="e">
        <f>IF(F1="售价",ROUND(PRODUCT(R48,AA7:AA47),0),ROUND(PRODUCT(R48,AA7:AA47),1))</f>
        <v>#DIV/0!</v>
      </c>
      <c r="S49" s="3841"/>
      <c r="T49" s="3841" t="e">
        <f>IF(F1="售价",ROUND(PRODUCT(T48,AB7:AB47),0),ROUND(PRODUCT(T48,AB7:AB47),1))</f>
        <v>#DIV/0!</v>
      </c>
      <c r="U49" s="3841"/>
      <c r="V49" s="3841" t="e">
        <f>IF(F1="售价",ROUND(PRODUCT(V48,AC7:AC47),0),ROUND(PRODUCT(V48,AC7:AC47),1))</f>
        <v>#DIV/0!</v>
      </c>
      <c r="W49" s="384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885" t="str">
        <f>A50</f>
        <v>估价对象XX用房的比较价值（楼面单价，元/平方米）</v>
      </c>
      <c r="Q50" s="3886"/>
      <c r="R50" s="3887" t="e">
        <f>IF(F1="售价",ROUND(IF(D49="简单平均",AVERAGE(R49:V49),R49*F49+T49*H49+V49*J49),0),ROUND(IF(D49="简单平均",AVERAGE(R49:V49),R49*F49+T49*H49+V49*J49),1))</f>
        <v>#DIV/0!</v>
      </c>
      <c r="S50" s="3887"/>
      <c r="T50" s="3887"/>
      <c r="U50" s="3887"/>
      <c r="V50" s="3887"/>
      <c r="W50" s="3887"/>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642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18" t="s">
        <v>1770</v>
      </c>
      <c r="D4" s="3819"/>
      <c r="E4" s="3820" t="s">
        <v>1771</v>
      </c>
      <c r="F4" s="3821"/>
      <c r="G4" s="3818" t="s">
        <v>1772</v>
      </c>
      <c r="H4" s="3819"/>
      <c r="I4" s="3818" t="s">
        <v>1773</v>
      </c>
      <c r="J4" s="3819"/>
      <c r="K4" s="559" t="s">
        <v>1774</v>
      </c>
      <c r="L4" s="913"/>
      <c r="M4" s="914"/>
      <c r="N4" s="914"/>
      <c r="O4" s="914"/>
      <c r="P4" s="3822" t="s">
        <v>1775</v>
      </c>
      <c r="Q4" s="3823"/>
      <c r="R4" s="3805" t="s">
        <v>1771</v>
      </c>
      <c r="S4" s="3806"/>
      <c r="T4" s="3805" t="s">
        <v>1772</v>
      </c>
      <c r="U4" s="3806"/>
      <c r="V4" s="3802" t="s">
        <v>1773</v>
      </c>
      <c r="W4" s="3802"/>
      <c r="X4" s="1355"/>
      <c r="Y4" s="3805" t="s">
        <v>1775</v>
      </c>
      <c r="Z4" s="3806"/>
      <c r="AA4" s="3799" t="s">
        <v>1771</v>
      </c>
      <c r="AB4" s="3800" t="s">
        <v>1772</v>
      </c>
      <c r="AC4" s="3799" t="s">
        <v>1773</v>
      </c>
    </row>
    <row r="5" spans="1:29" ht="15">
      <c r="A5" s="358"/>
      <c r="B5" s="359"/>
      <c r="C5" s="3872" t="s">
        <v>1673</v>
      </c>
      <c r="D5" s="3812"/>
      <c r="E5" s="3871" t="s">
        <v>1674</v>
      </c>
      <c r="F5" s="3810"/>
      <c r="G5" s="3872" t="s">
        <v>1675</v>
      </c>
      <c r="H5" s="3812"/>
      <c r="I5" s="3872" t="s">
        <v>1676</v>
      </c>
      <c r="J5" s="3812"/>
      <c r="K5" s="559"/>
      <c r="L5" s="913"/>
      <c r="M5" s="914"/>
      <c r="N5" s="914"/>
      <c r="O5" s="914"/>
      <c r="P5" s="3824"/>
      <c r="Q5" s="3825"/>
      <c r="R5" s="3807"/>
      <c r="S5" s="3808"/>
      <c r="T5" s="3807"/>
      <c r="U5" s="3808"/>
      <c r="V5" s="3802"/>
      <c r="W5" s="3802"/>
      <c r="X5" s="1355"/>
      <c r="Y5" s="3807"/>
      <c r="Z5" s="3808"/>
      <c r="AA5" s="3800"/>
      <c r="AB5" s="3800"/>
      <c r="AC5" s="3800"/>
    </row>
    <row r="6" spans="1:29" ht="15.75" thickBot="1">
      <c r="A6" s="360"/>
      <c r="B6" s="361"/>
      <c r="C6" s="3813" t="s">
        <v>1677</v>
      </c>
      <c r="D6" s="3814"/>
      <c r="E6" s="3815" t="s">
        <v>1677</v>
      </c>
      <c r="F6" s="3816"/>
      <c r="G6" s="3813" t="s">
        <v>1677</v>
      </c>
      <c r="H6" s="3814"/>
      <c r="I6" s="3813" t="s">
        <v>1677</v>
      </c>
      <c r="J6" s="3814"/>
      <c r="K6" s="559" t="s">
        <v>1678</v>
      </c>
      <c r="L6" s="913"/>
      <c r="M6" s="914"/>
      <c r="N6" s="914"/>
      <c r="O6" s="914"/>
      <c r="P6" s="3826"/>
      <c r="Q6" s="3827"/>
      <c r="R6" s="3807"/>
      <c r="S6" s="3808"/>
      <c r="T6" s="3828"/>
      <c r="U6" s="3829"/>
      <c r="V6" s="3802"/>
      <c r="W6" s="3802"/>
      <c r="X6" s="1355"/>
      <c r="Y6" s="3828"/>
      <c r="Z6" s="3829"/>
      <c r="AA6" s="3801"/>
      <c r="AB6" s="3801"/>
      <c r="AC6" s="3801"/>
    </row>
    <row r="7" spans="1:29" s="108" customFormat="1" ht="15.75" thickBot="1">
      <c r="A7" s="362" t="s">
        <v>1679</v>
      </c>
      <c r="B7" s="363"/>
      <c r="C7" s="364">
        <f>'数据-取费表'!B2</f>
        <v>45426</v>
      </c>
      <c r="D7" s="365">
        <v>100</v>
      </c>
      <c r="E7" s="366"/>
      <c r="F7" s="367">
        <f>SUMIF(52:52,YEAR(E7)&amp;"-"&amp;MONTH(E7),53:53)</f>
        <v>0</v>
      </c>
      <c r="G7" s="366"/>
      <c r="H7" s="365">
        <f>SUMIF(52:52,YEAR(G7)&amp;"-"&amp;MONTH(G7),53:53)</f>
        <v>0</v>
      </c>
      <c r="I7" s="366"/>
      <c r="J7" s="365">
        <f>SUMIF(52:52,YEAR(I7)&amp;"-"&amp;MONTH(I7),53:53)</f>
        <v>0</v>
      </c>
      <c r="K7" s="560"/>
      <c r="L7" s="915"/>
      <c r="M7" s="916"/>
      <c r="N7" s="916"/>
      <c r="O7" s="916"/>
      <c r="P7" s="3803" t="s">
        <v>1680</v>
      </c>
      <c r="Q7" s="3830"/>
      <c r="R7" s="701" t="s">
        <v>14</v>
      </c>
      <c r="S7" s="702">
        <f t="shared" ref="S7:S15" si="0">F7</f>
        <v>0</v>
      </c>
      <c r="T7" s="701" t="s">
        <v>14</v>
      </c>
      <c r="U7" s="702">
        <f t="shared" ref="U7:U15" si="1">H7</f>
        <v>0</v>
      </c>
      <c r="V7" s="701" t="s">
        <v>14</v>
      </c>
      <c r="W7" s="702">
        <f t="shared" ref="W7:W15" si="2">J7</f>
        <v>0</v>
      </c>
      <c r="X7" s="703"/>
      <c r="Y7" s="3803" t="s">
        <v>1680</v>
      </c>
      <c r="Z7" s="380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03" t="s">
        <v>1683</v>
      </c>
      <c r="Q8" s="3804"/>
      <c r="R8" s="701" t="s">
        <v>14</v>
      </c>
      <c r="S8" s="702">
        <f t="shared" si="0"/>
        <v>100</v>
      </c>
      <c r="T8" s="701" t="s">
        <v>14</v>
      </c>
      <c r="U8" s="702">
        <f t="shared" si="1"/>
        <v>100</v>
      </c>
      <c r="V8" s="701" t="s">
        <v>14</v>
      </c>
      <c r="W8" s="702">
        <f t="shared" si="2"/>
        <v>100</v>
      </c>
      <c r="X8" s="703"/>
      <c r="Y8" s="3803" t="s">
        <v>1683</v>
      </c>
      <c r="Z8" s="380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40"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40"/>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40"/>
      <c r="Q11" s="1343" t="str">
        <f t="shared" si="6"/>
        <v>容积率</v>
      </c>
      <c r="R11" s="701" t="s">
        <v>14</v>
      </c>
      <c r="S11" s="702">
        <f t="shared" si="0"/>
        <v>100</v>
      </c>
      <c r="T11" s="701" t="s">
        <v>14</v>
      </c>
      <c r="U11" s="702">
        <f t="shared" si="1"/>
        <v>100</v>
      </c>
      <c r="V11" s="701" t="s">
        <v>14</v>
      </c>
      <c r="W11" s="702">
        <f t="shared" si="2"/>
        <v>100</v>
      </c>
      <c r="X11" s="703"/>
      <c r="Y11" s="377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40"/>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40"/>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40"/>
      <c r="Q14" s="1343">
        <f t="shared" si="6"/>
        <v>111</v>
      </c>
      <c r="R14" s="701" t="s">
        <v>14</v>
      </c>
      <c r="S14" s="702">
        <f t="shared" si="0"/>
        <v>100</v>
      </c>
      <c r="T14" s="701" t="s">
        <v>14</v>
      </c>
      <c r="U14" s="702">
        <f t="shared" si="1"/>
        <v>100</v>
      </c>
      <c r="V14" s="701" t="s">
        <v>14</v>
      </c>
      <c r="W14" s="702">
        <f t="shared" si="2"/>
        <v>100</v>
      </c>
      <c r="X14" s="703"/>
      <c r="Y14" s="377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33" t="s">
        <v>1691</v>
      </c>
      <c r="Q15" s="1352" t="str">
        <f t="shared" si="6"/>
        <v>产业集聚程度</v>
      </c>
      <c r="R15" s="705" t="s">
        <v>14</v>
      </c>
      <c r="S15" s="706">
        <f t="shared" si="0"/>
        <v>100</v>
      </c>
      <c r="T15" s="705" t="s">
        <v>14</v>
      </c>
      <c r="U15" s="706">
        <f t="shared" si="1"/>
        <v>100</v>
      </c>
      <c r="V15" s="705" t="s">
        <v>14</v>
      </c>
      <c r="W15" s="706">
        <f t="shared" si="2"/>
        <v>100</v>
      </c>
      <c r="X15" s="1355"/>
      <c r="Y15" s="383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34"/>
      <c r="Q16" s="1352"/>
      <c r="R16" s="705"/>
      <c r="S16" s="706"/>
      <c r="T16" s="705"/>
      <c r="U16" s="706"/>
      <c r="V16" s="705"/>
      <c r="W16" s="706"/>
      <c r="X16" s="1355"/>
      <c r="Y16" s="383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34"/>
      <c r="Q17" s="1352" t="str">
        <f>B17</f>
        <v>交通便捷度</v>
      </c>
      <c r="R17" s="705" t="s">
        <v>14</v>
      </c>
      <c r="S17" s="706">
        <f>F17</f>
        <v>100</v>
      </c>
      <c r="T17" s="705" t="s">
        <v>14</v>
      </c>
      <c r="U17" s="706">
        <f>H17</f>
        <v>100</v>
      </c>
      <c r="V17" s="705" t="s">
        <v>14</v>
      </c>
      <c r="W17" s="706">
        <f>J17</f>
        <v>100</v>
      </c>
      <c r="X17" s="1355"/>
      <c r="Y17" s="38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34"/>
      <c r="Q18" s="1352"/>
      <c r="R18" s="705"/>
      <c r="S18" s="706"/>
      <c r="T18" s="705"/>
      <c r="U18" s="706"/>
      <c r="V18" s="705"/>
      <c r="W18" s="706"/>
      <c r="X18" s="1355"/>
      <c r="Y18" s="383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34"/>
      <c r="Q19" s="1352" t="str">
        <f>B19</f>
        <v>公共配套设施</v>
      </c>
      <c r="R19" s="705" t="s">
        <v>14</v>
      </c>
      <c r="S19" s="706">
        <f>F19</f>
        <v>100</v>
      </c>
      <c r="T19" s="705" t="s">
        <v>14</v>
      </c>
      <c r="U19" s="706">
        <f>H19</f>
        <v>100</v>
      </c>
      <c r="V19" s="705" t="s">
        <v>14</v>
      </c>
      <c r="W19" s="706">
        <f>J19</f>
        <v>100</v>
      </c>
      <c r="X19" s="1355"/>
      <c r="Y19" s="38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34"/>
      <c r="Q20" s="1352"/>
      <c r="R20" s="705"/>
      <c r="S20" s="706"/>
      <c r="T20" s="705"/>
      <c r="U20" s="706"/>
      <c r="V20" s="705"/>
      <c r="W20" s="706"/>
      <c r="X20" s="1355"/>
      <c r="Y20" s="383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34"/>
      <c r="Q21" s="1352" t="str">
        <f>B21</f>
        <v>基础设施水平</v>
      </c>
      <c r="R21" s="705" t="s">
        <v>14</v>
      </c>
      <c r="S21" s="706">
        <f>F21</f>
        <v>100</v>
      </c>
      <c r="T21" s="705" t="s">
        <v>14</v>
      </c>
      <c r="U21" s="706">
        <f>H21</f>
        <v>100</v>
      </c>
      <c r="V21" s="705" t="s">
        <v>14</v>
      </c>
      <c r="W21" s="706">
        <f>J21</f>
        <v>100</v>
      </c>
      <c r="X21" s="1355"/>
      <c r="Y21" s="38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34"/>
      <c r="Q22" s="1352"/>
      <c r="R22" s="705"/>
      <c r="S22" s="706"/>
      <c r="T22" s="705"/>
      <c r="U22" s="706"/>
      <c r="V22" s="705"/>
      <c r="W22" s="706"/>
      <c r="X22" s="1355"/>
      <c r="Y22" s="383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34"/>
      <c r="Q23" s="1352" t="str">
        <f>B23</f>
        <v>环境质量</v>
      </c>
      <c r="R23" s="705" t="s">
        <v>14</v>
      </c>
      <c r="S23" s="706">
        <f>F23</f>
        <v>100</v>
      </c>
      <c r="T23" s="705" t="s">
        <v>14</v>
      </c>
      <c r="U23" s="706">
        <f>H23</f>
        <v>100</v>
      </c>
      <c r="V23" s="705" t="s">
        <v>14</v>
      </c>
      <c r="W23" s="706">
        <f>J23</f>
        <v>100</v>
      </c>
      <c r="X23" s="1355"/>
      <c r="Y23" s="383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34"/>
      <c r="Q24" s="1352"/>
      <c r="R24" s="705"/>
      <c r="S24" s="706"/>
      <c r="T24" s="705"/>
      <c r="U24" s="706"/>
      <c r="V24" s="705"/>
      <c r="W24" s="706"/>
      <c r="X24" s="1355"/>
      <c r="Y24" s="383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34"/>
      <c r="Q25" s="1352">
        <f>B25</f>
        <v>111</v>
      </c>
      <c r="R25" s="705" t="s">
        <v>14</v>
      </c>
      <c r="S25" s="706">
        <f>F25</f>
        <v>100</v>
      </c>
      <c r="T25" s="705" t="s">
        <v>14</v>
      </c>
      <c r="U25" s="706">
        <f>H25</f>
        <v>100</v>
      </c>
      <c r="V25" s="705" t="s">
        <v>14</v>
      </c>
      <c r="W25" s="706">
        <f>J25</f>
        <v>100</v>
      </c>
      <c r="X25" s="1355"/>
      <c r="Y25" s="383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34"/>
      <c r="Q26" s="1352">
        <f t="shared" ref="Q26:Q40" si="11">B26</f>
        <v>111</v>
      </c>
      <c r="R26" s="705" t="s">
        <v>14</v>
      </c>
      <c r="S26" s="706">
        <f>F26</f>
        <v>100</v>
      </c>
      <c r="T26" s="705" t="s">
        <v>14</v>
      </c>
      <c r="U26" s="706">
        <f>H26</f>
        <v>100</v>
      </c>
      <c r="V26" s="705" t="s">
        <v>14</v>
      </c>
      <c r="W26" s="706">
        <f>J26</f>
        <v>100</v>
      </c>
      <c r="X26" s="1355"/>
      <c r="Y26" s="383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34"/>
      <c r="Q27" s="1343">
        <f t="shared" si="11"/>
        <v>111</v>
      </c>
      <c r="R27" s="701" t="s">
        <v>14</v>
      </c>
      <c r="S27" s="702">
        <f>F27</f>
        <v>100</v>
      </c>
      <c r="T27" s="701" t="s">
        <v>14</v>
      </c>
      <c r="U27" s="702">
        <f>H27</f>
        <v>100</v>
      </c>
      <c r="V27" s="701" t="s">
        <v>14</v>
      </c>
      <c r="W27" s="702">
        <f>J27</f>
        <v>100</v>
      </c>
      <c r="X27" s="703"/>
      <c r="Y27" s="383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34"/>
      <c r="Q28" s="1352">
        <f t="shared" si="11"/>
        <v>111</v>
      </c>
      <c r="R28" s="705" t="s">
        <v>14</v>
      </c>
      <c r="S28" s="706">
        <f t="shared" ref="S28:S40" si="12">F28</f>
        <v>100</v>
      </c>
      <c r="T28" s="705" t="s">
        <v>14</v>
      </c>
      <c r="U28" s="706">
        <f t="shared" ref="U28:U40" si="13">H28</f>
        <v>100</v>
      </c>
      <c r="V28" s="705" t="s">
        <v>14</v>
      </c>
      <c r="W28" s="706">
        <f t="shared" ref="W28:W40" si="14">J28</f>
        <v>100</v>
      </c>
      <c r="X28" s="1355"/>
      <c r="Y28" s="383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8" t="s">
        <v>1696</v>
      </c>
      <c r="Q29" s="1352" t="str">
        <f t="shared" si="11"/>
        <v>建筑类型</v>
      </c>
      <c r="R29" s="705" t="s">
        <v>14</v>
      </c>
      <c r="S29" s="706">
        <f t="shared" si="12"/>
        <v>100</v>
      </c>
      <c r="T29" s="705" t="s">
        <v>14</v>
      </c>
      <c r="U29" s="706">
        <f t="shared" si="13"/>
        <v>100</v>
      </c>
      <c r="V29" s="705" t="s">
        <v>14</v>
      </c>
      <c r="W29" s="706">
        <f t="shared" si="14"/>
        <v>100</v>
      </c>
      <c r="X29" s="1355"/>
      <c r="Y29" s="383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8"/>
      <c r="Q30" s="707" t="str">
        <f t="shared" si="11"/>
        <v>项目建筑规模</v>
      </c>
      <c r="R30" s="708" t="s">
        <v>14</v>
      </c>
      <c r="S30" s="709" t="e">
        <f t="shared" si="12"/>
        <v>#N/A</v>
      </c>
      <c r="T30" s="708" t="s">
        <v>14</v>
      </c>
      <c r="U30" s="709" t="e">
        <f t="shared" si="13"/>
        <v>#N/A</v>
      </c>
      <c r="V30" s="708" t="s">
        <v>14</v>
      </c>
      <c r="W30" s="709" t="e">
        <f t="shared" si="14"/>
        <v>#N/A</v>
      </c>
      <c r="X30" s="710"/>
      <c r="Y30" s="383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8"/>
      <c r="Q31" s="1352" t="str">
        <f t="shared" si="11"/>
        <v>建筑结构</v>
      </c>
      <c r="R31" s="705" t="s">
        <v>14</v>
      </c>
      <c r="S31" s="706">
        <f t="shared" si="12"/>
        <v>100</v>
      </c>
      <c r="T31" s="705" t="s">
        <v>14</v>
      </c>
      <c r="U31" s="706">
        <f t="shared" si="13"/>
        <v>100</v>
      </c>
      <c r="V31" s="705" t="s">
        <v>14</v>
      </c>
      <c r="W31" s="706">
        <f t="shared" si="14"/>
        <v>100</v>
      </c>
      <c r="X31" s="1355"/>
      <c r="Y31" s="383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8"/>
      <c r="Q32" s="1352" t="str">
        <f t="shared" si="11"/>
        <v>公共部分装修</v>
      </c>
      <c r="R32" s="705" t="s">
        <v>14</v>
      </c>
      <c r="S32" s="706">
        <f t="shared" si="12"/>
        <v>100</v>
      </c>
      <c r="T32" s="705" t="s">
        <v>14</v>
      </c>
      <c r="U32" s="706">
        <f t="shared" si="13"/>
        <v>100</v>
      </c>
      <c r="V32" s="705" t="s">
        <v>14</v>
      </c>
      <c r="W32" s="706">
        <f t="shared" si="14"/>
        <v>100</v>
      </c>
      <c r="X32" s="1355"/>
      <c r="Y32" s="383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8"/>
      <c r="Q33" s="1352" t="str">
        <f t="shared" si="11"/>
        <v>成新度</v>
      </c>
      <c r="R33" s="705" t="s">
        <v>14</v>
      </c>
      <c r="S33" s="706" t="e">
        <f t="shared" si="12"/>
        <v>#N/A</v>
      </c>
      <c r="T33" s="705" t="s">
        <v>14</v>
      </c>
      <c r="U33" s="706" t="e">
        <f t="shared" si="13"/>
        <v>#N/A</v>
      </c>
      <c r="V33" s="705" t="s">
        <v>14</v>
      </c>
      <c r="W33" s="706" t="e">
        <f t="shared" si="14"/>
        <v>#N/A</v>
      </c>
      <c r="X33" s="1355"/>
      <c r="Y33" s="383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8"/>
      <c r="Q34" s="1343" t="str">
        <f t="shared" si="11"/>
        <v>物业管理</v>
      </c>
      <c r="R34" s="701" t="s">
        <v>14</v>
      </c>
      <c r="S34" s="702">
        <f t="shared" si="12"/>
        <v>100</v>
      </c>
      <c r="T34" s="701" t="s">
        <v>14</v>
      </c>
      <c r="U34" s="702">
        <f t="shared" si="13"/>
        <v>100</v>
      </c>
      <c r="V34" s="701" t="s">
        <v>14</v>
      </c>
      <c r="W34" s="702">
        <f t="shared" si="14"/>
        <v>100</v>
      </c>
      <c r="X34" s="703"/>
      <c r="Y34" s="383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8" t="s">
        <v>1696</v>
      </c>
      <c r="Q35" s="1352" t="str">
        <f t="shared" si="11"/>
        <v>市政基础设施</v>
      </c>
      <c r="R35" s="705" t="s">
        <v>14</v>
      </c>
      <c r="S35" s="706">
        <f t="shared" si="12"/>
        <v>100</v>
      </c>
      <c r="T35" s="705" t="s">
        <v>14</v>
      </c>
      <c r="U35" s="706">
        <f t="shared" si="13"/>
        <v>100</v>
      </c>
      <c r="V35" s="705" t="s">
        <v>14</v>
      </c>
      <c r="W35" s="706">
        <f t="shared" si="14"/>
        <v>100</v>
      </c>
      <c r="X35" s="1355"/>
      <c r="Y35" s="383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8"/>
      <c r="Q36" s="1352" t="str">
        <f t="shared" si="11"/>
        <v>内部装修</v>
      </c>
      <c r="R36" s="705" t="s">
        <v>14</v>
      </c>
      <c r="S36" s="706">
        <f t="shared" si="12"/>
        <v>100</v>
      </c>
      <c r="T36" s="705" t="s">
        <v>14</v>
      </c>
      <c r="U36" s="706">
        <f t="shared" si="13"/>
        <v>100</v>
      </c>
      <c r="V36" s="705" t="s">
        <v>14</v>
      </c>
      <c r="W36" s="706">
        <f t="shared" si="14"/>
        <v>100</v>
      </c>
      <c r="X36" s="1355"/>
      <c r="Y36" s="383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8"/>
      <c r="Q37" s="1352" t="str">
        <f t="shared" si="11"/>
        <v>内部装修状况</v>
      </c>
      <c r="R37" s="705" t="s">
        <v>14</v>
      </c>
      <c r="S37" s="706">
        <f t="shared" si="12"/>
        <v>100</v>
      </c>
      <c r="T37" s="705" t="s">
        <v>14</v>
      </c>
      <c r="U37" s="706">
        <f t="shared" si="13"/>
        <v>100</v>
      </c>
      <c r="V37" s="705" t="s">
        <v>14</v>
      </c>
      <c r="W37" s="706">
        <f t="shared" si="14"/>
        <v>100</v>
      </c>
      <c r="X37" s="1355"/>
      <c r="Y37" s="383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8"/>
      <c r="Q38" s="707">
        <f t="shared" si="11"/>
        <v>111</v>
      </c>
      <c r="R38" s="708" t="s">
        <v>14</v>
      </c>
      <c r="S38" s="709">
        <f t="shared" si="12"/>
        <v>100</v>
      </c>
      <c r="T38" s="708" t="s">
        <v>14</v>
      </c>
      <c r="U38" s="709">
        <f t="shared" si="13"/>
        <v>100</v>
      </c>
      <c r="V38" s="708" t="s">
        <v>14</v>
      </c>
      <c r="W38" s="709">
        <f t="shared" si="14"/>
        <v>100</v>
      </c>
      <c r="X38" s="710"/>
      <c r="Y38" s="383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8"/>
      <c r="Q39" s="1352">
        <f t="shared" si="11"/>
        <v>111</v>
      </c>
      <c r="R39" s="705" t="s">
        <v>14</v>
      </c>
      <c r="S39" s="706">
        <f t="shared" si="12"/>
        <v>100</v>
      </c>
      <c r="T39" s="705" t="s">
        <v>14</v>
      </c>
      <c r="U39" s="706">
        <f t="shared" si="13"/>
        <v>100</v>
      </c>
      <c r="V39" s="705" t="s">
        <v>14</v>
      </c>
      <c r="W39" s="706">
        <f t="shared" si="14"/>
        <v>100</v>
      </c>
      <c r="X39" s="1355"/>
      <c r="Y39" s="383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9"/>
      <c r="Q40" s="1352">
        <f t="shared" si="11"/>
        <v>111</v>
      </c>
      <c r="R40" s="705" t="s">
        <v>14</v>
      </c>
      <c r="S40" s="706">
        <f t="shared" si="12"/>
        <v>100</v>
      </c>
      <c r="T40" s="705" t="s">
        <v>14</v>
      </c>
      <c r="U40" s="706">
        <f t="shared" si="13"/>
        <v>100</v>
      </c>
      <c r="V40" s="705" t="s">
        <v>14</v>
      </c>
      <c r="W40" s="706">
        <f t="shared" si="14"/>
        <v>100</v>
      </c>
      <c r="X40" s="1355"/>
      <c r="Y40" s="383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40" t="str">
        <f>A41</f>
        <v>成交单价（元/平方米）</v>
      </c>
      <c r="Q41" s="3840"/>
      <c r="R41" s="3841">
        <f>E41</f>
        <v>0</v>
      </c>
      <c r="S41" s="3841"/>
      <c r="T41" s="3841">
        <f>G41</f>
        <v>0</v>
      </c>
      <c r="U41" s="3841"/>
      <c r="V41" s="3841">
        <f>I41</f>
        <v>0</v>
      </c>
      <c r="W41" s="384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40" t="str">
        <f>A42</f>
        <v>比较价值（元/平方米）</v>
      </c>
      <c r="Q42" s="3840"/>
      <c r="R42" s="3841" t="e">
        <f>IF(F1="售价",ROUND(PRODUCT(R41,AA7:AA40),0),ROUND(PRODUCT(R41,AA7:AA40),1))</f>
        <v>#DIV/0!</v>
      </c>
      <c r="S42" s="3841"/>
      <c r="T42" s="3841" t="e">
        <f>IF(F1="售价",ROUND(PRODUCT(T41,AB7:AB40),0),ROUND(PRODUCT(T41,AB7:AB40),1))</f>
        <v>#DIV/0!</v>
      </c>
      <c r="U42" s="3841"/>
      <c r="V42" s="3841" t="e">
        <f>IF(F1="售价",ROUND(PRODUCT(V41,AC7:AC40),0),ROUND(PRODUCT(V41,AC7:AC40),1))</f>
        <v>#DIV/0!</v>
      </c>
      <c r="W42" s="384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42" t="str">
        <f>A43</f>
        <v>估价对象XX用房的比较价值（楼面单价，元/平方米）</v>
      </c>
      <c r="Q43" s="3843"/>
      <c r="R43" s="3844" t="e">
        <f>IF(F1="售价",ROUND(IF(D42="简单平均",AVERAGE(R42:V42),R42*F42+T42*H42+V42*J42),0),ROUND(IF(D42="简单平均",AVERAGE(R42:V42),R42*F42+T42*H42+V42*J42),1))</f>
        <v>#DIV/0!</v>
      </c>
      <c r="S43" s="3844"/>
      <c r="T43" s="3844"/>
      <c r="U43" s="3844"/>
      <c r="V43" s="3844"/>
      <c r="W43" s="384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818" t="s">
        <v>1770</v>
      </c>
      <c r="D4" s="3819"/>
      <c r="E4" s="3820" t="s">
        <v>1771</v>
      </c>
      <c r="F4" s="3821"/>
      <c r="G4" s="3818" t="s">
        <v>1772</v>
      </c>
      <c r="H4" s="3819"/>
      <c r="I4" s="3818" t="s">
        <v>1773</v>
      </c>
      <c r="J4" s="3819"/>
      <c r="K4" s="559" t="s">
        <v>1774</v>
      </c>
      <c r="L4" s="2712"/>
      <c r="M4" s="2713"/>
      <c r="N4" s="2713"/>
      <c r="O4" s="2713"/>
      <c r="P4" s="3822" t="s">
        <v>1775</v>
      </c>
      <c r="Q4" s="3823"/>
      <c r="R4" s="3805" t="s">
        <v>1771</v>
      </c>
      <c r="S4" s="3806"/>
      <c r="T4" s="3805" t="s">
        <v>1772</v>
      </c>
      <c r="U4" s="3806"/>
      <c r="V4" s="3802" t="s">
        <v>1773</v>
      </c>
      <c r="W4" s="3802"/>
      <c r="X4" s="1355"/>
      <c r="Y4" s="3805" t="s">
        <v>1775</v>
      </c>
      <c r="Z4" s="3806"/>
      <c r="AA4" s="3799" t="s">
        <v>1771</v>
      </c>
      <c r="AB4" s="3800" t="s">
        <v>1772</v>
      </c>
      <c r="AC4" s="3799" t="s">
        <v>1773</v>
      </c>
    </row>
    <row r="5" spans="1:29" ht="15">
      <c r="A5" s="358"/>
      <c r="B5" s="359"/>
      <c r="C5" s="3872" t="s">
        <v>1673</v>
      </c>
      <c r="D5" s="3812"/>
      <c r="E5" s="3871" t="s">
        <v>1674</v>
      </c>
      <c r="F5" s="3810"/>
      <c r="G5" s="3872" t="s">
        <v>1675</v>
      </c>
      <c r="H5" s="3812"/>
      <c r="I5" s="3872" t="s">
        <v>1676</v>
      </c>
      <c r="J5" s="3812"/>
      <c r="K5" s="559"/>
      <c r="L5" s="2712"/>
      <c r="M5" s="2713"/>
      <c r="N5" s="2713"/>
      <c r="O5" s="2713"/>
      <c r="P5" s="3824"/>
      <c r="Q5" s="3825"/>
      <c r="R5" s="3807"/>
      <c r="S5" s="3808"/>
      <c r="T5" s="3807"/>
      <c r="U5" s="3808"/>
      <c r="V5" s="3802"/>
      <c r="W5" s="3802"/>
      <c r="X5" s="1355"/>
      <c r="Y5" s="3807"/>
      <c r="Z5" s="3808"/>
      <c r="AA5" s="3800"/>
      <c r="AB5" s="3800"/>
      <c r="AC5" s="3800"/>
    </row>
    <row r="6" spans="1:29" ht="15.75" thickBot="1">
      <c r="A6" s="360"/>
      <c r="B6" s="361"/>
      <c r="C6" s="3813" t="s">
        <v>1677</v>
      </c>
      <c r="D6" s="3814"/>
      <c r="E6" s="3815" t="s">
        <v>1677</v>
      </c>
      <c r="F6" s="3816"/>
      <c r="G6" s="3813" t="s">
        <v>1677</v>
      </c>
      <c r="H6" s="3814"/>
      <c r="I6" s="3813" t="s">
        <v>1677</v>
      </c>
      <c r="J6" s="3814"/>
      <c r="K6" s="559" t="s">
        <v>1678</v>
      </c>
      <c r="L6" s="2712"/>
      <c r="M6" s="2713"/>
      <c r="N6" s="2713"/>
      <c r="O6" s="2713"/>
      <c r="P6" s="3826"/>
      <c r="Q6" s="3827"/>
      <c r="R6" s="3807"/>
      <c r="S6" s="3808"/>
      <c r="T6" s="3828"/>
      <c r="U6" s="3829"/>
      <c r="V6" s="3802"/>
      <c r="W6" s="3802"/>
      <c r="X6" s="1355"/>
      <c r="Y6" s="3828"/>
      <c r="Z6" s="3829"/>
      <c r="AA6" s="3801"/>
      <c r="AB6" s="3801"/>
      <c r="AC6" s="3801"/>
    </row>
    <row r="7" spans="1:29" s="108" customFormat="1" ht="15.75" thickBot="1">
      <c r="A7" s="362" t="s">
        <v>1679</v>
      </c>
      <c r="B7" s="363"/>
      <c r="C7" s="364">
        <f>'数据-取费表'!B2</f>
        <v>45426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03" t="s">
        <v>1680</v>
      </c>
      <c r="Q7" s="3830"/>
      <c r="R7" s="701" t="s">
        <v>14</v>
      </c>
      <c r="S7" s="702">
        <f t="shared" ref="S7:S14" si="0">F7</f>
        <v>0</v>
      </c>
      <c r="T7" s="701" t="s">
        <v>14</v>
      </c>
      <c r="U7" s="702">
        <f t="shared" ref="U7:U14" si="1">H7</f>
        <v>0</v>
      </c>
      <c r="V7" s="701" t="s">
        <v>14</v>
      </c>
      <c r="W7" s="702">
        <f t="shared" ref="W7:W14" si="2">J7</f>
        <v>0</v>
      </c>
      <c r="X7" s="703"/>
      <c r="Y7" s="3803" t="s">
        <v>1680</v>
      </c>
      <c r="Z7" s="380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03" t="s">
        <v>1683</v>
      </c>
      <c r="Q8" s="3804"/>
      <c r="R8" s="701" t="s">
        <v>14</v>
      </c>
      <c r="S8" s="702">
        <f t="shared" si="0"/>
        <v>100</v>
      </c>
      <c r="T8" s="701" t="s">
        <v>14</v>
      </c>
      <c r="U8" s="702">
        <f t="shared" si="1"/>
        <v>100</v>
      </c>
      <c r="V8" s="701" t="s">
        <v>14</v>
      </c>
      <c r="W8" s="702">
        <f t="shared" si="2"/>
        <v>100</v>
      </c>
      <c r="X8" s="703"/>
      <c r="Y8" s="3803" t="s">
        <v>1683</v>
      </c>
      <c r="Z8" s="380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40" t="s">
        <v>1686</v>
      </c>
      <c r="Q9" s="1343" t="str">
        <f t="shared" ref="Q9:Q14" si="6">B9</f>
        <v>用途</v>
      </c>
      <c r="R9" s="701" t="s">
        <v>14</v>
      </c>
      <c r="S9" s="702">
        <f t="shared" si="0"/>
        <v>100</v>
      </c>
      <c r="T9" s="701" t="s">
        <v>14</v>
      </c>
      <c r="U9" s="702">
        <f t="shared" si="1"/>
        <v>100</v>
      </c>
      <c r="V9" s="701" t="s">
        <v>14</v>
      </c>
      <c r="W9" s="702">
        <f t="shared" si="2"/>
        <v>100</v>
      </c>
      <c r="X9" s="703"/>
      <c r="Y9" s="3772"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40"/>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40"/>
      <c r="Q11" s="1343">
        <f t="shared" si="6"/>
        <v>111</v>
      </c>
      <c r="R11" s="701" t="s">
        <v>14</v>
      </c>
      <c r="S11" s="702">
        <f t="shared" si="0"/>
        <v>100</v>
      </c>
      <c r="T11" s="701" t="s">
        <v>14</v>
      </c>
      <c r="U11" s="702">
        <f t="shared" si="1"/>
        <v>100</v>
      </c>
      <c r="V11" s="701" t="s">
        <v>14</v>
      </c>
      <c r="W11" s="702">
        <f t="shared" si="2"/>
        <v>100</v>
      </c>
      <c r="X11" s="703"/>
      <c r="Y11" s="37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40"/>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40"/>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33" t="s">
        <v>1691</v>
      </c>
      <c r="Q14" s="1352" t="str">
        <f t="shared" si="6"/>
        <v>交通便捷度</v>
      </c>
      <c r="R14" s="705" t="s">
        <v>14</v>
      </c>
      <c r="S14" s="706">
        <f t="shared" si="0"/>
        <v>100</v>
      </c>
      <c r="T14" s="705" t="s">
        <v>14</v>
      </c>
      <c r="U14" s="706">
        <f t="shared" si="1"/>
        <v>100</v>
      </c>
      <c r="V14" s="705" t="s">
        <v>14</v>
      </c>
      <c r="W14" s="706">
        <f t="shared" si="2"/>
        <v>100</v>
      </c>
      <c r="X14" s="1355"/>
      <c r="Y14" s="383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34"/>
      <c r="Q15" s="1352"/>
      <c r="R15" s="705"/>
      <c r="S15" s="706"/>
      <c r="T15" s="705"/>
      <c r="U15" s="706"/>
      <c r="V15" s="705"/>
      <c r="W15" s="706"/>
      <c r="X15" s="1355"/>
      <c r="Y15" s="3834"/>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34"/>
      <c r="Q16" s="1352" t="str">
        <f>B16</f>
        <v>公共配套设施</v>
      </c>
      <c r="R16" s="705" t="s">
        <v>14</v>
      </c>
      <c r="S16" s="706">
        <f>F16</f>
        <v>100</v>
      </c>
      <c r="T16" s="705" t="s">
        <v>14</v>
      </c>
      <c r="U16" s="706">
        <f>H16</f>
        <v>100</v>
      </c>
      <c r="V16" s="705" t="s">
        <v>14</v>
      </c>
      <c r="W16" s="706">
        <f>J16</f>
        <v>100</v>
      </c>
      <c r="X16" s="1355"/>
      <c r="Y16" s="383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34"/>
      <c r="Q17" s="1352"/>
      <c r="R17" s="705"/>
      <c r="S17" s="706"/>
      <c r="T17" s="705"/>
      <c r="U17" s="706"/>
      <c r="V17" s="705"/>
      <c r="W17" s="706"/>
      <c r="X17" s="1355"/>
      <c r="Y17" s="3834"/>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34"/>
      <c r="Q18" s="1352" t="str">
        <f>B18</f>
        <v>基础设施水平</v>
      </c>
      <c r="R18" s="705" t="s">
        <v>14</v>
      </c>
      <c r="S18" s="706">
        <f>F18</f>
        <v>100</v>
      </c>
      <c r="T18" s="705" t="s">
        <v>14</v>
      </c>
      <c r="U18" s="706">
        <f>H18</f>
        <v>100</v>
      </c>
      <c r="V18" s="705" t="s">
        <v>14</v>
      </c>
      <c r="W18" s="706">
        <f>J18</f>
        <v>100</v>
      </c>
      <c r="X18" s="1355"/>
      <c r="Y18" s="383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34"/>
      <c r="Q19" s="1352"/>
      <c r="R19" s="705"/>
      <c r="S19" s="706"/>
      <c r="T19" s="705"/>
      <c r="U19" s="706"/>
      <c r="V19" s="705"/>
      <c r="W19" s="706"/>
      <c r="X19" s="1355"/>
      <c r="Y19" s="3834"/>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34"/>
      <c r="Q20" s="1352" t="str">
        <f>B20</f>
        <v>自然及人文环境</v>
      </c>
      <c r="R20" s="705" t="s">
        <v>14</v>
      </c>
      <c r="S20" s="706">
        <f>F20</f>
        <v>100</v>
      </c>
      <c r="T20" s="705" t="s">
        <v>14</v>
      </c>
      <c r="U20" s="706">
        <f>H20</f>
        <v>100</v>
      </c>
      <c r="V20" s="705" t="s">
        <v>14</v>
      </c>
      <c r="W20" s="706">
        <f>J20</f>
        <v>100</v>
      </c>
      <c r="X20" s="1355"/>
      <c r="Y20" s="383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34"/>
      <c r="Q21" s="1352"/>
      <c r="R21" s="705"/>
      <c r="S21" s="706"/>
      <c r="T21" s="705"/>
      <c r="U21" s="706"/>
      <c r="V21" s="705"/>
      <c r="W21" s="706"/>
      <c r="X21" s="1355"/>
      <c r="Y21" s="383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34"/>
      <c r="Q22" s="1352" t="str">
        <f>B22</f>
        <v>楼层</v>
      </c>
      <c r="R22" s="705" t="s">
        <v>14</v>
      </c>
      <c r="S22" s="706">
        <f>F22</f>
        <v>100</v>
      </c>
      <c r="T22" s="705" t="s">
        <v>14</v>
      </c>
      <c r="U22" s="706">
        <f>H22</f>
        <v>100</v>
      </c>
      <c r="V22" s="705" t="s">
        <v>14</v>
      </c>
      <c r="W22" s="706">
        <f>J22</f>
        <v>100</v>
      </c>
      <c r="X22" s="1355"/>
      <c r="Y22" s="383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34"/>
      <c r="Q23" s="1352">
        <f>B23</f>
        <v>111</v>
      </c>
      <c r="R23" s="705" t="s">
        <v>14</v>
      </c>
      <c r="S23" s="706">
        <f>F23</f>
        <v>100</v>
      </c>
      <c r="T23" s="705" t="s">
        <v>14</v>
      </c>
      <c r="U23" s="706">
        <f>H23</f>
        <v>100</v>
      </c>
      <c r="V23" s="705" t="s">
        <v>14</v>
      </c>
      <c r="W23" s="706">
        <f>J23</f>
        <v>100</v>
      </c>
      <c r="X23" s="1355"/>
      <c r="Y23" s="383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34"/>
      <c r="Q24" s="1352">
        <f t="shared" ref="Q24:Q36" si="11">B24</f>
        <v>111</v>
      </c>
      <c r="R24" s="705" t="s">
        <v>14</v>
      </c>
      <c r="S24" s="706">
        <f>F24</f>
        <v>100</v>
      </c>
      <c r="T24" s="705" t="s">
        <v>14</v>
      </c>
      <c r="U24" s="706">
        <f>H24</f>
        <v>100</v>
      </c>
      <c r="V24" s="705" t="s">
        <v>14</v>
      </c>
      <c r="W24" s="706">
        <f>J24</f>
        <v>100</v>
      </c>
      <c r="X24" s="1355"/>
      <c r="Y24" s="383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34"/>
      <c r="Q25" s="1343">
        <f t="shared" si="11"/>
        <v>111</v>
      </c>
      <c r="R25" s="701" t="s">
        <v>14</v>
      </c>
      <c r="S25" s="702">
        <f>F25</f>
        <v>100</v>
      </c>
      <c r="T25" s="701" t="s">
        <v>14</v>
      </c>
      <c r="U25" s="702">
        <f>H25</f>
        <v>100</v>
      </c>
      <c r="V25" s="701" t="s">
        <v>14</v>
      </c>
      <c r="W25" s="702">
        <f>J25</f>
        <v>100</v>
      </c>
      <c r="X25" s="703"/>
      <c r="Y25" s="383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38"/>
      <c r="Q27" s="707" t="str">
        <f t="shared" si="11"/>
        <v>项目停车位配比</v>
      </c>
      <c r="R27" s="708" t="s">
        <v>14</v>
      </c>
      <c r="S27" s="709">
        <f t="shared" si="12"/>
        <v>100</v>
      </c>
      <c r="T27" s="708" t="s">
        <v>14</v>
      </c>
      <c r="U27" s="709">
        <f t="shared" si="13"/>
        <v>100</v>
      </c>
      <c r="V27" s="708" t="s">
        <v>14</v>
      </c>
      <c r="W27" s="709">
        <f t="shared" si="14"/>
        <v>100</v>
      </c>
      <c r="X27" s="710"/>
      <c r="Y27" s="383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38"/>
      <c r="Q28" s="1352" t="str">
        <f t="shared" si="11"/>
        <v>公共部分装修</v>
      </c>
      <c r="R28" s="705" t="s">
        <v>14</v>
      </c>
      <c r="S28" s="706">
        <f t="shared" si="12"/>
        <v>100</v>
      </c>
      <c r="T28" s="705" t="s">
        <v>14</v>
      </c>
      <c r="U28" s="706">
        <f t="shared" si="13"/>
        <v>100</v>
      </c>
      <c r="V28" s="705" t="s">
        <v>14</v>
      </c>
      <c r="W28" s="706">
        <f t="shared" si="14"/>
        <v>100</v>
      </c>
      <c r="X28" s="1355"/>
      <c r="Y28" s="383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38"/>
      <c r="Q29" s="1352" t="str">
        <f t="shared" si="11"/>
        <v>成新率</v>
      </c>
      <c r="R29" s="705" t="s">
        <v>14</v>
      </c>
      <c r="S29" s="706" t="e">
        <f t="shared" si="12"/>
        <v>#N/A</v>
      </c>
      <c r="T29" s="705" t="s">
        <v>14</v>
      </c>
      <c r="U29" s="706" t="e">
        <f t="shared" si="13"/>
        <v>#N/A</v>
      </c>
      <c r="V29" s="705" t="s">
        <v>14</v>
      </c>
      <c r="W29" s="706" t="e">
        <f t="shared" si="14"/>
        <v>#N/A</v>
      </c>
      <c r="X29" s="1355"/>
      <c r="Y29" s="383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38"/>
      <c r="Q30" s="1352" t="str">
        <f t="shared" si="11"/>
        <v>物业等级</v>
      </c>
      <c r="R30" s="705" t="s">
        <v>14</v>
      </c>
      <c r="S30" s="706">
        <f t="shared" si="12"/>
        <v>100</v>
      </c>
      <c r="T30" s="705" t="s">
        <v>14</v>
      </c>
      <c r="U30" s="706">
        <f t="shared" si="13"/>
        <v>100</v>
      </c>
      <c r="V30" s="705" t="s">
        <v>14</v>
      </c>
      <c r="W30" s="706">
        <f t="shared" si="14"/>
        <v>100</v>
      </c>
      <c r="X30" s="1355"/>
      <c r="Y30" s="383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38"/>
      <c r="Q31" s="1343" t="str">
        <f t="shared" si="11"/>
        <v>停车位面积</v>
      </c>
      <c r="R31" s="701" t="s">
        <v>14</v>
      </c>
      <c r="S31" s="702" t="e">
        <f t="shared" si="12"/>
        <v>#N/A</v>
      </c>
      <c r="T31" s="701" t="s">
        <v>14</v>
      </c>
      <c r="U31" s="702" t="e">
        <f t="shared" si="13"/>
        <v>#N/A</v>
      </c>
      <c r="V31" s="701" t="s">
        <v>14</v>
      </c>
      <c r="W31" s="702" t="e">
        <f t="shared" si="14"/>
        <v>#N/A</v>
      </c>
      <c r="X31" s="703"/>
      <c r="Y31" s="383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38" t="s">
        <v>1696</v>
      </c>
      <c r="Q32" s="1352" t="str">
        <f t="shared" si="11"/>
        <v>车位类型</v>
      </c>
      <c r="R32" s="705" t="s">
        <v>14</v>
      </c>
      <c r="S32" s="706">
        <f t="shared" si="12"/>
        <v>100</v>
      </c>
      <c r="T32" s="705" t="s">
        <v>14</v>
      </c>
      <c r="U32" s="706">
        <f t="shared" si="13"/>
        <v>100</v>
      </c>
      <c r="V32" s="705" t="s">
        <v>14</v>
      </c>
      <c r="W32" s="706">
        <f t="shared" si="14"/>
        <v>100</v>
      </c>
      <c r="X32" s="1355"/>
      <c r="Y32" s="383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38"/>
      <c r="Q33" s="1352" t="str">
        <f t="shared" si="11"/>
        <v>是否直接入户</v>
      </c>
      <c r="R33" s="705" t="s">
        <v>14</v>
      </c>
      <c r="S33" s="706">
        <f t="shared" si="12"/>
        <v>100</v>
      </c>
      <c r="T33" s="705" t="s">
        <v>14</v>
      </c>
      <c r="U33" s="706">
        <f t="shared" si="13"/>
        <v>100</v>
      </c>
      <c r="V33" s="705" t="s">
        <v>14</v>
      </c>
      <c r="W33" s="706">
        <f t="shared" si="14"/>
        <v>100</v>
      </c>
      <c r="X33" s="1355"/>
      <c r="Y33" s="383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38"/>
      <c r="Q34" s="1352">
        <f t="shared" si="11"/>
        <v>111</v>
      </c>
      <c r="R34" s="705" t="s">
        <v>14</v>
      </c>
      <c r="S34" s="706">
        <f t="shared" si="12"/>
        <v>100</v>
      </c>
      <c r="T34" s="705" t="s">
        <v>14</v>
      </c>
      <c r="U34" s="706">
        <f t="shared" si="13"/>
        <v>100</v>
      </c>
      <c r="V34" s="705" t="s">
        <v>14</v>
      </c>
      <c r="W34" s="706">
        <f t="shared" si="14"/>
        <v>100</v>
      </c>
      <c r="X34" s="1355"/>
      <c r="Y34" s="383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38"/>
      <c r="Q35" s="707">
        <f t="shared" si="11"/>
        <v>111</v>
      </c>
      <c r="R35" s="708" t="s">
        <v>14</v>
      </c>
      <c r="S35" s="709">
        <f t="shared" si="12"/>
        <v>100</v>
      </c>
      <c r="T35" s="708" t="s">
        <v>14</v>
      </c>
      <c r="U35" s="709">
        <f t="shared" si="13"/>
        <v>100</v>
      </c>
      <c r="V35" s="708" t="s">
        <v>14</v>
      </c>
      <c r="W35" s="709">
        <f t="shared" si="14"/>
        <v>100</v>
      </c>
      <c r="X35" s="710"/>
      <c r="Y35" s="383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38"/>
      <c r="Q36" s="1352">
        <f t="shared" si="11"/>
        <v>111</v>
      </c>
      <c r="R36" s="705" t="s">
        <v>14</v>
      </c>
      <c r="S36" s="706">
        <f t="shared" si="12"/>
        <v>100</v>
      </c>
      <c r="T36" s="705" t="s">
        <v>14</v>
      </c>
      <c r="U36" s="706">
        <f t="shared" si="13"/>
        <v>100</v>
      </c>
      <c r="V36" s="705" t="s">
        <v>14</v>
      </c>
      <c r="W36" s="706">
        <f t="shared" si="14"/>
        <v>100</v>
      </c>
      <c r="X36" s="1355"/>
      <c r="Y36" s="3838"/>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1"/>
      <c r="M37" s="2722"/>
      <c r="N37" s="2713"/>
      <c r="O37" s="2722"/>
      <c r="P37" s="3840" t="str">
        <f>A37</f>
        <v>成交单价</v>
      </c>
      <c r="Q37" s="3840"/>
      <c r="R37" s="3841">
        <f>E37</f>
        <v>0</v>
      </c>
      <c r="S37" s="3841"/>
      <c r="T37" s="3841">
        <f>G37</f>
        <v>0</v>
      </c>
      <c r="U37" s="3841"/>
      <c r="V37" s="3841">
        <f>I37</f>
        <v>0</v>
      </c>
      <c r="W37" s="384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840" t="str">
        <f>A38</f>
        <v>比较价值（元/平方米）</v>
      </c>
      <c r="Q38" s="3840"/>
      <c r="R38" s="3841" t="e">
        <f>IF(F1="售价",ROUND(PRODUCT(R37,AA7:AA36),0),ROUND(PRODUCT(R37,AA7:AA36),1))</f>
        <v>#DIV/0!</v>
      </c>
      <c r="S38" s="3841"/>
      <c r="T38" s="3841" t="e">
        <f>IF(F1="售价",ROUND(PRODUCT(T37,AB7:AB36),0),ROUND(PRODUCT(T37,AB7:AB36),1))</f>
        <v>#DIV/0!</v>
      </c>
      <c r="U38" s="3841"/>
      <c r="V38" s="3841" t="e">
        <f>IF(F1="售价",ROUND(PRODUCT(V37,AC7:AC36),0),ROUND(PRODUCT(V37,AC7:AC36),1))</f>
        <v>#DIV/0!</v>
      </c>
      <c r="W38" s="384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842" t="str">
        <f>A39</f>
        <v>估价对象XX用房的比较价值（楼面单价，元/平方米）</v>
      </c>
      <c r="Q39" s="3843"/>
      <c r="R39" s="3889" t="e">
        <f>IF(F1="售价",ROUND(IF(D38="简单平均",AVERAGE(R38:W38),R38*F38+T38*H38+V38*J38),0),ROUND(IF(D38="简单平均",AVERAGE(R38:V38),R38*F38+T38*H38+V38*J38),1))</f>
        <v>#DIV/0!</v>
      </c>
      <c r="S39" s="3889"/>
      <c r="T39" s="3889"/>
      <c r="U39" s="3889"/>
      <c r="V39" s="3889"/>
      <c r="W39" s="3889"/>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受贵公司委托，我公司对北京市石景山区玉泉西里一区2号楼1层107房地产市场价值进行了预评估。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估价对象为北京市石景山区玉泉西里一区2号楼1层107房地产，为北京海德置业集团有限公司所有。根据《国有土地使用证》[]，估价对象（分摊）出让国有建设用地使用权面积为0平方米，建筑面积为642平方米。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玉泉西里一区2号楼1层107房地产,属北京海德置业集团有限公司开发建设的居住项目，该项目尚在开发建设中。根据《国有土地使用证》[]，估价对象（分摊）出让国有建设用地使用权面积为0平方米，规划建筑面积为642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818" t="s">
        <v>1770</v>
      </c>
      <c r="D4" s="3819"/>
      <c r="E4" s="3820" t="s">
        <v>1771</v>
      </c>
      <c r="F4" s="3821"/>
      <c r="G4" s="3818" t="s">
        <v>1772</v>
      </c>
      <c r="H4" s="3819"/>
      <c r="I4" s="3818" t="s">
        <v>1773</v>
      </c>
      <c r="J4" s="3819"/>
      <c r="K4" s="559" t="s">
        <v>1774</v>
      </c>
      <c r="L4" s="2712"/>
      <c r="M4" s="2713"/>
      <c r="N4" s="2713"/>
      <c r="O4" s="2713"/>
      <c r="P4" s="3822" t="s">
        <v>1775</v>
      </c>
      <c r="Q4" s="3823"/>
      <c r="R4" s="3805" t="s">
        <v>1771</v>
      </c>
      <c r="S4" s="3806"/>
      <c r="T4" s="3805" t="s">
        <v>1772</v>
      </c>
      <c r="U4" s="3806"/>
      <c r="V4" s="3802" t="s">
        <v>1773</v>
      </c>
      <c r="W4" s="3802"/>
      <c r="X4" s="1355"/>
      <c r="Y4" s="3805" t="s">
        <v>1775</v>
      </c>
      <c r="Z4" s="3806"/>
      <c r="AA4" s="3799" t="s">
        <v>1771</v>
      </c>
      <c r="AB4" s="3800" t="s">
        <v>1772</v>
      </c>
      <c r="AC4" s="3799" t="s">
        <v>1773</v>
      </c>
    </row>
    <row r="5" spans="1:29" ht="15">
      <c r="A5" s="358"/>
      <c r="B5" s="359"/>
      <c r="C5" s="3872" t="s">
        <v>1673</v>
      </c>
      <c r="D5" s="3812"/>
      <c r="E5" s="3871" t="s">
        <v>1674</v>
      </c>
      <c r="F5" s="3810"/>
      <c r="G5" s="3872" t="s">
        <v>1675</v>
      </c>
      <c r="H5" s="3812"/>
      <c r="I5" s="3872" t="s">
        <v>1676</v>
      </c>
      <c r="J5" s="3812"/>
      <c r="K5" s="559"/>
      <c r="L5" s="2712"/>
      <c r="M5" s="2713"/>
      <c r="N5" s="2713"/>
      <c r="O5" s="2713"/>
      <c r="P5" s="3824"/>
      <c r="Q5" s="3825"/>
      <c r="R5" s="3807"/>
      <c r="S5" s="3808"/>
      <c r="T5" s="3807"/>
      <c r="U5" s="3808"/>
      <c r="V5" s="3802"/>
      <c r="W5" s="3802"/>
      <c r="X5" s="1355"/>
      <c r="Y5" s="3807"/>
      <c r="Z5" s="3808"/>
      <c r="AA5" s="3800"/>
      <c r="AB5" s="3800"/>
      <c r="AC5" s="3800"/>
    </row>
    <row r="6" spans="1:29" ht="15.75" thickBot="1">
      <c r="A6" s="360"/>
      <c r="B6" s="361"/>
      <c r="C6" s="3813" t="s">
        <v>1677</v>
      </c>
      <c r="D6" s="3814"/>
      <c r="E6" s="3815" t="s">
        <v>1677</v>
      </c>
      <c r="F6" s="3816"/>
      <c r="G6" s="3813" t="s">
        <v>1677</v>
      </c>
      <c r="H6" s="3814"/>
      <c r="I6" s="3813" t="s">
        <v>1677</v>
      </c>
      <c r="J6" s="3814"/>
      <c r="K6" s="559" t="s">
        <v>1678</v>
      </c>
      <c r="L6" s="2712"/>
      <c r="M6" s="2713"/>
      <c r="N6" s="2713"/>
      <c r="O6" s="2713"/>
      <c r="P6" s="3826"/>
      <c r="Q6" s="3827"/>
      <c r="R6" s="3807"/>
      <c r="S6" s="3808"/>
      <c r="T6" s="3828"/>
      <c r="U6" s="3829"/>
      <c r="V6" s="3802"/>
      <c r="W6" s="3802"/>
      <c r="X6" s="1355"/>
      <c r="Y6" s="3828"/>
      <c r="Z6" s="3829"/>
      <c r="AA6" s="3801"/>
      <c r="AB6" s="3801"/>
      <c r="AC6" s="3801"/>
    </row>
    <row r="7" spans="1:29" s="108" customFormat="1" ht="15.75" thickBot="1">
      <c r="A7" s="362" t="s">
        <v>1679</v>
      </c>
      <c r="B7" s="363"/>
      <c r="C7" s="364">
        <f>'数据-取费表'!B2</f>
        <v>45426</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803" t="s">
        <v>1680</v>
      </c>
      <c r="Q7" s="3830"/>
      <c r="R7" s="701" t="s">
        <v>14</v>
      </c>
      <c r="S7" s="702">
        <f t="shared" ref="S7:S14" si="0">F7</f>
        <v>0</v>
      </c>
      <c r="T7" s="701" t="s">
        <v>14</v>
      </c>
      <c r="U7" s="702">
        <f t="shared" ref="U7:U14" si="1">H7</f>
        <v>0</v>
      </c>
      <c r="V7" s="701" t="s">
        <v>14</v>
      </c>
      <c r="W7" s="702">
        <f t="shared" ref="W7:W14" si="2">J7</f>
        <v>0</v>
      </c>
      <c r="X7" s="703"/>
      <c r="Y7" s="3803" t="s">
        <v>1680</v>
      </c>
      <c r="Z7" s="380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03" t="s">
        <v>1683</v>
      </c>
      <c r="Q8" s="3804"/>
      <c r="R8" s="701" t="s">
        <v>14</v>
      </c>
      <c r="S8" s="702">
        <f t="shared" si="0"/>
        <v>100</v>
      </c>
      <c r="T8" s="701" t="s">
        <v>14</v>
      </c>
      <c r="U8" s="702">
        <f t="shared" si="1"/>
        <v>100</v>
      </c>
      <c r="V8" s="701" t="s">
        <v>14</v>
      </c>
      <c r="W8" s="702">
        <f t="shared" si="2"/>
        <v>100</v>
      </c>
      <c r="X8" s="703"/>
      <c r="Y8" s="3803" t="s">
        <v>1683</v>
      </c>
      <c r="Z8" s="380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40" t="s">
        <v>1686</v>
      </c>
      <c r="Q9" s="1343" t="str">
        <f t="shared" ref="Q9:Q14" si="6">B9</f>
        <v>用途</v>
      </c>
      <c r="R9" s="701" t="s">
        <v>14</v>
      </c>
      <c r="S9" s="702">
        <f t="shared" si="0"/>
        <v>100</v>
      </c>
      <c r="T9" s="701" t="s">
        <v>14</v>
      </c>
      <c r="U9" s="702">
        <f t="shared" si="1"/>
        <v>100</v>
      </c>
      <c r="V9" s="701" t="s">
        <v>14</v>
      </c>
      <c r="W9" s="702">
        <f t="shared" si="2"/>
        <v>100</v>
      </c>
      <c r="X9" s="703"/>
      <c r="Y9" s="3772"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40"/>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40"/>
      <c r="Q11" s="1343">
        <f t="shared" si="6"/>
        <v>111</v>
      </c>
      <c r="R11" s="701" t="s">
        <v>14</v>
      </c>
      <c r="S11" s="702">
        <f t="shared" si="0"/>
        <v>100</v>
      </c>
      <c r="T11" s="701" t="s">
        <v>14</v>
      </c>
      <c r="U11" s="702">
        <f t="shared" si="1"/>
        <v>100</v>
      </c>
      <c r="V11" s="701" t="s">
        <v>14</v>
      </c>
      <c r="W11" s="702">
        <f t="shared" si="2"/>
        <v>100</v>
      </c>
      <c r="X11" s="703"/>
      <c r="Y11" s="377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40"/>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840"/>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33" t="s">
        <v>1691</v>
      </c>
      <c r="Q14" s="1352" t="str">
        <f t="shared" si="6"/>
        <v>交通便捷度</v>
      </c>
      <c r="R14" s="705" t="s">
        <v>14</v>
      </c>
      <c r="S14" s="706">
        <f t="shared" si="0"/>
        <v>100</v>
      </c>
      <c r="T14" s="705" t="s">
        <v>14</v>
      </c>
      <c r="U14" s="706">
        <f t="shared" si="1"/>
        <v>100</v>
      </c>
      <c r="V14" s="705" t="s">
        <v>14</v>
      </c>
      <c r="W14" s="706">
        <f t="shared" si="2"/>
        <v>100</v>
      </c>
      <c r="X14" s="1355"/>
      <c r="Y14" s="383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34"/>
      <c r="Q15" s="1352"/>
      <c r="R15" s="705"/>
      <c r="S15" s="706"/>
      <c r="T15" s="705"/>
      <c r="U15" s="706"/>
      <c r="V15" s="705"/>
      <c r="W15" s="706"/>
      <c r="X15" s="1355"/>
      <c r="Y15" s="3834"/>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34"/>
      <c r="Q16" s="1352" t="str">
        <f>B16</f>
        <v>公共配套设施</v>
      </c>
      <c r="R16" s="705" t="s">
        <v>14</v>
      </c>
      <c r="S16" s="706">
        <f>F16</f>
        <v>100</v>
      </c>
      <c r="T16" s="705" t="s">
        <v>14</v>
      </c>
      <c r="U16" s="706">
        <f>H16</f>
        <v>100</v>
      </c>
      <c r="V16" s="705" t="s">
        <v>14</v>
      </c>
      <c r="W16" s="706">
        <f>J16</f>
        <v>100</v>
      </c>
      <c r="X16" s="1355"/>
      <c r="Y16" s="383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34"/>
      <c r="Q17" s="1352"/>
      <c r="R17" s="705"/>
      <c r="S17" s="706"/>
      <c r="T17" s="705"/>
      <c r="U17" s="706"/>
      <c r="V17" s="705"/>
      <c r="W17" s="706"/>
      <c r="X17" s="1355"/>
      <c r="Y17" s="3834"/>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34"/>
      <c r="Q18" s="1352" t="str">
        <f>B18</f>
        <v>基础设施水平</v>
      </c>
      <c r="R18" s="705" t="s">
        <v>14</v>
      </c>
      <c r="S18" s="706">
        <f>F18</f>
        <v>100</v>
      </c>
      <c r="T18" s="705" t="s">
        <v>14</v>
      </c>
      <c r="U18" s="706">
        <f>H18</f>
        <v>100</v>
      </c>
      <c r="V18" s="705" t="s">
        <v>14</v>
      </c>
      <c r="W18" s="706">
        <f>J18</f>
        <v>100</v>
      </c>
      <c r="X18" s="1355"/>
      <c r="Y18" s="383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34"/>
      <c r="Q19" s="1352"/>
      <c r="R19" s="705"/>
      <c r="S19" s="706"/>
      <c r="T19" s="705"/>
      <c r="U19" s="706"/>
      <c r="V19" s="705"/>
      <c r="W19" s="706"/>
      <c r="X19" s="1355"/>
      <c r="Y19" s="3834"/>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34"/>
      <c r="Q20" s="1352" t="str">
        <f>B20</f>
        <v>自然及人文环境</v>
      </c>
      <c r="R20" s="705" t="s">
        <v>14</v>
      </c>
      <c r="S20" s="706">
        <f>F20</f>
        <v>100</v>
      </c>
      <c r="T20" s="705" t="s">
        <v>14</v>
      </c>
      <c r="U20" s="706">
        <f>H20</f>
        <v>100</v>
      </c>
      <c r="V20" s="705" t="s">
        <v>14</v>
      </c>
      <c r="W20" s="706">
        <f>J20</f>
        <v>100</v>
      </c>
      <c r="X20" s="1355"/>
      <c r="Y20" s="383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34"/>
      <c r="Q21" s="1352"/>
      <c r="R21" s="705"/>
      <c r="S21" s="706"/>
      <c r="T21" s="705"/>
      <c r="U21" s="706"/>
      <c r="V21" s="705"/>
      <c r="W21" s="706"/>
      <c r="X21" s="1355"/>
      <c r="Y21" s="383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34"/>
      <c r="Q22" s="1352" t="str">
        <f>B22</f>
        <v>楼层</v>
      </c>
      <c r="R22" s="705" t="s">
        <v>14</v>
      </c>
      <c r="S22" s="706">
        <f>F22</f>
        <v>100</v>
      </c>
      <c r="T22" s="705" t="s">
        <v>14</v>
      </c>
      <c r="U22" s="706">
        <f>H22</f>
        <v>100</v>
      </c>
      <c r="V22" s="705" t="s">
        <v>14</v>
      </c>
      <c r="W22" s="706">
        <f>J22</f>
        <v>100</v>
      </c>
      <c r="X22" s="1355"/>
      <c r="Y22" s="383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34"/>
      <c r="Q23" s="1352">
        <f>B23</f>
        <v>111</v>
      </c>
      <c r="R23" s="705" t="s">
        <v>14</v>
      </c>
      <c r="S23" s="706">
        <f>F23</f>
        <v>100</v>
      </c>
      <c r="T23" s="705" t="s">
        <v>14</v>
      </c>
      <c r="U23" s="706">
        <f>H23</f>
        <v>100</v>
      </c>
      <c r="V23" s="705" t="s">
        <v>14</v>
      </c>
      <c r="W23" s="706">
        <f>J23</f>
        <v>100</v>
      </c>
      <c r="X23" s="1355"/>
      <c r="Y23" s="383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34"/>
      <c r="Q24" s="1352">
        <f t="shared" ref="Q24:Q34" si="11">B24</f>
        <v>111</v>
      </c>
      <c r="R24" s="705" t="s">
        <v>14</v>
      </c>
      <c r="S24" s="706">
        <f>F24</f>
        <v>100</v>
      </c>
      <c r="T24" s="705" t="s">
        <v>14</v>
      </c>
      <c r="U24" s="706">
        <f>H24</f>
        <v>100</v>
      </c>
      <c r="V24" s="705" t="s">
        <v>14</v>
      </c>
      <c r="W24" s="706">
        <f>J24</f>
        <v>100</v>
      </c>
      <c r="X24" s="1355"/>
      <c r="Y24" s="383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834"/>
      <c r="Q25" s="1343">
        <f t="shared" si="11"/>
        <v>111</v>
      </c>
      <c r="R25" s="701" t="s">
        <v>14</v>
      </c>
      <c r="S25" s="702">
        <f>F25</f>
        <v>100</v>
      </c>
      <c r="T25" s="701" t="s">
        <v>14</v>
      </c>
      <c r="U25" s="702">
        <f>H25</f>
        <v>100</v>
      </c>
      <c r="V25" s="701" t="s">
        <v>14</v>
      </c>
      <c r="W25" s="702">
        <f>J25</f>
        <v>100</v>
      </c>
      <c r="X25" s="703"/>
      <c r="Y25" s="383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88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38"/>
      <c r="Q27" s="707" t="str">
        <f t="shared" si="11"/>
        <v>成新率</v>
      </c>
      <c r="R27" s="708" t="s">
        <v>14</v>
      </c>
      <c r="S27" s="709" t="e">
        <f t="shared" si="12"/>
        <v>#N/A</v>
      </c>
      <c r="T27" s="708" t="s">
        <v>14</v>
      </c>
      <c r="U27" s="709" t="e">
        <f t="shared" si="13"/>
        <v>#N/A</v>
      </c>
      <c r="V27" s="708" t="s">
        <v>14</v>
      </c>
      <c r="W27" s="709" t="e">
        <f t="shared" si="14"/>
        <v>#N/A</v>
      </c>
      <c r="X27" s="710"/>
      <c r="Y27" s="383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38"/>
      <c r="Q28" s="1352" t="str">
        <f t="shared" si="11"/>
        <v>物业等级</v>
      </c>
      <c r="R28" s="705" t="s">
        <v>14</v>
      </c>
      <c r="S28" s="706">
        <f t="shared" si="12"/>
        <v>100</v>
      </c>
      <c r="T28" s="705" t="s">
        <v>14</v>
      </c>
      <c r="U28" s="706">
        <f t="shared" si="13"/>
        <v>100</v>
      </c>
      <c r="V28" s="705" t="s">
        <v>14</v>
      </c>
      <c r="W28" s="706">
        <f t="shared" si="14"/>
        <v>100</v>
      </c>
      <c r="X28" s="1355"/>
      <c r="Y28" s="383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38"/>
      <c r="Q29" s="1352" t="str">
        <f t="shared" si="11"/>
        <v>有无电梯</v>
      </c>
      <c r="R29" s="705" t="s">
        <v>14</v>
      </c>
      <c r="S29" s="706">
        <f t="shared" si="12"/>
        <v>100</v>
      </c>
      <c r="T29" s="705" t="s">
        <v>14</v>
      </c>
      <c r="U29" s="706">
        <f t="shared" si="13"/>
        <v>100</v>
      </c>
      <c r="V29" s="705" t="s">
        <v>14</v>
      </c>
      <c r="W29" s="706">
        <f t="shared" si="14"/>
        <v>100</v>
      </c>
      <c r="X29" s="1355"/>
      <c r="Y29" s="383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38"/>
      <c r="Q30" s="1352" t="str">
        <f t="shared" si="11"/>
        <v>建筑面积</v>
      </c>
      <c r="R30" s="705" t="s">
        <v>14</v>
      </c>
      <c r="S30" s="706" t="e">
        <f t="shared" si="12"/>
        <v>#N/A</v>
      </c>
      <c r="T30" s="705" t="s">
        <v>14</v>
      </c>
      <c r="U30" s="706" t="e">
        <f t="shared" si="13"/>
        <v>#N/A</v>
      </c>
      <c r="V30" s="705" t="s">
        <v>14</v>
      </c>
      <c r="W30" s="706" t="e">
        <f t="shared" si="14"/>
        <v>#N/A</v>
      </c>
      <c r="X30" s="1355"/>
      <c r="Y30" s="383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38"/>
      <c r="Q31" s="1343" t="str">
        <f t="shared" si="11"/>
        <v>是否封闭</v>
      </c>
      <c r="R31" s="701" t="s">
        <v>14</v>
      </c>
      <c r="S31" s="702">
        <f t="shared" si="12"/>
        <v>100</v>
      </c>
      <c r="T31" s="701" t="s">
        <v>14</v>
      </c>
      <c r="U31" s="702">
        <f t="shared" si="13"/>
        <v>100</v>
      </c>
      <c r="V31" s="701" t="s">
        <v>14</v>
      </c>
      <c r="W31" s="702">
        <f t="shared" si="14"/>
        <v>100</v>
      </c>
      <c r="X31" s="703"/>
      <c r="Y31" s="383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38" t="s">
        <v>1696</v>
      </c>
      <c r="Q32" s="1352">
        <f t="shared" si="11"/>
        <v>111</v>
      </c>
      <c r="R32" s="705" t="s">
        <v>14</v>
      </c>
      <c r="S32" s="706">
        <f t="shared" si="12"/>
        <v>100</v>
      </c>
      <c r="T32" s="705" t="s">
        <v>14</v>
      </c>
      <c r="U32" s="706">
        <f t="shared" si="13"/>
        <v>100</v>
      </c>
      <c r="V32" s="705" t="s">
        <v>14</v>
      </c>
      <c r="W32" s="706">
        <f t="shared" si="14"/>
        <v>100</v>
      </c>
      <c r="X32" s="1355"/>
      <c r="Y32" s="383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38"/>
      <c r="Q33" s="1352">
        <f t="shared" si="11"/>
        <v>111</v>
      </c>
      <c r="R33" s="705" t="s">
        <v>14</v>
      </c>
      <c r="S33" s="706">
        <f t="shared" si="12"/>
        <v>100</v>
      </c>
      <c r="T33" s="705" t="s">
        <v>14</v>
      </c>
      <c r="U33" s="706">
        <f t="shared" si="13"/>
        <v>100</v>
      </c>
      <c r="V33" s="705" t="s">
        <v>14</v>
      </c>
      <c r="W33" s="706">
        <f t="shared" si="14"/>
        <v>100</v>
      </c>
      <c r="X33" s="1355"/>
      <c r="Y33" s="383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838"/>
      <c r="Q34" s="1352">
        <f t="shared" si="11"/>
        <v>111</v>
      </c>
      <c r="R34" s="705" t="s">
        <v>14</v>
      </c>
      <c r="S34" s="706">
        <f t="shared" si="12"/>
        <v>100</v>
      </c>
      <c r="T34" s="705" t="s">
        <v>14</v>
      </c>
      <c r="U34" s="706">
        <f t="shared" si="13"/>
        <v>100</v>
      </c>
      <c r="V34" s="705" t="s">
        <v>14</v>
      </c>
      <c r="W34" s="706">
        <f t="shared" si="14"/>
        <v>100</v>
      </c>
      <c r="X34" s="1355"/>
      <c r="Y34" s="383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840" t="str">
        <f>A35</f>
        <v>成交单价（元/平方米）</v>
      </c>
      <c r="Q35" s="3840"/>
      <c r="R35" s="3841">
        <f>E35</f>
        <v>0</v>
      </c>
      <c r="S35" s="3841"/>
      <c r="T35" s="3841">
        <f>G35</f>
        <v>0</v>
      </c>
      <c r="U35" s="3841"/>
      <c r="V35" s="3841">
        <f>I35</f>
        <v>0</v>
      </c>
      <c r="W35" s="384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840" t="str">
        <f>A36</f>
        <v>比较价值（元/平方米）</v>
      </c>
      <c r="Q36" s="3840"/>
      <c r="R36" s="3841" t="e">
        <f>IF(F1="售价",ROUND(PRODUCT(R35,AA7:AA34),0),ROUND(PRODUCT(R35,AA7:AA34),1))</f>
        <v>#DIV/0!</v>
      </c>
      <c r="S36" s="3841"/>
      <c r="T36" s="3841" t="e">
        <f>IF(F1="售价",ROUND(PRODUCT(T35,AB7:AB34),0),ROUND(PRODUCT(T35,AB7:AB34),1))</f>
        <v>#DIV/0!</v>
      </c>
      <c r="U36" s="3841"/>
      <c r="V36" s="3841" t="e">
        <f>IF(F1="售价",ROUND(PRODUCT(V35,AC7:AC34),0),ROUND(PRODUCT(V35,AC7:AC34),1))</f>
        <v>#DIV/0!</v>
      </c>
      <c r="W36" s="384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842" t="str">
        <f>A37</f>
        <v>估价对象XX用房的比较价值（楼面单价，元/平方米）</v>
      </c>
      <c r="Q37" s="3843"/>
      <c r="R37" s="3889" t="e">
        <f>IF(F1="售价",ROUND(IF(D36="简单平均",AVERAGE(R36:W36),R36*F36+T36*H36+V36*J36),0),ROUND(IF(D36="简单平均",AVERAGE(R36:V36),R36*F36+T36*H36+V36*J36),1))</f>
        <v>#DIV/0!</v>
      </c>
      <c r="S37" s="3889"/>
      <c r="T37" s="3889"/>
      <c r="U37" s="3889"/>
      <c r="V37" s="3889"/>
      <c r="W37" s="3889"/>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818" t="s">
        <v>1770</v>
      </c>
      <c r="D4" s="3819"/>
      <c r="E4" s="3820" t="s">
        <v>1771</v>
      </c>
      <c r="F4" s="3821"/>
      <c r="G4" s="3818" t="s">
        <v>1772</v>
      </c>
      <c r="H4" s="3819"/>
      <c r="I4" s="3818" t="s">
        <v>1773</v>
      </c>
      <c r="J4" s="3819"/>
      <c r="K4" s="559" t="s">
        <v>1774</v>
      </c>
      <c r="L4" s="2712"/>
      <c r="M4" s="2713"/>
      <c r="N4" s="2713"/>
      <c r="O4" s="2713"/>
      <c r="P4" s="3822" t="s">
        <v>1775</v>
      </c>
      <c r="Q4" s="3823"/>
      <c r="R4" s="3805" t="s">
        <v>1771</v>
      </c>
      <c r="S4" s="3806"/>
      <c r="T4" s="3805" t="s">
        <v>1772</v>
      </c>
      <c r="U4" s="3806"/>
      <c r="V4" s="3802" t="s">
        <v>1773</v>
      </c>
      <c r="W4" s="3802"/>
      <c r="X4" s="1355"/>
      <c r="Y4" s="3805" t="s">
        <v>1775</v>
      </c>
      <c r="Z4" s="3806"/>
      <c r="AA4" s="3799" t="s">
        <v>1771</v>
      </c>
      <c r="AB4" s="3800" t="s">
        <v>1772</v>
      </c>
      <c r="AC4" s="3799" t="s">
        <v>1773</v>
      </c>
    </row>
    <row r="5" spans="1:30" ht="15">
      <c r="A5" s="358"/>
      <c r="B5" s="359"/>
      <c r="C5" s="3872" t="s">
        <v>1673</v>
      </c>
      <c r="D5" s="3812"/>
      <c r="E5" s="3871" t="s">
        <v>1674</v>
      </c>
      <c r="F5" s="3810"/>
      <c r="G5" s="3872" t="s">
        <v>1675</v>
      </c>
      <c r="H5" s="3812"/>
      <c r="I5" s="3872" t="s">
        <v>1676</v>
      </c>
      <c r="J5" s="3812"/>
      <c r="K5" s="559"/>
      <c r="L5" s="2712"/>
      <c r="M5" s="2713"/>
      <c r="N5" s="2713"/>
      <c r="O5" s="2713"/>
      <c r="P5" s="3824"/>
      <c r="Q5" s="3825"/>
      <c r="R5" s="3807"/>
      <c r="S5" s="3808"/>
      <c r="T5" s="3807"/>
      <c r="U5" s="3808"/>
      <c r="V5" s="3802"/>
      <c r="W5" s="3802"/>
      <c r="X5" s="1355"/>
      <c r="Y5" s="3807"/>
      <c r="Z5" s="3808"/>
      <c r="AA5" s="3800"/>
      <c r="AB5" s="3800"/>
      <c r="AC5" s="3800"/>
    </row>
    <row r="6" spans="1:30" ht="15.75" thickBot="1">
      <c r="A6" s="360"/>
      <c r="B6" s="361"/>
      <c r="C6" s="3813" t="s">
        <v>1677</v>
      </c>
      <c r="D6" s="3814"/>
      <c r="E6" s="3815" t="s">
        <v>1677</v>
      </c>
      <c r="F6" s="3816"/>
      <c r="G6" s="3813" t="s">
        <v>1677</v>
      </c>
      <c r="H6" s="3814"/>
      <c r="I6" s="3813" t="s">
        <v>1677</v>
      </c>
      <c r="J6" s="3814"/>
      <c r="K6" s="559" t="s">
        <v>1678</v>
      </c>
      <c r="L6" s="2712"/>
      <c r="M6" s="2713"/>
      <c r="N6" s="2713"/>
      <c r="O6" s="2713"/>
      <c r="P6" s="3826"/>
      <c r="Q6" s="3827"/>
      <c r="R6" s="3807"/>
      <c r="S6" s="3808"/>
      <c r="T6" s="3828"/>
      <c r="U6" s="3829"/>
      <c r="V6" s="3802"/>
      <c r="W6" s="3802"/>
      <c r="X6" s="1355"/>
      <c r="Y6" s="3828"/>
      <c r="Z6" s="3829"/>
      <c r="AA6" s="3801"/>
      <c r="AB6" s="3801"/>
      <c r="AC6" s="3801"/>
    </row>
    <row r="7" spans="1:30" s="108" customFormat="1" ht="15.75" thickBot="1">
      <c r="A7" s="362" t="s">
        <v>1679</v>
      </c>
      <c r="B7" s="363"/>
      <c r="C7" s="364">
        <f>'数据-取费表'!B2</f>
        <v>45426</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803" t="s">
        <v>1680</v>
      </c>
      <c r="Q7" s="3830"/>
      <c r="R7" s="701" t="s">
        <v>14</v>
      </c>
      <c r="S7" s="702">
        <f t="shared" ref="S7:S15" si="0">F7</f>
        <v>0</v>
      </c>
      <c r="T7" s="701" t="s">
        <v>14</v>
      </c>
      <c r="U7" s="702">
        <f t="shared" ref="U7:U15" si="1">H7</f>
        <v>0</v>
      </c>
      <c r="V7" s="701" t="s">
        <v>14</v>
      </c>
      <c r="W7" s="702">
        <f t="shared" ref="W7:W15" si="2">J7</f>
        <v>0</v>
      </c>
      <c r="X7" s="703"/>
      <c r="Y7" s="3803" t="s">
        <v>1680</v>
      </c>
      <c r="Z7" s="380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03" t="s">
        <v>1683</v>
      </c>
      <c r="Q8" s="3804"/>
      <c r="R8" s="701" t="s">
        <v>14</v>
      </c>
      <c r="S8" s="702">
        <f t="shared" si="0"/>
        <v>0</v>
      </c>
      <c r="T8" s="701" t="s">
        <v>14</v>
      </c>
      <c r="U8" s="702">
        <f t="shared" si="1"/>
        <v>0</v>
      </c>
      <c r="V8" s="701" t="s">
        <v>14</v>
      </c>
      <c r="W8" s="702">
        <f t="shared" si="2"/>
        <v>0</v>
      </c>
      <c r="X8" s="703"/>
      <c r="Y8" s="3803" t="s">
        <v>1683</v>
      </c>
      <c r="Z8" s="380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840"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40"/>
      <c r="Q10" s="1343" t="str">
        <f t="shared" si="6"/>
        <v>土地使用年限（年）</v>
      </c>
      <c r="R10" s="701" t="s">
        <v>14</v>
      </c>
      <c r="S10" s="702" t="e">
        <f t="shared" si="0"/>
        <v>#DIV/0!</v>
      </c>
      <c r="T10" s="701" t="s">
        <v>14</v>
      </c>
      <c r="U10" s="702" t="e">
        <f t="shared" si="1"/>
        <v>#DIV/0!</v>
      </c>
      <c r="V10" s="701" t="s">
        <v>14</v>
      </c>
      <c r="W10" s="702" t="e">
        <f t="shared" si="2"/>
        <v>#DIV/0!</v>
      </c>
      <c r="X10" s="703"/>
      <c r="Y10" s="377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40"/>
      <c r="Q11" s="1343" t="str">
        <f t="shared" si="6"/>
        <v>容积率</v>
      </c>
      <c r="R11" s="701" t="s">
        <v>14</v>
      </c>
      <c r="S11" s="702" t="e">
        <f t="shared" si="0"/>
        <v>#N/A</v>
      </c>
      <c r="T11" s="701" t="s">
        <v>14</v>
      </c>
      <c r="U11" s="702" t="e">
        <f t="shared" si="1"/>
        <v>#N/A</v>
      </c>
      <c r="V11" s="701" t="s">
        <v>14</v>
      </c>
      <c r="W11" s="702" t="e">
        <f t="shared" si="2"/>
        <v>#N/A</v>
      </c>
      <c r="X11" s="703"/>
      <c r="Y11" s="377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40"/>
      <c r="Q12" s="1343" t="str">
        <f t="shared" si="6"/>
        <v>配建</v>
      </c>
      <c r="R12" s="701" t="s">
        <v>14</v>
      </c>
      <c r="S12" s="702">
        <f t="shared" si="0"/>
        <v>100</v>
      </c>
      <c r="T12" s="701" t="s">
        <v>14</v>
      </c>
      <c r="U12" s="702">
        <f t="shared" si="1"/>
        <v>100</v>
      </c>
      <c r="V12" s="701" t="s">
        <v>14</v>
      </c>
      <c r="W12" s="702">
        <f t="shared" si="2"/>
        <v>100</v>
      </c>
      <c r="X12" s="703"/>
      <c r="Y12" s="377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40"/>
      <c r="Q13" s="1343">
        <f t="shared" si="6"/>
        <v>111</v>
      </c>
      <c r="R13" s="701" t="s">
        <v>14</v>
      </c>
      <c r="S13" s="702">
        <f t="shared" si="0"/>
        <v>100</v>
      </c>
      <c r="T13" s="701" t="s">
        <v>14</v>
      </c>
      <c r="U13" s="702">
        <f t="shared" si="1"/>
        <v>100</v>
      </c>
      <c r="V13" s="701" t="s">
        <v>14</v>
      </c>
      <c r="W13" s="702">
        <f t="shared" si="2"/>
        <v>100</v>
      </c>
      <c r="X13" s="703"/>
      <c r="Y13" s="377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40"/>
      <c r="Q14" s="1343">
        <f t="shared" si="6"/>
        <v>111</v>
      </c>
      <c r="R14" s="701" t="s">
        <v>14</v>
      </c>
      <c r="S14" s="702">
        <f t="shared" si="0"/>
        <v>100</v>
      </c>
      <c r="T14" s="701" t="s">
        <v>14</v>
      </c>
      <c r="U14" s="702">
        <f t="shared" si="1"/>
        <v>100</v>
      </c>
      <c r="V14" s="701" t="s">
        <v>14</v>
      </c>
      <c r="W14" s="702">
        <f t="shared" si="2"/>
        <v>100</v>
      </c>
      <c r="X14" s="703"/>
      <c r="Y14" s="3772"/>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33" t="s">
        <v>1691</v>
      </c>
      <c r="Q15" s="1352" t="str">
        <f t="shared" si="6"/>
        <v>居住社区成熟度</v>
      </c>
      <c r="R15" s="705" t="s">
        <v>14</v>
      </c>
      <c r="S15" s="706">
        <f t="shared" si="0"/>
        <v>100</v>
      </c>
      <c r="T15" s="705" t="s">
        <v>14</v>
      </c>
      <c r="U15" s="706">
        <f t="shared" si="1"/>
        <v>100</v>
      </c>
      <c r="V15" s="705" t="s">
        <v>14</v>
      </c>
      <c r="W15" s="706">
        <f t="shared" si="2"/>
        <v>100</v>
      </c>
      <c r="X15" s="1355"/>
      <c r="Y15" s="383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34"/>
      <c r="Q16" s="1352"/>
      <c r="R16" s="705"/>
      <c r="S16" s="706"/>
      <c r="T16" s="705"/>
      <c r="U16" s="706"/>
      <c r="V16" s="705"/>
      <c r="W16" s="706"/>
      <c r="X16" s="1355"/>
      <c r="Y16" s="3834"/>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34"/>
      <c r="Q17" s="1352" t="str">
        <f>B17</f>
        <v>商业繁华度</v>
      </c>
      <c r="R17" s="705" t="s">
        <v>14</v>
      </c>
      <c r="S17" s="706">
        <f>F17</f>
        <v>100</v>
      </c>
      <c r="T17" s="705" t="s">
        <v>14</v>
      </c>
      <c r="U17" s="706">
        <f>H17</f>
        <v>100</v>
      </c>
      <c r="V17" s="705" t="s">
        <v>14</v>
      </c>
      <c r="W17" s="706">
        <f>J17</f>
        <v>100</v>
      </c>
      <c r="X17" s="1355"/>
      <c r="Y17" s="383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34"/>
      <c r="Q18" s="1352"/>
      <c r="R18" s="705"/>
      <c r="S18" s="706"/>
      <c r="T18" s="705"/>
      <c r="U18" s="706"/>
      <c r="V18" s="705"/>
      <c r="W18" s="706"/>
      <c r="X18" s="1355"/>
      <c r="Y18" s="3834"/>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34"/>
      <c r="Q19" s="1352" t="str">
        <f>B19</f>
        <v>办公集聚程度</v>
      </c>
      <c r="R19" s="705" t="s">
        <v>14</v>
      </c>
      <c r="S19" s="706">
        <f>F19</f>
        <v>100</v>
      </c>
      <c r="T19" s="705" t="s">
        <v>14</v>
      </c>
      <c r="U19" s="706">
        <f>H19</f>
        <v>100</v>
      </c>
      <c r="V19" s="705" t="s">
        <v>14</v>
      </c>
      <c r="W19" s="706">
        <f>J19</f>
        <v>100</v>
      </c>
      <c r="X19" s="1355"/>
      <c r="Y19" s="383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34"/>
      <c r="Q20" s="1352"/>
      <c r="R20" s="705"/>
      <c r="S20" s="706"/>
      <c r="T20" s="705"/>
      <c r="U20" s="706"/>
      <c r="V20" s="705"/>
      <c r="W20" s="706"/>
      <c r="X20" s="1355"/>
      <c r="Y20" s="3834"/>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34"/>
      <c r="Q21" s="1352" t="str">
        <f>B21</f>
        <v>交通便捷度</v>
      </c>
      <c r="R21" s="705" t="s">
        <v>14</v>
      </c>
      <c r="S21" s="706">
        <f>F21</f>
        <v>100</v>
      </c>
      <c r="T21" s="705" t="s">
        <v>14</v>
      </c>
      <c r="U21" s="706">
        <f>H21</f>
        <v>100</v>
      </c>
      <c r="V21" s="705" t="s">
        <v>14</v>
      </c>
      <c r="W21" s="706">
        <f>J21</f>
        <v>100</v>
      </c>
      <c r="X21" s="1355"/>
      <c r="Y21" s="383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34"/>
      <c r="Q22" s="1352"/>
      <c r="R22" s="705"/>
      <c r="S22" s="706"/>
      <c r="T22" s="705"/>
      <c r="U22" s="706"/>
      <c r="V22" s="705"/>
      <c r="W22" s="706"/>
      <c r="X22" s="1355"/>
      <c r="Y22" s="383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34"/>
      <c r="Q23" s="1352" t="str">
        <f t="shared" ref="Q23:Q37" si="8">B23</f>
        <v>区域土地利用方向</v>
      </c>
      <c r="R23" s="705" t="s">
        <v>14</v>
      </c>
      <c r="S23" s="706">
        <f>F23</f>
        <v>100</v>
      </c>
      <c r="T23" s="705" t="s">
        <v>14</v>
      </c>
      <c r="U23" s="706">
        <f>H23</f>
        <v>100</v>
      </c>
      <c r="V23" s="705" t="s">
        <v>14</v>
      </c>
      <c r="W23" s="706">
        <f>J23</f>
        <v>100</v>
      </c>
      <c r="X23" s="1355"/>
      <c r="Y23" s="383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34"/>
      <c r="Q24" s="1352"/>
      <c r="R24" s="705"/>
      <c r="S24" s="706"/>
      <c r="T24" s="705"/>
      <c r="U24" s="706"/>
      <c r="V24" s="705"/>
      <c r="W24" s="706"/>
      <c r="X24" s="1355"/>
      <c r="Y24" s="3834"/>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34"/>
      <c r="Q25" s="1352" t="str">
        <f t="shared" si="8"/>
        <v>自然及人文环境状况</v>
      </c>
      <c r="R25" s="705" t="s">
        <v>14</v>
      </c>
      <c r="S25" s="706">
        <f>F25</f>
        <v>100</v>
      </c>
      <c r="T25" s="705" t="s">
        <v>14</v>
      </c>
      <c r="U25" s="706">
        <f>H25</f>
        <v>100</v>
      </c>
      <c r="V25" s="705" t="s">
        <v>14</v>
      </c>
      <c r="W25" s="706">
        <f>J25</f>
        <v>100</v>
      </c>
      <c r="X25" s="1355"/>
      <c r="Y25" s="383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34"/>
      <c r="Q26" s="1352"/>
      <c r="R26" s="705"/>
      <c r="S26" s="706"/>
      <c r="T26" s="705"/>
      <c r="U26" s="706"/>
      <c r="V26" s="705"/>
      <c r="W26" s="706"/>
      <c r="X26" s="1355"/>
      <c r="Y26" s="3834"/>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34"/>
      <c r="Q27" s="1343" t="str">
        <f t="shared" si="8"/>
        <v>公共配套设施</v>
      </c>
      <c r="R27" s="701" t="s">
        <v>14</v>
      </c>
      <c r="S27" s="702">
        <f>F27</f>
        <v>100</v>
      </c>
      <c r="T27" s="701" t="s">
        <v>14</v>
      </c>
      <c r="U27" s="702">
        <f>H27</f>
        <v>100</v>
      </c>
      <c r="V27" s="701" t="s">
        <v>14</v>
      </c>
      <c r="W27" s="702">
        <f>J27</f>
        <v>100</v>
      </c>
      <c r="X27" s="703"/>
      <c r="Y27" s="383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834"/>
      <c r="Q28" s="1343"/>
      <c r="R28" s="701"/>
      <c r="S28" s="702"/>
      <c r="T28" s="701"/>
      <c r="U28" s="702"/>
      <c r="V28" s="701"/>
      <c r="W28" s="702"/>
      <c r="X28" s="703"/>
      <c r="Y28" s="3834"/>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34"/>
      <c r="Q29" s="1343" t="str">
        <f t="shared" ref="Q29" si="9">B29</f>
        <v>基础设施水平</v>
      </c>
      <c r="R29" s="701" t="s">
        <v>14</v>
      </c>
      <c r="S29" s="702">
        <f>F29</f>
        <v>100</v>
      </c>
      <c r="T29" s="701" t="s">
        <v>14</v>
      </c>
      <c r="U29" s="702">
        <f>H29</f>
        <v>100</v>
      </c>
      <c r="V29" s="701" t="s">
        <v>14</v>
      </c>
      <c r="W29" s="702">
        <f>J29</f>
        <v>100</v>
      </c>
      <c r="X29" s="703"/>
      <c r="Y29" s="383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834"/>
      <c r="Q30" s="1343"/>
      <c r="R30" s="701"/>
      <c r="S30" s="702"/>
      <c r="T30" s="701"/>
      <c r="U30" s="702"/>
      <c r="V30" s="701"/>
      <c r="W30" s="702"/>
      <c r="X30" s="703"/>
      <c r="Y30" s="383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3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3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34"/>
      <c r="Q32" s="1352" t="str">
        <f t="shared" si="8"/>
        <v>毗邻道路的类型与等级</v>
      </c>
      <c r="R32" s="705" t="s">
        <v>14</v>
      </c>
      <c r="S32" s="706">
        <f t="shared" si="10"/>
        <v>100</v>
      </c>
      <c r="T32" s="705" t="s">
        <v>14</v>
      </c>
      <c r="U32" s="706">
        <f t="shared" si="11"/>
        <v>100</v>
      </c>
      <c r="V32" s="705" t="s">
        <v>14</v>
      </c>
      <c r="W32" s="706">
        <f t="shared" si="12"/>
        <v>100</v>
      </c>
      <c r="X32" s="1355"/>
      <c r="Y32" s="383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34"/>
      <c r="Q33" s="1352"/>
      <c r="R33" s="705"/>
      <c r="S33" s="706"/>
      <c r="T33" s="705"/>
      <c r="U33" s="706"/>
      <c r="V33" s="705"/>
      <c r="W33" s="706"/>
      <c r="X33" s="1355"/>
      <c r="Y33" s="383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34"/>
      <c r="Q34" s="1352" t="str">
        <f t="shared" si="8"/>
        <v>土地级别</v>
      </c>
      <c r="R34" s="705" t="s">
        <v>14</v>
      </c>
      <c r="S34" s="706">
        <f t="shared" si="10"/>
        <v>100</v>
      </c>
      <c r="T34" s="705" t="s">
        <v>14</v>
      </c>
      <c r="U34" s="706">
        <f t="shared" si="11"/>
        <v>100</v>
      </c>
      <c r="V34" s="705" t="s">
        <v>14</v>
      </c>
      <c r="W34" s="706">
        <f t="shared" si="12"/>
        <v>100</v>
      </c>
      <c r="X34" s="1355"/>
      <c r="Y34" s="383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34"/>
      <c r="Q35" s="1352">
        <f t="shared" si="8"/>
        <v>111</v>
      </c>
      <c r="R35" s="705" t="s">
        <v>14</v>
      </c>
      <c r="S35" s="706">
        <f t="shared" si="10"/>
        <v>100</v>
      </c>
      <c r="T35" s="705" t="s">
        <v>14</v>
      </c>
      <c r="U35" s="706">
        <f t="shared" si="11"/>
        <v>100</v>
      </c>
      <c r="V35" s="705" t="s">
        <v>14</v>
      </c>
      <c r="W35" s="706">
        <f t="shared" si="12"/>
        <v>100</v>
      </c>
      <c r="X35" s="1355"/>
      <c r="Y35" s="383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8" t="s">
        <v>1696</v>
      </c>
      <c r="Q36" s="1352">
        <f t="shared" si="8"/>
        <v>111</v>
      </c>
      <c r="R36" s="705" t="s">
        <v>14</v>
      </c>
      <c r="S36" s="706">
        <f t="shared" si="10"/>
        <v>100</v>
      </c>
      <c r="T36" s="705" t="s">
        <v>14</v>
      </c>
      <c r="U36" s="706">
        <f t="shared" si="11"/>
        <v>100</v>
      </c>
      <c r="V36" s="705" t="s">
        <v>14</v>
      </c>
      <c r="W36" s="706">
        <f t="shared" si="12"/>
        <v>100</v>
      </c>
      <c r="X36" s="1355"/>
      <c r="Y36" s="383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38"/>
      <c r="Q37" s="1352">
        <f t="shared" si="8"/>
        <v>111</v>
      </c>
      <c r="R37" s="708" t="s">
        <v>14</v>
      </c>
      <c r="S37" s="709">
        <f t="shared" si="10"/>
        <v>100</v>
      </c>
      <c r="T37" s="708" t="s">
        <v>14</v>
      </c>
      <c r="U37" s="709">
        <f t="shared" si="11"/>
        <v>100</v>
      </c>
      <c r="V37" s="708" t="s">
        <v>14</v>
      </c>
      <c r="W37" s="709">
        <f t="shared" si="12"/>
        <v>100</v>
      </c>
      <c r="X37" s="710"/>
      <c r="Y37" s="383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38"/>
      <c r="Q38" s="1352" t="str">
        <f>B38</f>
        <v>宗地面积</v>
      </c>
      <c r="R38" s="705" t="s">
        <v>14</v>
      </c>
      <c r="S38" s="706" t="e">
        <f t="shared" si="10"/>
        <v>#N/A</v>
      </c>
      <c r="T38" s="705" t="s">
        <v>14</v>
      </c>
      <c r="U38" s="706" t="e">
        <f t="shared" si="11"/>
        <v>#N/A</v>
      </c>
      <c r="V38" s="705" t="s">
        <v>14</v>
      </c>
      <c r="W38" s="706" t="e">
        <f t="shared" si="12"/>
        <v>#N/A</v>
      </c>
      <c r="X38" s="1355"/>
      <c r="Y38" s="383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38"/>
      <c r="Q39" s="1352" t="str">
        <f t="shared" ref="Q39:Q45" si="14">B39</f>
        <v>宗地形状</v>
      </c>
      <c r="R39" s="705" t="s">
        <v>14</v>
      </c>
      <c r="S39" s="706">
        <f t="shared" si="10"/>
        <v>100</v>
      </c>
      <c r="T39" s="705" t="s">
        <v>14</v>
      </c>
      <c r="U39" s="706">
        <f t="shared" si="11"/>
        <v>100</v>
      </c>
      <c r="V39" s="705" t="s">
        <v>14</v>
      </c>
      <c r="W39" s="706">
        <f t="shared" si="12"/>
        <v>100</v>
      </c>
      <c r="X39" s="1355"/>
      <c r="Y39" s="383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38"/>
      <c r="Q40" s="1352" t="str">
        <f t="shared" si="14"/>
        <v>临街宽度及深度</v>
      </c>
      <c r="R40" s="705" t="s">
        <v>14</v>
      </c>
      <c r="S40" s="706">
        <f t="shared" si="10"/>
        <v>100</v>
      </c>
      <c r="T40" s="705" t="s">
        <v>14</v>
      </c>
      <c r="U40" s="706">
        <f t="shared" si="11"/>
        <v>100</v>
      </c>
      <c r="V40" s="705" t="s">
        <v>14</v>
      </c>
      <c r="W40" s="706">
        <f t="shared" si="12"/>
        <v>100</v>
      </c>
      <c r="X40" s="1355"/>
      <c r="Y40" s="383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838"/>
      <c r="Q41" s="1352" t="str">
        <f t="shared" si="14"/>
        <v>宗地开发程度</v>
      </c>
      <c r="R41" s="701" t="s">
        <v>14</v>
      </c>
      <c r="S41" s="702">
        <f t="shared" si="10"/>
        <v>100</v>
      </c>
      <c r="T41" s="701" t="s">
        <v>14</v>
      </c>
      <c r="U41" s="702">
        <f t="shared" si="11"/>
        <v>100</v>
      </c>
      <c r="V41" s="701" t="s">
        <v>14</v>
      </c>
      <c r="W41" s="702">
        <f t="shared" si="12"/>
        <v>100</v>
      </c>
      <c r="X41" s="703"/>
      <c r="Y41" s="383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38" t="s">
        <v>1696</v>
      </c>
      <c r="Q42" s="1352" t="str">
        <f t="shared" si="14"/>
        <v>工程地质条件</v>
      </c>
      <c r="R42" s="705" t="s">
        <v>14</v>
      </c>
      <c r="S42" s="706">
        <f t="shared" si="10"/>
        <v>100</v>
      </c>
      <c r="T42" s="705" t="s">
        <v>14</v>
      </c>
      <c r="U42" s="706">
        <f t="shared" si="11"/>
        <v>100</v>
      </c>
      <c r="V42" s="705" t="s">
        <v>14</v>
      </c>
      <c r="W42" s="706">
        <f t="shared" si="12"/>
        <v>100</v>
      </c>
      <c r="X42" s="1355"/>
      <c r="Y42" s="383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38"/>
      <c r="Q43" s="1352">
        <f t="shared" si="14"/>
        <v>111</v>
      </c>
      <c r="R43" s="705" t="s">
        <v>14</v>
      </c>
      <c r="S43" s="706">
        <f t="shared" si="10"/>
        <v>100</v>
      </c>
      <c r="T43" s="705" t="s">
        <v>14</v>
      </c>
      <c r="U43" s="706">
        <f t="shared" si="11"/>
        <v>100</v>
      </c>
      <c r="V43" s="705" t="s">
        <v>14</v>
      </c>
      <c r="W43" s="706">
        <f t="shared" si="12"/>
        <v>100</v>
      </c>
      <c r="X43" s="1355"/>
      <c r="Y43" s="383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38"/>
      <c r="Q44" s="1352">
        <f t="shared" si="14"/>
        <v>111</v>
      </c>
      <c r="R44" s="705" t="s">
        <v>14</v>
      </c>
      <c r="S44" s="706">
        <f t="shared" si="10"/>
        <v>100</v>
      </c>
      <c r="T44" s="705" t="s">
        <v>14</v>
      </c>
      <c r="U44" s="706">
        <f t="shared" si="11"/>
        <v>100</v>
      </c>
      <c r="V44" s="705" t="s">
        <v>14</v>
      </c>
      <c r="W44" s="706">
        <f t="shared" si="12"/>
        <v>100</v>
      </c>
      <c r="X44" s="1355"/>
      <c r="Y44" s="383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38"/>
      <c r="Q45" s="1352">
        <f t="shared" si="14"/>
        <v>111</v>
      </c>
      <c r="R45" s="708" t="s">
        <v>14</v>
      </c>
      <c r="S45" s="709">
        <f t="shared" si="10"/>
        <v>100</v>
      </c>
      <c r="T45" s="708" t="s">
        <v>14</v>
      </c>
      <c r="U45" s="709">
        <f t="shared" si="11"/>
        <v>100</v>
      </c>
      <c r="V45" s="708" t="s">
        <v>14</v>
      </c>
      <c r="W45" s="709">
        <f t="shared" si="12"/>
        <v>100</v>
      </c>
      <c r="X45" s="710"/>
      <c r="Y45" s="383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840" t="str">
        <f>A46</f>
        <v>成交单价</v>
      </c>
      <c r="Q46" s="3840"/>
      <c r="R46" s="3802">
        <f>E46</f>
        <v>0</v>
      </c>
      <c r="S46" s="3802"/>
      <c r="T46" s="3802">
        <f>G46</f>
        <v>0</v>
      </c>
      <c r="U46" s="3802"/>
      <c r="V46" s="3802">
        <f>I46</f>
        <v>0</v>
      </c>
      <c r="W46" s="380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840" t="str">
        <f>A47</f>
        <v>比较价值（元/平方米）</v>
      </c>
      <c r="Q47" s="3840"/>
      <c r="R47" s="3890" t="e">
        <f>ROUND(PRODUCT(R46,AA7:AA45),0)</f>
        <v>#DIV/0!</v>
      </c>
      <c r="S47" s="3890"/>
      <c r="T47" s="3890" t="e">
        <f>ROUND(PRODUCT(T46,AB7:AB45),0)</f>
        <v>#DIV/0!</v>
      </c>
      <c r="U47" s="3890"/>
      <c r="V47" s="3890" t="e">
        <f>ROUND(PRODUCT(V46,AC7:AC45),0)</f>
        <v>#DIV/0!</v>
      </c>
      <c r="W47" s="389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842" t="str">
        <f>A48</f>
        <v>估价对象XX用房的比较价值（楼面单价，元/平方米）</v>
      </c>
      <c r="Q48" s="3843"/>
      <c r="R48" s="3891" t="e">
        <f>ROUND(IF(D47="简单平均",AVERAGE(R47:W47),R47*F47+T47*H47+V47*J47),0)</f>
        <v>#DIV/0!</v>
      </c>
      <c r="S48" s="3891"/>
      <c r="T48" s="3891"/>
      <c r="U48" s="3891"/>
      <c r="V48" s="3891"/>
      <c r="W48" s="3891"/>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818" t="s">
        <v>1887</v>
      </c>
      <c r="H55" s="3892"/>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642</v>
      </c>
      <c r="F56" s="886" t="e">
        <f t="shared" ref="F56:F64" si="15">ROUND(B56*E56/10000,0)</f>
        <v>#DIV/0!</v>
      </c>
      <c r="G56" s="3817"/>
      <c r="H56" s="384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642</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818" t="s">
        <v>1770</v>
      </c>
      <c r="D4" s="3819"/>
      <c r="E4" s="3820" t="s">
        <v>1771</v>
      </c>
      <c r="F4" s="3821"/>
      <c r="G4" s="3818" t="s">
        <v>1772</v>
      </c>
      <c r="H4" s="3819"/>
      <c r="I4" s="3818" t="s">
        <v>1773</v>
      </c>
      <c r="J4" s="3819"/>
      <c r="K4" s="559" t="s">
        <v>1774</v>
      </c>
      <c r="L4" s="2712"/>
      <c r="M4" s="2713"/>
      <c r="N4" s="2713"/>
      <c r="O4" s="2713"/>
      <c r="P4" s="3822" t="s">
        <v>1775</v>
      </c>
      <c r="Q4" s="3823"/>
      <c r="R4" s="3805" t="s">
        <v>1771</v>
      </c>
      <c r="S4" s="3806"/>
      <c r="T4" s="3805" t="s">
        <v>1772</v>
      </c>
      <c r="U4" s="3806"/>
      <c r="V4" s="3802" t="s">
        <v>1773</v>
      </c>
      <c r="W4" s="3802"/>
      <c r="X4" s="1355"/>
      <c r="Y4" s="3805" t="s">
        <v>1775</v>
      </c>
      <c r="Z4" s="3806"/>
      <c r="AA4" s="3799" t="s">
        <v>1771</v>
      </c>
      <c r="AB4" s="3800" t="s">
        <v>1772</v>
      </c>
      <c r="AC4" s="3799" t="s">
        <v>1773</v>
      </c>
    </row>
    <row r="5" spans="1:29" ht="15">
      <c r="A5" s="358"/>
      <c r="B5" s="359"/>
      <c r="C5" s="3872" t="s">
        <v>1673</v>
      </c>
      <c r="D5" s="3812"/>
      <c r="E5" s="3871" t="s">
        <v>1674</v>
      </c>
      <c r="F5" s="3810"/>
      <c r="G5" s="3872" t="s">
        <v>1675</v>
      </c>
      <c r="H5" s="3812"/>
      <c r="I5" s="3872" t="s">
        <v>1676</v>
      </c>
      <c r="J5" s="3812"/>
      <c r="K5" s="559"/>
      <c r="L5" s="2712"/>
      <c r="M5" s="2713"/>
      <c r="N5" s="2713"/>
      <c r="O5" s="2713"/>
      <c r="P5" s="3824"/>
      <c r="Q5" s="3825"/>
      <c r="R5" s="3807"/>
      <c r="S5" s="3808"/>
      <c r="T5" s="3807"/>
      <c r="U5" s="3808"/>
      <c r="V5" s="3802"/>
      <c r="W5" s="3802"/>
      <c r="X5" s="1355"/>
      <c r="Y5" s="3807"/>
      <c r="Z5" s="3808"/>
      <c r="AA5" s="3800"/>
      <c r="AB5" s="3800"/>
      <c r="AC5" s="3800"/>
    </row>
    <row r="6" spans="1:29" ht="15.75" thickBot="1">
      <c r="A6" s="360"/>
      <c r="B6" s="361"/>
      <c r="C6" s="3893" t="s">
        <v>1919</v>
      </c>
      <c r="D6" s="3894"/>
      <c r="E6" s="3895" t="s">
        <v>1919</v>
      </c>
      <c r="F6" s="3896"/>
      <c r="G6" s="3893" t="s">
        <v>1919</v>
      </c>
      <c r="H6" s="3894"/>
      <c r="I6" s="3893" t="s">
        <v>1919</v>
      </c>
      <c r="J6" s="3894"/>
      <c r="K6" s="559" t="s">
        <v>1678</v>
      </c>
      <c r="L6" s="2712"/>
      <c r="M6" s="2713"/>
      <c r="N6" s="2713"/>
      <c r="O6" s="2713"/>
      <c r="P6" s="3826"/>
      <c r="Q6" s="3827"/>
      <c r="R6" s="3807"/>
      <c r="S6" s="3808"/>
      <c r="T6" s="3828"/>
      <c r="U6" s="3829"/>
      <c r="V6" s="3802"/>
      <c r="W6" s="3802"/>
      <c r="X6" s="1355"/>
      <c r="Y6" s="3828"/>
      <c r="Z6" s="3829"/>
      <c r="AA6" s="3801"/>
      <c r="AB6" s="3801"/>
      <c r="AC6" s="3801"/>
    </row>
    <row r="7" spans="1:29" s="108" customFormat="1" ht="15.75" thickBot="1">
      <c r="A7" s="362" t="s">
        <v>1679</v>
      </c>
      <c r="B7" s="363"/>
      <c r="C7" s="364">
        <f>'数据-取费表'!B2</f>
        <v>45426</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803" t="s">
        <v>1680</v>
      </c>
      <c r="Q7" s="3830"/>
      <c r="R7" s="701" t="s">
        <v>14</v>
      </c>
      <c r="S7" s="702">
        <f t="shared" ref="S7:S15" si="0">F7</f>
        <v>0</v>
      </c>
      <c r="T7" s="701" t="s">
        <v>14</v>
      </c>
      <c r="U7" s="702">
        <f t="shared" ref="U7:U15" si="1">H7</f>
        <v>0</v>
      </c>
      <c r="V7" s="701" t="s">
        <v>14</v>
      </c>
      <c r="W7" s="702">
        <f t="shared" ref="W7:W15" si="2">J7</f>
        <v>0</v>
      </c>
      <c r="X7" s="703"/>
      <c r="Y7" s="3803" t="s">
        <v>1680</v>
      </c>
      <c r="Z7" s="380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03" t="s">
        <v>1683</v>
      </c>
      <c r="Q8" s="3804"/>
      <c r="R8" s="701" t="s">
        <v>14</v>
      </c>
      <c r="S8" s="702">
        <f t="shared" si="0"/>
        <v>0</v>
      </c>
      <c r="T8" s="701" t="s">
        <v>14</v>
      </c>
      <c r="U8" s="702">
        <f t="shared" si="1"/>
        <v>0</v>
      </c>
      <c r="V8" s="701" t="s">
        <v>14</v>
      </c>
      <c r="W8" s="702">
        <f t="shared" si="2"/>
        <v>0</v>
      </c>
      <c r="X8" s="703"/>
      <c r="Y8" s="3803" t="s">
        <v>1683</v>
      </c>
      <c r="Z8" s="380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840"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40"/>
      <c r="Q10" s="1343" t="str">
        <f t="shared" si="6"/>
        <v>土地使用年限（年）</v>
      </c>
      <c r="R10" s="701" t="s">
        <v>14</v>
      </c>
      <c r="S10" s="702" t="e">
        <f t="shared" si="0"/>
        <v>#DIV/0!</v>
      </c>
      <c r="T10" s="701" t="s">
        <v>14</v>
      </c>
      <c r="U10" s="702" t="e">
        <f t="shared" si="1"/>
        <v>#DIV/0!</v>
      </c>
      <c r="V10" s="701" t="s">
        <v>14</v>
      </c>
      <c r="W10" s="702" t="e">
        <f t="shared" si="2"/>
        <v>#DIV/0!</v>
      </c>
      <c r="X10" s="703"/>
      <c r="Y10" s="377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40"/>
      <c r="Q11" s="1343" t="str">
        <f t="shared" si="6"/>
        <v>容积率</v>
      </c>
      <c r="R11" s="701" t="s">
        <v>14</v>
      </c>
      <c r="S11" s="702" t="e">
        <f t="shared" si="0"/>
        <v>#N/A</v>
      </c>
      <c r="T11" s="701" t="s">
        <v>14</v>
      </c>
      <c r="U11" s="702" t="e">
        <f t="shared" si="1"/>
        <v>#N/A</v>
      </c>
      <c r="V11" s="701" t="s">
        <v>14</v>
      </c>
      <c r="W11" s="702" t="e">
        <f t="shared" si="2"/>
        <v>#N/A</v>
      </c>
      <c r="X11" s="703"/>
      <c r="Y11" s="377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40"/>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40"/>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40"/>
      <c r="Q14" s="1343">
        <f t="shared" si="6"/>
        <v>111</v>
      </c>
      <c r="R14" s="701" t="s">
        <v>14</v>
      </c>
      <c r="S14" s="702">
        <f t="shared" si="0"/>
        <v>100</v>
      </c>
      <c r="T14" s="701" t="s">
        <v>14</v>
      </c>
      <c r="U14" s="702">
        <f t="shared" si="1"/>
        <v>100</v>
      </c>
      <c r="V14" s="701" t="s">
        <v>14</v>
      </c>
      <c r="W14" s="702">
        <f t="shared" si="2"/>
        <v>100</v>
      </c>
      <c r="X14" s="703"/>
      <c r="Y14" s="377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33" t="s">
        <v>1691</v>
      </c>
      <c r="Q15" s="1352" t="str">
        <f t="shared" si="6"/>
        <v>产业集聚程度</v>
      </c>
      <c r="R15" s="705" t="s">
        <v>14</v>
      </c>
      <c r="S15" s="706">
        <f t="shared" si="0"/>
        <v>100</v>
      </c>
      <c r="T15" s="705" t="s">
        <v>14</v>
      </c>
      <c r="U15" s="706">
        <f t="shared" si="1"/>
        <v>100</v>
      </c>
      <c r="V15" s="705" t="s">
        <v>14</v>
      </c>
      <c r="W15" s="706">
        <f t="shared" si="2"/>
        <v>100</v>
      </c>
      <c r="X15" s="1355"/>
      <c r="Y15" s="383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34"/>
      <c r="Q16" s="1352"/>
      <c r="R16" s="705"/>
      <c r="S16" s="706"/>
      <c r="T16" s="705"/>
      <c r="U16" s="706"/>
      <c r="V16" s="705"/>
      <c r="W16" s="706"/>
      <c r="X16" s="1355"/>
      <c r="Y16" s="383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34"/>
      <c r="Q17" s="1352" t="str">
        <f>B17</f>
        <v>交通便捷度</v>
      </c>
      <c r="R17" s="705" t="s">
        <v>14</v>
      </c>
      <c r="S17" s="706">
        <f>F17</f>
        <v>100</v>
      </c>
      <c r="T17" s="705" t="s">
        <v>14</v>
      </c>
      <c r="U17" s="706">
        <f>H17</f>
        <v>100</v>
      </c>
      <c r="V17" s="705" t="s">
        <v>14</v>
      </c>
      <c r="W17" s="706">
        <f>J17</f>
        <v>100</v>
      </c>
      <c r="X17" s="1355"/>
      <c r="Y17" s="383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34"/>
      <c r="Q18" s="1352"/>
      <c r="R18" s="705"/>
      <c r="S18" s="706"/>
      <c r="T18" s="705"/>
      <c r="U18" s="706"/>
      <c r="V18" s="705"/>
      <c r="W18" s="706"/>
      <c r="X18" s="1355"/>
      <c r="Y18" s="383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34"/>
      <c r="Q19" s="1352" t="str">
        <f t="shared" ref="Q19:Q33" si="8">B19</f>
        <v>区域土地利用方向</v>
      </c>
      <c r="R19" s="705" t="s">
        <v>14</v>
      </c>
      <c r="S19" s="706">
        <f>F19</f>
        <v>100</v>
      </c>
      <c r="T19" s="705" t="s">
        <v>14</v>
      </c>
      <c r="U19" s="706">
        <f>H19</f>
        <v>100</v>
      </c>
      <c r="V19" s="705" t="s">
        <v>14</v>
      </c>
      <c r="W19" s="706">
        <f>J19</f>
        <v>100</v>
      </c>
      <c r="X19" s="1355"/>
      <c r="Y19" s="383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34"/>
      <c r="Q20" s="1352"/>
      <c r="R20" s="705"/>
      <c r="S20" s="706"/>
      <c r="T20" s="705"/>
      <c r="U20" s="706"/>
      <c r="V20" s="705"/>
      <c r="W20" s="706"/>
      <c r="X20" s="1355"/>
      <c r="Y20" s="383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34"/>
      <c r="Q21" s="1352" t="str">
        <f t="shared" si="8"/>
        <v>环境状况</v>
      </c>
      <c r="R21" s="705" t="s">
        <v>14</v>
      </c>
      <c r="S21" s="706">
        <f>F21</f>
        <v>100</v>
      </c>
      <c r="T21" s="705" t="s">
        <v>14</v>
      </c>
      <c r="U21" s="706">
        <f>H21</f>
        <v>100</v>
      </c>
      <c r="V21" s="705" t="s">
        <v>14</v>
      </c>
      <c r="W21" s="706">
        <f>J21</f>
        <v>100</v>
      </c>
      <c r="X21" s="1355"/>
      <c r="Y21" s="383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34"/>
      <c r="Q22" s="1352"/>
      <c r="R22" s="705"/>
      <c r="S22" s="706"/>
      <c r="T22" s="705"/>
      <c r="U22" s="706"/>
      <c r="V22" s="705"/>
      <c r="W22" s="706"/>
      <c r="X22" s="1355"/>
      <c r="Y22" s="383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34"/>
      <c r="Q23" s="1343" t="str">
        <f t="shared" si="8"/>
        <v>公共配套设施</v>
      </c>
      <c r="R23" s="701" t="s">
        <v>14</v>
      </c>
      <c r="S23" s="702">
        <f>F23</f>
        <v>100</v>
      </c>
      <c r="T23" s="701" t="s">
        <v>14</v>
      </c>
      <c r="U23" s="702">
        <f>H23</f>
        <v>100</v>
      </c>
      <c r="V23" s="701" t="s">
        <v>14</v>
      </c>
      <c r="W23" s="702">
        <f>J23</f>
        <v>100</v>
      </c>
      <c r="X23" s="703"/>
      <c r="Y23" s="383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834"/>
      <c r="Q24" s="1343"/>
      <c r="R24" s="701"/>
      <c r="S24" s="702"/>
      <c r="T24" s="701"/>
      <c r="U24" s="702"/>
      <c r="V24" s="701"/>
      <c r="W24" s="702"/>
      <c r="X24" s="703"/>
      <c r="Y24" s="383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34"/>
      <c r="Q25" s="1343" t="str">
        <f t="shared" ref="Q25" si="9">B25</f>
        <v>基础设施水平</v>
      </c>
      <c r="R25" s="701" t="s">
        <v>14</v>
      </c>
      <c r="S25" s="702">
        <f>F25</f>
        <v>100</v>
      </c>
      <c r="T25" s="701" t="s">
        <v>14</v>
      </c>
      <c r="U25" s="702">
        <f>H25</f>
        <v>100</v>
      </c>
      <c r="V25" s="701" t="s">
        <v>14</v>
      </c>
      <c r="W25" s="702">
        <f>J25</f>
        <v>100</v>
      </c>
      <c r="X25" s="703"/>
      <c r="Y25" s="383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834"/>
      <c r="Q26" s="1343"/>
      <c r="R26" s="701"/>
      <c r="S26" s="702"/>
      <c r="T26" s="701"/>
      <c r="U26" s="702"/>
      <c r="V26" s="701"/>
      <c r="W26" s="702"/>
      <c r="X26" s="703"/>
      <c r="Y26" s="383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3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3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34"/>
      <c r="Q28" s="1352" t="str">
        <f t="shared" si="8"/>
        <v>毗邻道路的类型与等级</v>
      </c>
      <c r="R28" s="705" t="s">
        <v>14</v>
      </c>
      <c r="S28" s="706">
        <f t="shared" si="10"/>
        <v>100</v>
      </c>
      <c r="T28" s="705" t="s">
        <v>14</v>
      </c>
      <c r="U28" s="706">
        <f t="shared" si="11"/>
        <v>100</v>
      </c>
      <c r="V28" s="705" t="s">
        <v>14</v>
      </c>
      <c r="W28" s="706">
        <f t="shared" si="12"/>
        <v>100</v>
      </c>
      <c r="X28" s="1355"/>
      <c r="Y28" s="383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34"/>
      <c r="Q29" s="1352"/>
      <c r="R29" s="705"/>
      <c r="S29" s="706"/>
      <c r="T29" s="705"/>
      <c r="U29" s="706"/>
      <c r="V29" s="705"/>
      <c r="W29" s="706"/>
      <c r="X29" s="1355"/>
      <c r="Y29" s="383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34"/>
      <c r="Q30" s="1352" t="str">
        <f t="shared" si="8"/>
        <v>土地级别</v>
      </c>
      <c r="R30" s="705" t="s">
        <v>14</v>
      </c>
      <c r="S30" s="706">
        <f t="shared" si="10"/>
        <v>100</v>
      </c>
      <c r="T30" s="705" t="s">
        <v>14</v>
      </c>
      <c r="U30" s="706">
        <f t="shared" si="11"/>
        <v>100</v>
      </c>
      <c r="V30" s="705" t="s">
        <v>14</v>
      </c>
      <c r="W30" s="706">
        <f t="shared" si="12"/>
        <v>100</v>
      </c>
      <c r="X30" s="1355"/>
      <c r="Y30" s="383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34"/>
      <c r="Q31" s="1352">
        <f t="shared" si="8"/>
        <v>111</v>
      </c>
      <c r="R31" s="705" t="s">
        <v>14</v>
      </c>
      <c r="S31" s="706">
        <f t="shared" si="10"/>
        <v>100</v>
      </c>
      <c r="T31" s="705" t="s">
        <v>14</v>
      </c>
      <c r="U31" s="706">
        <f t="shared" si="11"/>
        <v>100</v>
      </c>
      <c r="V31" s="705" t="s">
        <v>14</v>
      </c>
      <c r="W31" s="706">
        <f t="shared" si="12"/>
        <v>100</v>
      </c>
      <c r="X31" s="1355"/>
      <c r="Y31" s="383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8" t="s">
        <v>1696</v>
      </c>
      <c r="Q32" s="1352">
        <f t="shared" si="8"/>
        <v>111</v>
      </c>
      <c r="R32" s="705" t="s">
        <v>14</v>
      </c>
      <c r="S32" s="706">
        <f t="shared" si="10"/>
        <v>100</v>
      </c>
      <c r="T32" s="705" t="s">
        <v>14</v>
      </c>
      <c r="U32" s="706">
        <f t="shared" si="11"/>
        <v>100</v>
      </c>
      <c r="V32" s="705" t="s">
        <v>14</v>
      </c>
      <c r="W32" s="706">
        <f t="shared" si="12"/>
        <v>100</v>
      </c>
      <c r="X32" s="1355"/>
      <c r="Y32" s="383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38"/>
      <c r="Q33" s="1352">
        <f t="shared" si="8"/>
        <v>111</v>
      </c>
      <c r="R33" s="708" t="s">
        <v>14</v>
      </c>
      <c r="S33" s="709">
        <f t="shared" si="10"/>
        <v>100</v>
      </c>
      <c r="T33" s="708" t="s">
        <v>14</v>
      </c>
      <c r="U33" s="709">
        <f t="shared" si="11"/>
        <v>100</v>
      </c>
      <c r="V33" s="708" t="s">
        <v>14</v>
      </c>
      <c r="W33" s="709">
        <f t="shared" si="12"/>
        <v>100</v>
      </c>
      <c r="X33" s="710"/>
      <c r="Y33" s="383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38"/>
      <c r="Q34" s="1352" t="str">
        <f>B34</f>
        <v>宗地面积</v>
      </c>
      <c r="R34" s="705" t="s">
        <v>14</v>
      </c>
      <c r="S34" s="706" t="e">
        <f t="shared" si="10"/>
        <v>#N/A</v>
      </c>
      <c r="T34" s="705" t="s">
        <v>14</v>
      </c>
      <c r="U34" s="706" t="e">
        <f t="shared" si="11"/>
        <v>#N/A</v>
      </c>
      <c r="V34" s="705" t="s">
        <v>14</v>
      </c>
      <c r="W34" s="706" t="e">
        <f t="shared" si="12"/>
        <v>#N/A</v>
      </c>
      <c r="X34" s="1355"/>
      <c r="Y34" s="383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38"/>
      <c r="Q35" s="1352" t="str">
        <f t="shared" ref="Q35:Q40" si="14">B35</f>
        <v>宗地形状</v>
      </c>
      <c r="R35" s="705" t="s">
        <v>14</v>
      </c>
      <c r="S35" s="706">
        <f t="shared" si="10"/>
        <v>100</v>
      </c>
      <c r="T35" s="705" t="s">
        <v>14</v>
      </c>
      <c r="U35" s="706">
        <f t="shared" si="11"/>
        <v>100</v>
      </c>
      <c r="V35" s="705" t="s">
        <v>14</v>
      </c>
      <c r="W35" s="706">
        <f t="shared" si="12"/>
        <v>100</v>
      </c>
      <c r="X35" s="1355"/>
      <c r="Y35" s="383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838"/>
      <c r="Q36" s="1352" t="str">
        <f t="shared" si="14"/>
        <v>宗地开发程度</v>
      </c>
      <c r="R36" s="701" t="s">
        <v>14</v>
      </c>
      <c r="S36" s="702">
        <f t="shared" si="10"/>
        <v>100</v>
      </c>
      <c r="T36" s="701" t="s">
        <v>14</v>
      </c>
      <c r="U36" s="702">
        <f t="shared" si="11"/>
        <v>100</v>
      </c>
      <c r="V36" s="701" t="s">
        <v>14</v>
      </c>
      <c r="W36" s="702">
        <f t="shared" si="12"/>
        <v>100</v>
      </c>
      <c r="X36" s="703"/>
      <c r="Y36" s="383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38" t="s">
        <v>1696</v>
      </c>
      <c r="Q37" s="1352" t="str">
        <f t="shared" si="14"/>
        <v>工程地质条件</v>
      </c>
      <c r="R37" s="705" t="s">
        <v>14</v>
      </c>
      <c r="S37" s="706">
        <f t="shared" si="10"/>
        <v>100</v>
      </c>
      <c r="T37" s="705" t="s">
        <v>14</v>
      </c>
      <c r="U37" s="706">
        <f t="shared" si="11"/>
        <v>100</v>
      </c>
      <c r="V37" s="705" t="s">
        <v>14</v>
      </c>
      <c r="W37" s="706">
        <f t="shared" si="12"/>
        <v>100</v>
      </c>
      <c r="X37" s="1355"/>
      <c r="Y37" s="383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38"/>
      <c r="Q38" s="1352">
        <f t="shared" si="14"/>
        <v>111</v>
      </c>
      <c r="R38" s="705" t="s">
        <v>14</v>
      </c>
      <c r="S38" s="706">
        <f t="shared" si="10"/>
        <v>100</v>
      </c>
      <c r="T38" s="705" t="s">
        <v>14</v>
      </c>
      <c r="U38" s="706">
        <f t="shared" si="11"/>
        <v>100</v>
      </c>
      <c r="V38" s="705" t="s">
        <v>14</v>
      </c>
      <c r="W38" s="706">
        <f t="shared" si="12"/>
        <v>100</v>
      </c>
      <c r="X38" s="1355"/>
      <c r="Y38" s="383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38"/>
      <c r="Q39" s="1352">
        <f t="shared" si="14"/>
        <v>111</v>
      </c>
      <c r="R39" s="705" t="s">
        <v>14</v>
      </c>
      <c r="S39" s="706">
        <f t="shared" si="10"/>
        <v>100</v>
      </c>
      <c r="T39" s="705" t="s">
        <v>14</v>
      </c>
      <c r="U39" s="706">
        <f t="shared" si="11"/>
        <v>100</v>
      </c>
      <c r="V39" s="705" t="s">
        <v>14</v>
      </c>
      <c r="W39" s="706">
        <f t="shared" si="12"/>
        <v>100</v>
      </c>
      <c r="X39" s="1355"/>
      <c r="Y39" s="383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38"/>
      <c r="Q40" s="1352">
        <f t="shared" si="14"/>
        <v>111</v>
      </c>
      <c r="R40" s="708" t="s">
        <v>14</v>
      </c>
      <c r="S40" s="709">
        <f t="shared" si="10"/>
        <v>100</v>
      </c>
      <c r="T40" s="708" t="s">
        <v>14</v>
      </c>
      <c r="U40" s="709">
        <f t="shared" si="11"/>
        <v>100</v>
      </c>
      <c r="V40" s="708" t="s">
        <v>14</v>
      </c>
      <c r="W40" s="709">
        <f t="shared" si="12"/>
        <v>100</v>
      </c>
      <c r="X40" s="710"/>
      <c r="Y40" s="383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840" t="str">
        <f>A41</f>
        <v>成交单价</v>
      </c>
      <c r="Q41" s="3840"/>
      <c r="R41" s="3802">
        <f>E41</f>
        <v>0</v>
      </c>
      <c r="S41" s="3802"/>
      <c r="T41" s="3802">
        <f>G41</f>
        <v>0</v>
      </c>
      <c r="U41" s="3802"/>
      <c r="V41" s="3802">
        <f>I41</f>
        <v>0</v>
      </c>
      <c r="W41" s="380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840" t="str">
        <f>A42</f>
        <v>比较价值（元/平方米）</v>
      </c>
      <c r="Q42" s="3840"/>
      <c r="R42" s="3890" t="e">
        <f>ROUND(PRODUCT(R41,AA7:AA40),0)</f>
        <v>#DIV/0!</v>
      </c>
      <c r="S42" s="3890"/>
      <c r="T42" s="3890" t="e">
        <f>ROUND(PRODUCT(T41,AB7:AB40),0)</f>
        <v>#DIV/0!</v>
      </c>
      <c r="U42" s="3890"/>
      <c r="V42" s="3890" t="e">
        <f>ROUND(PRODUCT(V41,AC7:AC40),0)</f>
        <v>#DIV/0!</v>
      </c>
      <c r="W42" s="389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842" t="str">
        <f>A43</f>
        <v>估价对象XX用房的比较价值（楼面单价，元/平方米）</v>
      </c>
      <c r="Q43" s="3843"/>
      <c r="R43" s="3891" t="e">
        <f>ROUND(IF(D42="简单平均",AVERAGE(R42:W42),R42*F42+T42*H42+V42*J42),0)</f>
        <v>#DIV/0!</v>
      </c>
      <c r="S43" s="3891"/>
      <c r="T43" s="3891"/>
      <c r="U43" s="3891"/>
      <c r="V43" s="3891"/>
      <c r="W43" s="3891"/>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818" t="s">
        <v>1887</v>
      </c>
      <c r="H50" s="3892"/>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642</v>
      </c>
      <c r="F51" s="639" t="e">
        <f t="shared" ref="F51:F60" si="15">ROUND(B51*E51/10000,0)</f>
        <v>#DIV/0!</v>
      </c>
      <c r="G51" s="3817"/>
      <c r="H51" s="384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00" t="s">
        <v>2084</v>
      </c>
      <c r="D1" s="3901"/>
      <c r="E1" s="3901"/>
      <c r="F1" s="3901"/>
      <c r="G1" s="3901"/>
      <c r="H1" s="3901"/>
      <c r="I1" s="3901"/>
      <c r="J1" s="3901"/>
      <c r="K1" s="3901"/>
      <c r="L1" s="3901"/>
      <c r="M1" s="3901"/>
      <c r="N1" s="3901"/>
      <c r="O1" s="3901"/>
      <c r="P1" s="3901"/>
      <c r="Q1" s="3901"/>
      <c r="R1" s="3901"/>
      <c r="S1" s="390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7" t="s">
        <v>27</v>
      </c>
      <c r="D22" s="3898"/>
      <c r="E22" s="3898"/>
      <c r="F22" s="3898"/>
      <c r="G22" s="3898"/>
      <c r="H22" s="3898"/>
      <c r="I22" s="3898"/>
      <c r="J22" s="3898"/>
      <c r="K22" s="3898"/>
      <c r="L22" s="3898"/>
      <c r="M22" s="3898"/>
      <c r="N22" s="3898"/>
      <c r="O22" s="3898"/>
      <c r="P22" s="3898"/>
      <c r="Q22" s="389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t="e">
        <f ca="1">SUMIF(B6:B13,"&lt;&gt;#ref!",B6:B13)</f>
        <v>#DIV/0!</v>
      </c>
      <c r="C2" s="2145" t="s">
        <v>2074</v>
      </c>
      <c r="D2" s="2145" t="s">
        <v>2075</v>
      </c>
      <c r="E2" s="2609">
        <f ca="1">SUMIF(E6:E13,"&lt;&gt;#ref!",E6:E13)</f>
        <v>642</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5" t="s">
        <v>2074</v>
      </c>
      <c r="D6" s="2790"/>
      <c r="E6" s="2609">
        <f ca="1">SUMIF(INDIRECT("'"&amp;A6&amp;"'"&amp;"!C:C"),"建筑面积",INDIRECT("'"&amp;A6&amp;"'"&amp;"!D:D"))</f>
        <v>642</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1"/>
  <sheetViews>
    <sheetView zoomScaleNormal="100" zoomScaleSheetLayoutView="100" workbookViewId="0">
      <selection activeCell="H23" sqref="H23"/>
    </sheetView>
  </sheetViews>
  <sheetFormatPr defaultRowHeight="12"/>
  <cols>
    <col min="1" max="1" width="5.5" style="3546" customWidth="1"/>
    <col min="2" max="2" width="11.25" style="3546" customWidth="1"/>
    <col min="3" max="3" width="24.75" style="3546" customWidth="1"/>
    <col min="4" max="4" width="6.625" style="3546" customWidth="1"/>
    <col min="5" max="5" width="6.5" style="3546" customWidth="1"/>
    <col min="6" max="6" width="9.25" style="3546" customWidth="1"/>
    <col min="7" max="7" width="19.625" style="3546" customWidth="1"/>
    <col min="8" max="9" width="11.25" style="3546" customWidth="1"/>
    <col min="10" max="10" width="14.25" style="3546" customWidth="1"/>
    <col min="11" max="11" width="11.25" style="3546" customWidth="1"/>
    <col min="12" max="12" width="16.125" style="3546" bestFit="1" customWidth="1"/>
    <col min="13" max="14" width="11.25" style="3546" customWidth="1"/>
    <col min="15" max="15" width="60.875" style="3546" bestFit="1" customWidth="1"/>
    <col min="16" max="256" width="9" style="3546"/>
    <col min="257" max="257" width="5.5" style="3546" customWidth="1"/>
    <col min="258" max="258" width="11.25" style="3546" customWidth="1"/>
    <col min="259" max="259" width="32.125" style="3546" bestFit="1" customWidth="1"/>
    <col min="260" max="260" width="13" style="3546" bestFit="1" customWidth="1"/>
    <col min="261" max="261" width="11.25" style="3546" customWidth="1"/>
    <col min="262" max="262" width="12.75" style="3546" bestFit="1" customWidth="1"/>
    <col min="263" max="265" width="11.25" style="3546" customWidth="1"/>
    <col min="266" max="266" width="14.25" style="3546" customWidth="1"/>
    <col min="267" max="267" width="11.25" style="3546" customWidth="1"/>
    <col min="268" max="268" width="16.125" style="3546" bestFit="1" customWidth="1"/>
    <col min="269" max="270" width="11.25" style="3546" customWidth="1"/>
    <col min="271" max="271" width="60.875" style="3546" bestFit="1" customWidth="1"/>
    <col min="272" max="512" width="9" style="3546"/>
    <col min="513" max="513" width="5.5" style="3546" customWidth="1"/>
    <col min="514" max="514" width="11.25" style="3546" customWidth="1"/>
    <col min="515" max="515" width="32.125" style="3546" bestFit="1" customWidth="1"/>
    <col min="516" max="516" width="13" style="3546" bestFit="1" customWidth="1"/>
    <col min="517" max="517" width="11.25" style="3546" customWidth="1"/>
    <col min="518" max="518" width="12.75" style="3546" bestFit="1" customWidth="1"/>
    <col min="519" max="521" width="11.25" style="3546" customWidth="1"/>
    <col min="522" max="522" width="14.25" style="3546" customWidth="1"/>
    <col min="523" max="523" width="11.25" style="3546" customWidth="1"/>
    <col min="524" max="524" width="16.125" style="3546" bestFit="1" customWidth="1"/>
    <col min="525" max="526" width="11.25" style="3546" customWidth="1"/>
    <col min="527" max="527" width="60.875" style="3546" bestFit="1" customWidth="1"/>
    <col min="528" max="768" width="9" style="3546"/>
    <col min="769" max="769" width="5.5" style="3546" customWidth="1"/>
    <col min="770" max="770" width="11.25" style="3546" customWidth="1"/>
    <col min="771" max="771" width="32.125" style="3546" bestFit="1" customWidth="1"/>
    <col min="772" max="772" width="13" style="3546" bestFit="1" customWidth="1"/>
    <col min="773" max="773" width="11.25" style="3546" customWidth="1"/>
    <col min="774" max="774" width="12.75" style="3546" bestFit="1" customWidth="1"/>
    <col min="775" max="777" width="11.25" style="3546" customWidth="1"/>
    <col min="778" max="778" width="14.25" style="3546" customWidth="1"/>
    <col min="779" max="779" width="11.25" style="3546" customWidth="1"/>
    <col min="780" max="780" width="16.125" style="3546" bestFit="1" customWidth="1"/>
    <col min="781" max="782" width="11.25" style="3546" customWidth="1"/>
    <col min="783" max="783" width="60.875" style="3546" bestFit="1" customWidth="1"/>
    <col min="784" max="1024" width="9" style="3546"/>
    <col min="1025" max="1025" width="5.5" style="3546" customWidth="1"/>
    <col min="1026" max="1026" width="11.25" style="3546" customWidth="1"/>
    <col min="1027" max="1027" width="32.125" style="3546" bestFit="1" customWidth="1"/>
    <col min="1028" max="1028" width="13" style="3546" bestFit="1" customWidth="1"/>
    <col min="1029" max="1029" width="11.25" style="3546" customWidth="1"/>
    <col min="1030" max="1030" width="12.75" style="3546" bestFit="1" customWidth="1"/>
    <col min="1031" max="1033" width="11.25" style="3546" customWidth="1"/>
    <col min="1034" max="1034" width="14.25" style="3546" customWidth="1"/>
    <col min="1035" max="1035" width="11.25" style="3546" customWidth="1"/>
    <col min="1036" max="1036" width="16.125" style="3546" bestFit="1" customWidth="1"/>
    <col min="1037" max="1038" width="11.25" style="3546" customWidth="1"/>
    <col min="1039" max="1039" width="60.875" style="3546" bestFit="1" customWidth="1"/>
    <col min="1040" max="1280" width="9" style="3546"/>
    <col min="1281" max="1281" width="5.5" style="3546" customWidth="1"/>
    <col min="1282" max="1282" width="11.25" style="3546" customWidth="1"/>
    <col min="1283" max="1283" width="32.125" style="3546" bestFit="1" customWidth="1"/>
    <col min="1284" max="1284" width="13" style="3546" bestFit="1" customWidth="1"/>
    <col min="1285" max="1285" width="11.25" style="3546" customWidth="1"/>
    <col min="1286" max="1286" width="12.75" style="3546" bestFit="1" customWidth="1"/>
    <col min="1287" max="1289" width="11.25" style="3546" customWidth="1"/>
    <col min="1290" max="1290" width="14.25" style="3546" customWidth="1"/>
    <col min="1291" max="1291" width="11.25" style="3546" customWidth="1"/>
    <col min="1292" max="1292" width="16.125" style="3546" bestFit="1" customWidth="1"/>
    <col min="1293" max="1294" width="11.25" style="3546" customWidth="1"/>
    <col min="1295" max="1295" width="60.875" style="3546" bestFit="1" customWidth="1"/>
    <col min="1296" max="1536" width="9" style="3546"/>
    <col min="1537" max="1537" width="5.5" style="3546" customWidth="1"/>
    <col min="1538" max="1538" width="11.25" style="3546" customWidth="1"/>
    <col min="1539" max="1539" width="32.125" style="3546" bestFit="1" customWidth="1"/>
    <col min="1540" max="1540" width="13" style="3546" bestFit="1" customWidth="1"/>
    <col min="1541" max="1541" width="11.25" style="3546" customWidth="1"/>
    <col min="1542" max="1542" width="12.75" style="3546" bestFit="1" customWidth="1"/>
    <col min="1543" max="1545" width="11.25" style="3546" customWidth="1"/>
    <col min="1546" max="1546" width="14.25" style="3546" customWidth="1"/>
    <col min="1547" max="1547" width="11.25" style="3546" customWidth="1"/>
    <col min="1548" max="1548" width="16.125" style="3546" bestFit="1" customWidth="1"/>
    <col min="1549" max="1550" width="11.25" style="3546" customWidth="1"/>
    <col min="1551" max="1551" width="60.875" style="3546" bestFit="1" customWidth="1"/>
    <col min="1552" max="1792" width="9" style="3546"/>
    <col min="1793" max="1793" width="5.5" style="3546" customWidth="1"/>
    <col min="1794" max="1794" width="11.25" style="3546" customWidth="1"/>
    <col min="1795" max="1795" width="32.125" style="3546" bestFit="1" customWidth="1"/>
    <col min="1796" max="1796" width="13" style="3546" bestFit="1" customWidth="1"/>
    <col min="1797" max="1797" width="11.25" style="3546" customWidth="1"/>
    <col min="1798" max="1798" width="12.75" style="3546" bestFit="1" customWidth="1"/>
    <col min="1799" max="1801" width="11.25" style="3546" customWidth="1"/>
    <col min="1802" max="1802" width="14.25" style="3546" customWidth="1"/>
    <col min="1803" max="1803" width="11.25" style="3546" customWidth="1"/>
    <col min="1804" max="1804" width="16.125" style="3546" bestFit="1" customWidth="1"/>
    <col min="1805" max="1806" width="11.25" style="3546" customWidth="1"/>
    <col min="1807" max="1807" width="60.875" style="3546" bestFit="1" customWidth="1"/>
    <col min="1808" max="2048" width="9" style="3546"/>
    <col min="2049" max="2049" width="5.5" style="3546" customWidth="1"/>
    <col min="2050" max="2050" width="11.25" style="3546" customWidth="1"/>
    <col min="2051" max="2051" width="32.125" style="3546" bestFit="1" customWidth="1"/>
    <col min="2052" max="2052" width="13" style="3546" bestFit="1" customWidth="1"/>
    <col min="2053" max="2053" width="11.25" style="3546" customWidth="1"/>
    <col min="2054" max="2054" width="12.75" style="3546" bestFit="1" customWidth="1"/>
    <col min="2055" max="2057" width="11.25" style="3546" customWidth="1"/>
    <col min="2058" max="2058" width="14.25" style="3546" customWidth="1"/>
    <col min="2059" max="2059" width="11.25" style="3546" customWidth="1"/>
    <col min="2060" max="2060" width="16.125" style="3546" bestFit="1" customWidth="1"/>
    <col min="2061" max="2062" width="11.25" style="3546" customWidth="1"/>
    <col min="2063" max="2063" width="60.875" style="3546" bestFit="1" customWidth="1"/>
    <col min="2064" max="2304" width="9" style="3546"/>
    <col min="2305" max="2305" width="5.5" style="3546" customWidth="1"/>
    <col min="2306" max="2306" width="11.25" style="3546" customWidth="1"/>
    <col min="2307" max="2307" width="32.125" style="3546" bestFit="1" customWidth="1"/>
    <col min="2308" max="2308" width="13" style="3546" bestFit="1" customWidth="1"/>
    <col min="2309" max="2309" width="11.25" style="3546" customWidth="1"/>
    <col min="2310" max="2310" width="12.75" style="3546" bestFit="1" customWidth="1"/>
    <col min="2311" max="2313" width="11.25" style="3546" customWidth="1"/>
    <col min="2314" max="2314" width="14.25" style="3546" customWidth="1"/>
    <col min="2315" max="2315" width="11.25" style="3546" customWidth="1"/>
    <col min="2316" max="2316" width="16.125" style="3546" bestFit="1" customWidth="1"/>
    <col min="2317" max="2318" width="11.25" style="3546" customWidth="1"/>
    <col min="2319" max="2319" width="60.875" style="3546" bestFit="1" customWidth="1"/>
    <col min="2320" max="2560" width="9" style="3546"/>
    <col min="2561" max="2561" width="5.5" style="3546" customWidth="1"/>
    <col min="2562" max="2562" width="11.25" style="3546" customWidth="1"/>
    <col min="2563" max="2563" width="32.125" style="3546" bestFit="1" customWidth="1"/>
    <col min="2564" max="2564" width="13" style="3546" bestFit="1" customWidth="1"/>
    <col min="2565" max="2565" width="11.25" style="3546" customWidth="1"/>
    <col min="2566" max="2566" width="12.75" style="3546" bestFit="1" customWidth="1"/>
    <col min="2567" max="2569" width="11.25" style="3546" customWidth="1"/>
    <col min="2570" max="2570" width="14.25" style="3546" customWidth="1"/>
    <col min="2571" max="2571" width="11.25" style="3546" customWidth="1"/>
    <col min="2572" max="2572" width="16.125" style="3546" bestFit="1" customWidth="1"/>
    <col min="2573" max="2574" width="11.25" style="3546" customWidth="1"/>
    <col min="2575" max="2575" width="60.875" style="3546" bestFit="1" customWidth="1"/>
    <col min="2576" max="2816" width="9" style="3546"/>
    <col min="2817" max="2817" width="5.5" style="3546" customWidth="1"/>
    <col min="2818" max="2818" width="11.25" style="3546" customWidth="1"/>
    <col min="2819" max="2819" width="32.125" style="3546" bestFit="1" customWidth="1"/>
    <col min="2820" max="2820" width="13" style="3546" bestFit="1" customWidth="1"/>
    <col min="2821" max="2821" width="11.25" style="3546" customWidth="1"/>
    <col min="2822" max="2822" width="12.75" style="3546" bestFit="1" customWidth="1"/>
    <col min="2823" max="2825" width="11.25" style="3546" customWidth="1"/>
    <col min="2826" max="2826" width="14.25" style="3546" customWidth="1"/>
    <col min="2827" max="2827" width="11.25" style="3546" customWidth="1"/>
    <col min="2828" max="2828" width="16.125" style="3546" bestFit="1" customWidth="1"/>
    <col min="2829" max="2830" width="11.25" style="3546" customWidth="1"/>
    <col min="2831" max="2831" width="60.875" style="3546" bestFit="1" customWidth="1"/>
    <col min="2832" max="3072" width="9" style="3546"/>
    <col min="3073" max="3073" width="5.5" style="3546" customWidth="1"/>
    <col min="3074" max="3074" width="11.25" style="3546" customWidth="1"/>
    <col min="3075" max="3075" width="32.125" style="3546" bestFit="1" customWidth="1"/>
    <col min="3076" max="3076" width="13" style="3546" bestFit="1" customWidth="1"/>
    <col min="3077" max="3077" width="11.25" style="3546" customWidth="1"/>
    <col min="3078" max="3078" width="12.75" style="3546" bestFit="1" customWidth="1"/>
    <col min="3079" max="3081" width="11.25" style="3546" customWidth="1"/>
    <col min="3082" max="3082" width="14.25" style="3546" customWidth="1"/>
    <col min="3083" max="3083" width="11.25" style="3546" customWidth="1"/>
    <col min="3084" max="3084" width="16.125" style="3546" bestFit="1" customWidth="1"/>
    <col min="3085" max="3086" width="11.25" style="3546" customWidth="1"/>
    <col min="3087" max="3087" width="60.875" style="3546" bestFit="1" customWidth="1"/>
    <col min="3088" max="3328" width="9" style="3546"/>
    <col min="3329" max="3329" width="5.5" style="3546" customWidth="1"/>
    <col min="3330" max="3330" width="11.25" style="3546" customWidth="1"/>
    <col min="3331" max="3331" width="32.125" style="3546" bestFit="1" customWidth="1"/>
    <col min="3332" max="3332" width="13" style="3546" bestFit="1" customWidth="1"/>
    <col min="3333" max="3333" width="11.25" style="3546" customWidth="1"/>
    <col min="3334" max="3334" width="12.75" style="3546" bestFit="1" customWidth="1"/>
    <col min="3335" max="3337" width="11.25" style="3546" customWidth="1"/>
    <col min="3338" max="3338" width="14.25" style="3546" customWidth="1"/>
    <col min="3339" max="3339" width="11.25" style="3546" customWidth="1"/>
    <col min="3340" max="3340" width="16.125" style="3546" bestFit="1" customWidth="1"/>
    <col min="3341" max="3342" width="11.25" style="3546" customWidth="1"/>
    <col min="3343" max="3343" width="60.875" style="3546" bestFit="1" customWidth="1"/>
    <col min="3344" max="3584" width="9" style="3546"/>
    <col min="3585" max="3585" width="5.5" style="3546" customWidth="1"/>
    <col min="3586" max="3586" width="11.25" style="3546" customWidth="1"/>
    <col min="3587" max="3587" width="32.125" style="3546" bestFit="1" customWidth="1"/>
    <col min="3588" max="3588" width="13" style="3546" bestFit="1" customWidth="1"/>
    <col min="3589" max="3589" width="11.25" style="3546" customWidth="1"/>
    <col min="3590" max="3590" width="12.75" style="3546" bestFit="1" customWidth="1"/>
    <col min="3591" max="3593" width="11.25" style="3546" customWidth="1"/>
    <col min="3594" max="3594" width="14.25" style="3546" customWidth="1"/>
    <col min="3595" max="3595" width="11.25" style="3546" customWidth="1"/>
    <col min="3596" max="3596" width="16.125" style="3546" bestFit="1" customWidth="1"/>
    <col min="3597" max="3598" width="11.25" style="3546" customWidth="1"/>
    <col min="3599" max="3599" width="60.875" style="3546" bestFit="1" customWidth="1"/>
    <col min="3600" max="3840" width="9" style="3546"/>
    <col min="3841" max="3841" width="5.5" style="3546" customWidth="1"/>
    <col min="3842" max="3842" width="11.25" style="3546" customWidth="1"/>
    <col min="3843" max="3843" width="32.125" style="3546" bestFit="1" customWidth="1"/>
    <col min="3844" max="3844" width="13" style="3546" bestFit="1" customWidth="1"/>
    <col min="3845" max="3845" width="11.25" style="3546" customWidth="1"/>
    <col min="3846" max="3846" width="12.75" style="3546" bestFit="1" customWidth="1"/>
    <col min="3847" max="3849" width="11.25" style="3546" customWidth="1"/>
    <col min="3850" max="3850" width="14.25" style="3546" customWidth="1"/>
    <col min="3851" max="3851" width="11.25" style="3546" customWidth="1"/>
    <col min="3852" max="3852" width="16.125" style="3546" bestFit="1" customWidth="1"/>
    <col min="3853" max="3854" width="11.25" style="3546" customWidth="1"/>
    <col min="3855" max="3855" width="60.875" style="3546" bestFit="1" customWidth="1"/>
    <col min="3856" max="4096" width="9" style="3546"/>
    <col min="4097" max="4097" width="5.5" style="3546" customWidth="1"/>
    <col min="4098" max="4098" width="11.25" style="3546" customWidth="1"/>
    <col min="4099" max="4099" width="32.125" style="3546" bestFit="1" customWidth="1"/>
    <col min="4100" max="4100" width="13" style="3546" bestFit="1" customWidth="1"/>
    <col min="4101" max="4101" width="11.25" style="3546" customWidth="1"/>
    <col min="4102" max="4102" width="12.75" style="3546" bestFit="1" customWidth="1"/>
    <col min="4103" max="4105" width="11.25" style="3546" customWidth="1"/>
    <col min="4106" max="4106" width="14.25" style="3546" customWidth="1"/>
    <col min="4107" max="4107" width="11.25" style="3546" customWidth="1"/>
    <col min="4108" max="4108" width="16.125" style="3546" bestFit="1" customWidth="1"/>
    <col min="4109" max="4110" width="11.25" style="3546" customWidth="1"/>
    <col min="4111" max="4111" width="60.875" style="3546" bestFit="1" customWidth="1"/>
    <col min="4112" max="4352" width="9" style="3546"/>
    <col min="4353" max="4353" width="5.5" style="3546" customWidth="1"/>
    <col min="4354" max="4354" width="11.25" style="3546" customWidth="1"/>
    <col min="4355" max="4355" width="32.125" style="3546" bestFit="1" customWidth="1"/>
    <col min="4356" max="4356" width="13" style="3546" bestFit="1" customWidth="1"/>
    <col min="4357" max="4357" width="11.25" style="3546" customWidth="1"/>
    <col min="4358" max="4358" width="12.75" style="3546" bestFit="1" customWidth="1"/>
    <col min="4359" max="4361" width="11.25" style="3546" customWidth="1"/>
    <col min="4362" max="4362" width="14.25" style="3546" customWidth="1"/>
    <col min="4363" max="4363" width="11.25" style="3546" customWidth="1"/>
    <col min="4364" max="4364" width="16.125" style="3546" bestFit="1" customWidth="1"/>
    <col min="4365" max="4366" width="11.25" style="3546" customWidth="1"/>
    <col min="4367" max="4367" width="60.875" style="3546" bestFit="1" customWidth="1"/>
    <col min="4368" max="4608" width="9" style="3546"/>
    <col min="4609" max="4609" width="5.5" style="3546" customWidth="1"/>
    <col min="4610" max="4610" width="11.25" style="3546" customWidth="1"/>
    <col min="4611" max="4611" width="32.125" style="3546" bestFit="1" customWidth="1"/>
    <col min="4612" max="4612" width="13" style="3546" bestFit="1" customWidth="1"/>
    <col min="4613" max="4613" width="11.25" style="3546" customWidth="1"/>
    <col min="4614" max="4614" width="12.75" style="3546" bestFit="1" customWidth="1"/>
    <col min="4615" max="4617" width="11.25" style="3546" customWidth="1"/>
    <col min="4618" max="4618" width="14.25" style="3546" customWidth="1"/>
    <col min="4619" max="4619" width="11.25" style="3546" customWidth="1"/>
    <col min="4620" max="4620" width="16.125" style="3546" bestFit="1" customWidth="1"/>
    <col min="4621" max="4622" width="11.25" style="3546" customWidth="1"/>
    <col min="4623" max="4623" width="60.875" style="3546" bestFit="1" customWidth="1"/>
    <col min="4624" max="4864" width="9" style="3546"/>
    <col min="4865" max="4865" width="5.5" style="3546" customWidth="1"/>
    <col min="4866" max="4866" width="11.25" style="3546" customWidth="1"/>
    <col min="4867" max="4867" width="32.125" style="3546" bestFit="1" customWidth="1"/>
    <col min="4868" max="4868" width="13" style="3546" bestFit="1" customWidth="1"/>
    <col min="4869" max="4869" width="11.25" style="3546" customWidth="1"/>
    <col min="4870" max="4870" width="12.75" style="3546" bestFit="1" customWidth="1"/>
    <col min="4871" max="4873" width="11.25" style="3546" customWidth="1"/>
    <col min="4874" max="4874" width="14.25" style="3546" customWidth="1"/>
    <col min="4875" max="4875" width="11.25" style="3546" customWidth="1"/>
    <col min="4876" max="4876" width="16.125" style="3546" bestFit="1" customWidth="1"/>
    <col min="4877" max="4878" width="11.25" style="3546" customWidth="1"/>
    <col min="4879" max="4879" width="60.875" style="3546" bestFit="1" customWidth="1"/>
    <col min="4880" max="5120" width="9" style="3546"/>
    <col min="5121" max="5121" width="5.5" style="3546" customWidth="1"/>
    <col min="5122" max="5122" width="11.25" style="3546" customWidth="1"/>
    <col min="5123" max="5123" width="32.125" style="3546" bestFit="1" customWidth="1"/>
    <col min="5124" max="5124" width="13" style="3546" bestFit="1" customWidth="1"/>
    <col min="5125" max="5125" width="11.25" style="3546" customWidth="1"/>
    <col min="5126" max="5126" width="12.75" style="3546" bestFit="1" customWidth="1"/>
    <col min="5127" max="5129" width="11.25" style="3546" customWidth="1"/>
    <col min="5130" max="5130" width="14.25" style="3546" customWidth="1"/>
    <col min="5131" max="5131" width="11.25" style="3546" customWidth="1"/>
    <col min="5132" max="5132" width="16.125" style="3546" bestFit="1" customWidth="1"/>
    <col min="5133" max="5134" width="11.25" style="3546" customWidth="1"/>
    <col min="5135" max="5135" width="60.875" style="3546" bestFit="1" customWidth="1"/>
    <col min="5136" max="5376" width="9" style="3546"/>
    <col min="5377" max="5377" width="5.5" style="3546" customWidth="1"/>
    <col min="5378" max="5378" width="11.25" style="3546" customWidth="1"/>
    <col min="5379" max="5379" width="32.125" style="3546" bestFit="1" customWidth="1"/>
    <col min="5380" max="5380" width="13" style="3546" bestFit="1" customWidth="1"/>
    <col min="5381" max="5381" width="11.25" style="3546" customWidth="1"/>
    <col min="5382" max="5382" width="12.75" style="3546" bestFit="1" customWidth="1"/>
    <col min="5383" max="5385" width="11.25" style="3546" customWidth="1"/>
    <col min="5386" max="5386" width="14.25" style="3546" customWidth="1"/>
    <col min="5387" max="5387" width="11.25" style="3546" customWidth="1"/>
    <col min="5388" max="5388" width="16.125" style="3546" bestFit="1" customWidth="1"/>
    <col min="5389" max="5390" width="11.25" style="3546" customWidth="1"/>
    <col min="5391" max="5391" width="60.875" style="3546" bestFit="1" customWidth="1"/>
    <col min="5392" max="5632" width="9" style="3546"/>
    <col min="5633" max="5633" width="5.5" style="3546" customWidth="1"/>
    <col min="5634" max="5634" width="11.25" style="3546" customWidth="1"/>
    <col min="5635" max="5635" width="32.125" style="3546" bestFit="1" customWidth="1"/>
    <col min="5636" max="5636" width="13" style="3546" bestFit="1" customWidth="1"/>
    <col min="5637" max="5637" width="11.25" style="3546" customWidth="1"/>
    <col min="5638" max="5638" width="12.75" style="3546" bestFit="1" customWidth="1"/>
    <col min="5639" max="5641" width="11.25" style="3546" customWidth="1"/>
    <col min="5642" max="5642" width="14.25" style="3546" customWidth="1"/>
    <col min="5643" max="5643" width="11.25" style="3546" customWidth="1"/>
    <col min="5644" max="5644" width="16.125" style="3546" bestFit="1" customWidth="1"/>
    <col min="5645" max="5646" width="11.25" style="3546" customWidth="1"/>
    <col min="5647" max="5647" width="60.875" style="3546" bestFit="1" customWidth="1"/>
    <col min="5648" max="5888" width="9" style="3546"/>
    <col min="5889" max="5889" width="5.5" style="3546" customWidth="1"/>
    <col min="5890" max="5890" width="11.25" style="3546" customWidth="1"/>
    <col min="5891" max="5891" width="32.125" style="3546" bestFit="1" customWidth="1"/>
    <col min="5892" max="5892" width="13" style="3546" bestFit="1" customWidth="1"/>
    <col min="5893" max="5893" width="11.25" style="3546" customWidth="1"/>
    <col min="5894" max="5894" width="12.75" style="3546" bestFit="1" customWidth="1"/>
    <col min="5895" max="5897" width="11.25" style="3546" customWidth="1"/>
    <col min="5898" max="5898" width="14.25" style="3546" customWidth="1"/>
    <col min="5899" max="5899" width="11.25" style="3546" customWidth="1"/>
    <col min="5900" max="5900" width="16.125" style="3546" bestFit="1" customWidth="1"/>
    <col min="5901" max="5902" width="11.25" style="3546" customWidth="1"/>
    <col min="5903" max="5903" width="60.875" style="3546" bestFit="1" customWidth="1"/>
    <col min="5904" max="6144" width="9" style="3546"/>
    <col min="6145" max="6145" width="5.5" style="3546" customWidth="1"/>
    <col min="6146" max="6146" width="11.25" style="3546" customWidth="1"/>
    <col min="6147" max="6147" width="32.125" style="3546" bestFit="1" customWidth="1"/>
    <col min="6148" max="6148" width="13" style="3546" bestFit="1" customWidth="1"/>
    <col min="6149" max="6149" width="11.25" style="3546" customWidth="1"/>
    <col min="6150" max="6150" width="12.75" style="3546" bestFit="1" customWidth="1"/>
    <col min="6151" max="6153" width="11.25" style="3546" customWidth="1"/>
    <col min="6154" max="6154" width="14.25" style="3546" customWidth="1"/>
    <col min="6155" max="6155" width="11.25" style="3546" customWidth="1"/>
    <col min="6156" max="6156" width="16.125" style="3546" bestFit="1" customWidth="1"/>
    <col min="6157" max="6158" width="11.25" style="3546" customWidth="1"/>
    <col min="6159" max="6159" width="60.875" style="3546" bestFit="1" customWidth="1"/>
    <col min="6160" max="6400" width="9" style="3546"/>
    <col min="6401" max="6401" width="5.5" style="3546" customWidth="1"/>
    <col min="6402" max="6402" width="11.25" style="3546" customWidth="1"/>
    <col min="6403" max="6403" width="32.125" style="3546" bestFit="1" customWidth="1"/>
    <col min="6404" max="6404" width="13" style="3546" bestFit="1" customWidth="1"/>
    <col min="6405" max="6405" width="11.25" style="3546" customWidth="1"/>
    <col min="6406" max="6406" width="12.75" style="3546" bestFit="1" customWidth="1"/>
    <col min="6407" max="6409" width="11.25" style="3546" customWidth="1"/>
    <col min="6410" max="6410" width="14.25" style="3546" customWidth="1"/>
    <col min="6411" max="6411" width="11.25" style="3546" customWidth="1"/>
    <col min="6412" max="6412" width="16.125" style="3546" bestFit="1" customWidth="1"/>
    <col min="6413" max="6414" width="11.25" style="3546" customWidth="1"/>
    <col min="6415" max="6415" width="60.875" style="3546" bestFit="1" customWidth="1"/>
    <col min="6416" max="6656" width="9" style="3546"/>
    <col min="6657" max="6657" width="5.5" style="3546" customWidth="1"/>
    <col min="6658" max="6658" width="11.25" style="3546" customWidth="1"/>
    <col min="6659" max="6659" width="32.125" style="3546" bestFit="1" customWidth="1"/>
    <col min="6660" max="6660" width="13" style="3546" bestFit="1" customWidth="1"/>
    <col min="6661" max="6661" width="11.25" style="3546" customWidth="1"/>
    <col min="6662" max="6662" width="12.75" style="3546" bestFit="1" customWidth="1"/>
    <col min="6663" max="6665" width="11.25" style="3546" customWidth="1"/>
    <col min="6666" max="6666" width="14.25" style="3546" customWidth="1"/>
    <col min="6667" max="6667" width="11.25" style="3546" customWidth="1"/>
    <col min="6668" max="6668" width="16.125" style="3546" bestFit="1" customWidth="1"/>
    <col min="6669" max="6670" width="11.25" style="3546" customWidth="1"/>
    <col min="6671" max="6671" width="60.875" style="3546" bestFit="1" customWidth="1"/>
    <col min="6672" max="6912" width="9" style="3546"/>
    <col min="6913" max="6913" width="5.5" style="3546" customWidth="1"/>
    <col min="6914" max="6914" width="11.25" style="3546" customWidth="1"/>
    <col min="6915" max="6915" width="32.125" style="3546" bestFit="1" customWidth="1"/>
    <col min="6916" max="6916" width="13" style="3546" bestFit="1" customWidth="1"/>
    <col min="6917" max="6917" width="11.25" style="3546" customWidth="1"/>
    <col min="6918" max="6918" width="12.75" style="3546" bestFit="1" customWidth="1"/>
    <col min="6919" max="6921" width="11.25" style="3546" customWidth="1"/>
    <col min="6922" max="6922" width="14.25" style="3546" customWidth="1"/>
    <col min="6923" max="6923" width="11.25" style="3546" customWidth="1"/>
    <col min="6924" max="6924" width="16.125" style="3546" bestFit="1" customWidth="1"/>
    <col min="6925" max="6926" width="11.25" style="3546" customWidth="1"/>
    <col min="6927" max="6927" width="60.875" style="3546" bestFit="1" customWidth="1"/>
    <col min="6928" max="7168" width="9" style="3546"/>
    <col min="7169" max="7169" width="5.5" style="3546" customWidth="1"/>
    <col min="7170" max="7170" width="11.25" style="3546" customWidth="1"/>
    <col min="7171" max="7171" width="32.125" style="3546" bestFit="1" customWidth="1"/>
    <col min="7172" max="7172" width="13" style="3546" bestFit="1" customWidth="1"/>
    <col min="7173" max="7173" width="11.25" style="3546" customWidth="1"/>
    <col min="7174" max="7174" width="12.75" style="3546" bestFit="1" customWidth="1"/>
    <col min="7175" max="7177" width="11.25" style="3546" customWidth="1"/>
    <col min="7178" max="7178" width="14.25" style="3546" customWidth="1"/>
    <col min="7179" max="7179" width="11.25" style="3546" customWidth="1"/>
    <col min="7180" max="7180" width="16.125" style="3546" bestFit="1" customWidth="1"/>
    <col min="7181" max="7182" width="11.25" style="3546" customWidth="1"/>
    <col min="7183" max="7183" width="60.875" style="3546" bestFit="1" customWidth="1"/>
    <col min="7184" max="7424" width="9" style="3546"/>
    <col min="7425" max="7425" width="5.5" style="3546" customWidth="1"/>
    <col min="7426" max="7426" width="11.25" style="3546" customWidth="1"/>
    <col min="7427" max="7427" width="32.125" style="3546" bestFit="1" customWidth="1"/>
    <col min="7428" max="7428" width="13" style="3546" bestFit="1" customWidth="1"/>
    <col min="7429" max="7429" width="11.25" style="3546" customWidth="1"/>
    <col min="7430" max="7430" width="12.75" style="3546" bestFit="1" customWidth="1"/>
    <col min="7431" max="7433" width="11.25" style="3546" customWidth="1"/>
    <col min="7434" max="7434" width="14.25" style="3546" customWidth="1"/>
    <col min="7435" max="7435" width="11.25" style="3546" customWidth="1"/>
    <col min="7436" max="7436" width="16.125" style="3546" bestFit="1" customWidth="1"/>
    <col min="7437" max="7438" width="11.25" style="3546" customWidth="1"/>
    <col min="7439" max="7439" width="60.875" style="3546" bestFit="1" customWidth="1"/>
    <col min="7440" max="7680" width="9" style="3546"/>
    <col min="7681" max="7681" width="5.5" style="3546" customWidth="1"/>
    <col min="7682" max="7682" width="11.25" style="3546" customWidth="1"/>
    <col min="7683" max="7683" width="32.125" style="3546" bestFit="1" customWidth="1"/>
    <col min="7684" max="7684" width="13" style="3546" bestFit="1" customWidth="1"/>
    <col min="7685" max="7685" width="11.25" style="3546" customWidth="1"/>
    <col min="7686" max="7686" width="12.75" style="3546" bestFit="1" customWidth="1"/>
    <col min="7687" max="7689" width="11.25" style="3546" customWidth="1"/>
    <col min="7690" max="7690" width="14.25" style="3546" customWidth="1"/>
    <col min="7691" max="7691" width="11.25" style="3546" customWidth="1"/>
    <col min="7692" max="7692" width="16.125" style="3546" bestFit="1" customWidth="1"/>
    <col min="7693" max="7694" width="11.25" style="3546" customWidth="1"/>
    <col min="7695" max="7695" width="60.875" style="3546" bestFit="1" customWidth="1"/>
    <col min="7696" max="7936" width="9" style="3546"/>
    <col min="7937" max="7937" width="5.5" style="3546" customWidth="1"/>
    <col min="7938" max="7938" width="11.25" style="3546" customWidth="1"/>
    <col min="7939" max="7939" width="32.125" style="3546" bestFit="1" customWidth="1"/>
    <col min="7940" max="7940" width="13" style="3546" bestFit="1" customWidth="1"/>
    <col min="7941" max="7941" width="11.25" style="3546" customWidth="1"/>
    <col min="7942" max="7942" width="12.75" style="3546" bestFit="1" customWidth="1"/>
    <col min="7943" max="7945" width="11.25" style="3546" customWidth="1"/>
    <col min="7946" max="7946" width="14.25" style="3546" customWidth="1"/>
    <col min="7947" max="7947" width="11.25" style="3546" customWidth="1"/>
    <col min="7948" max="7948" width="16.125" style="3546" bestFit="1" customWidth="1"/>
    <col min="7949" max="7950" width="11.25" style="3546" customWidth="1"/>
    <col min="7951" max="7951" width="60.875" style="3546" bestFit="1" customWidth="1"/>
    <col min="7952" max="8192" width="9" style="3546"/>
    <col min="8193" max="8193" width="5.5" style="3546" customWidth="1"/>
    <col min="8194" max="8194" width="11.25" style="3546" customWidth="1"/>
    <col min="8195" max="8195" width="32.125" style="3546" bestFit="1" customWidth="1"/>
    <col min="8196" max="8196" width="13" style="3546" bestFit="1" customWidth="1"/>
    <col min="8197" max="8197" width="11.25" style="3546" customWidth="1"/>
    <col min="8198" max="8198" width="12.75" style="3546" bestFit="1" customWidth="1"/>
    <col min="8199" max="8201" width="11.25" style="3546" customWidth="1"/>
    <col min="8202" max="8202" width="14.25" style="3546" customWidth="1"/>
    <col min="8203" max="8203" width="11.25" style="3546" customWidth="1"/>
    <col min="8204" max="8204" width="16.125" style="3546" bestFit="1" customWidth="1"/>
    <col min="8205" max="8206" width="11.25" style="3546" customWidth="1"/>
    <col min="8207" max="8207" width="60.875" style="3546" bestFit="1" customWidth="1"/>
    <col min="8208" max="8448" width="9" style="3546"/>
    <col min="8449" max="8449" width="5.5" style="3546" customWidth="1"/>
    <col min="8450" max="8450" width="11.25" style="3546" customWidth="1"/>
    <col min="8451" max="8451" width="32.125" style="3546" bestFit="1" customWidth="1"/>
    <col min="8452" max="8452" width="13" style="3546" bestFit="1" customWidth="1"/>
    <col min="8453" max="8453" width="11.25" style="3546" customWidth="1"/>
    <col min="8454" max="8454" width="12.75" style="3546" bestFit="1" customWidth="1"/>
    <col min="8455" max="8457" width="11.25" style="3546" customWidth="1"/>
    <col min="8458" max="8458" width="14.25" style="3546" customWidth="1"/>
    <col min="8459" max="8459" width="11.25" style="3546" customWidth="1"/>
    <col min="8460" max="8460" width="16.125" style="3546" bestFit="1" customWidth="1"/>
    <col min="8461" max="8462" width="11.25" style="3546" customWidth="1"/>
    <col min="8463" max="8463" width="60.875" style="3546" bestFit="1" customWidth="1"/>
    <col min="8464" max="8704" width="9" style="3546"/>
    <col min="8705" max="8705" width="5.5" style="3546" customWidth="1"/>
    <col min="8706" max="8706" width="11.25" style="3546" customWidth="1"/>
    <col min="8707" max="8707" width="32.125" style="3546" bestFit="1" customWidth="1"/>
    <col min="8708" max="8708" width="13" style="3546" bestFit="1" customWidth="1"/>
    <col min="8709" max="8709" width="11.25" style="3546" customWidth="1"/>
    <col min="8710" max="8710" width="12.75" style="3546" bestFit="1" customWidth="1"/>
    <col min="8711" max="8713" width="11.25" style="3546" customWidth="1"/>
    <col min="8714" max="8714" width="14.25" style="3546" customWidth="1"/>
    <col min="8715" max="8715" width="11.25" style="3546" customWidth="1"/>
    <col min="8716" max="8716" width="16.125" style="3546" bestFit="1" customWidth="1"/>
    <col min="8717" max="8718" width="11.25" style="3546" customWidth="1"/>
    <col min="8719" max="8719" width="60.875" style="3546" bestFit="1" customWidth="1"/>
    <col min="8720" max="8960" width="9" style="3546"/>
    <col min="8961" max="8961" width="5.5" style="3546" customWidth="1"/>
    <col min="8962" max="8962" width="11.25" style="3546" customWidth="1"/>
    <col min="8963" max="8963" width="32.125" style="3546" bestFit="1" customWidth="1"/>
    <col min="8964" max="8964" width="13" style="3546" bestFit="1" customWidth="1"/>
    <col min="8965" max="8965" width="11.25" style="3546" customWidth="1"/>
    <col min="8966" max="8966" width="12.75" style="3546" bestFit="1" customWidth="1"/>
    <col min="8967" max="8969" width="11.25" style="3546" customWidth="1"/>
    <col min="8970" max="8970" width="14.25" style="3546" customWidth="1"/>
    <col min="8971" max="8971" width="11.25" style="3546" customWidth="1"/>
    <col min="8972" max="8972" width="16.125" style="3546" bestFit="1" customWidth="1"/>
    <col min="8973" max="8974" width="11.25" style="3546" customWidth="1"/>
    <col min="8975" max="8975" width="60.875" style="3546" bestFit="1" customWidth="1"/>
    <col min="8976" max="9216" width="9" style="3546"/>
    <col min="9217" max="9217" width="5.5" style="3546" customWidth="1"/>
    <col min="9218" max="9218" width="11.25" style="3546" customWidth="1"/>
    <col min="9219" max="9219" width="32.125" style="3546" bestFit="1" customWidth="1"/>
    <col min="9220" max="9220" width="13" style="3546" bestFit="1" customWidth="1"/>
    <col min="9221" max="9221" width="11.25" style="3546" customWidth="1"/>
    <col min="9222" max="9222" width="12.75" style="3546" bestFit="1" customWidth="1"/>
    <col min="9223" max="9225" width="11.25" style="3546" customWidth="1"/>
    <col min="9226" max="9226" width="14.25" style="3546" customWidth="1"/>
    <col min="9227" max="9227" width="11.25" style="3546" customWidth="1"/>
    <col min="9228" max="9228" width="16.125" style="3546" bestFit="1" customWidth="1"/>
    <col min="9229" max="9230" width="11.25" style="3546" customWidth="1"/>
    <col min="9231" max="9231" width="60.875" style="3546" bestFit="1" customWidth="1"/>
    <col min="9232" max="9472" width="9" style="3546"/>
    <col min="9473" max="9473" width="5.5" style="3546" customWidth="1"/>
    <col min="9474" max="9474" width="11.25" style="3546" customWidth="1"/>
    <col min="9475" max="9475" width="32.125" style="3546" bestFit="1" customWidth="1"/>
    <col min="9476" max="9476" width="13" style="3546" bestFit="1" customWidth="1"/>
    <col min="9477" max="9477" width="11.25" style="3546" customWidth="1"/>
    <col min="9478" max="9478" width="12.75" style="3546" bestFit="1" customWidth="1"/>
    <col min="9479" max="9481" width="11.25" style="3546" customWidth="1"/>
    <col min="9482" max="9482" width="14.25" style="3546" customWidth="1"/>
    <col min="9483" max="9483" width="11.25" style="3546" customWidth="1"/>
    <col min="9484" max="9484" width="16.125" style="3546" bestFit="1" customWidth="1"/>
    <col min="9485" max="9486" width="11.25" style="3546" customWidth="1"/>
    <col min="9487" max="9487" width="60.875" style="3546" bestFit="1" customWidth="1"/>
    <col min="9488" max="9728" width="9" style="3546"/>
    <col min="9729" max="9729" width="5.5" style="3546" customWidth="1"/>
    <col min="9730" max="9730" width="11.25" style="3546" customWidth="1"/>
    <col min="9731" max="9731" width="32.125" style="3546" bestFit="1" customWidth="1"/>
    <col min="9732" max="9732" width="13" style="3546" bestFit="1" customWidth="1"/>
    <col min="9733" max="9733" width="11.25" style="3546" customWidth="1"/>
    <col min="9734" max="9734" width="12.75" style="3546" bestFit="1" customWidth="1"/>
    <col min="9735" max="9737" width="11.25" style="3546" customWidth="1"/>
    <col min="9738" max="9738" width="14.25" style="3546" customWidth="1"/>
    <col min="9739" max="9739" width="11.25" style="3546" customWidth="1"/>
    <col min="9740" max="9740" width="16.125" style="3546" bestFit="1" customWidth="1"/>
    <col min="9741" max="9742" width="11.25" style="3546" customWidth="1"/>
    <col min="9743" max="9743" width="60.875" style="3546" bestFit="1" customWidth="1"/>
    <col min="9744" max="9984" width="9" style="3546"/>
    <col min="9985" max="9985" width="5.5" style="3546" customWidth="1"/>
    <col min="9986" max="9986" width="11.25" style="3546" customWidth="1"/>
    <col min="9987" max="9987" width="32.125" style="3546" bestFit="1" customWidth="1"/>
    <col min="9988" max="9988" width="13" style="3546" bestFit="1" customWidth="1"/>
    <col min="9989" max="9989" width="11.25" style="3546" customWidth="1"/>
    <col min="9990" max="9990" width="12.75" style="3546" bestFit="1" customWidth="1"/>
    <col min="9991" max="9993" width="11.25" style="3546" customWidth="1"/>
    <col min="9994" max="9994" width="14.25" style="3546" customWidth="1"/>
    <col min="9995" max="9995" width="11.25" style="3546" customWidth="1"/>
    <col min="9996" max="9996" width="16.125" style="3546" bestFit="1" customWidth="1"/>
    <col min="9997" max="9998" width="11.25" style="3546" customWidth="1"/>
    <col min="9999" max="9999" width="60.875" style="3546" bestFit="1" customWidth="1"/>
    <col min="10000" max="10240" width="9" style="3546"/>
    <col min="10241" max="10241" width="5.5" style="3546" customWidth="1"/>
    <col min="10242" max="10242" width="11.25" style="3546" customWidth="1"/>
    <col min="10243" max="10243" width="32.125" style="3546" bestFit="1" customWidth="1"/>
    <col min="10244" max="10244" width="13" style="3546" bestFit="1" customWidth="1"/>
    <col min="10245" max="10245" width="11.25" style="3546" customWidth="1"/>
    <col min="10246" max="10246" width="12.75" style="3546" bestFit="1" customWidth="1"/>
    <col min="10247" max="10249" width="11.25" style="3546" customWidth="1"/>
    <col min="10250" max="10250" width="14.25" style="3546" customWidth="1"/>
    <col min="10251" max="10251" width="11.25" style="3546" customWidth="1"/>
    <col min="10252" max="10252" width="16.125" style="3546" bestFit="1" customWidth="1"/>
    <col min="10253" max="10254" width="11.25" style="3546" customWidth="1"/>
    <col min="10255" max="10255" width="60.875" style="3546" bestFit="1" customWidth="1"/>
    <col min="10256" max="10496" width="9" style="3546"/>
    <col min="10497" max="10497" width="5.5" style="3546" customWidth="1"/>
    <col min="10498" max="10498" width="11.25" style="3546" customWidth="1"/>
    <col min="10499" max="10499" width="32.125" style="3546" bestFit="1" customWidth="1"/>
    <col min="10500" max="10500" width="13" style="3546" bestFit="1" customWidth="1"/>
    <col min="10501" max="10501" width="11.25" style="3546" customWidth="1"/>
    <col min="10502" max="10502" width="12.75" style="3546" bestFit="1" customWidth="1"/>
    <col min="10503" max="10505" width="11.25" style="3546" customWidth="1"/>
    <col min="10506" max="10506" width="14.25" style="3546" customWidth="1"/>
    <col min="10507" max="10507" width="11.25" style="3546" customWidth="1"/>
    <col min="10508" max="10508" width="16.125" style="3546" bestFit="1" customWidth="1"/>
    <col min="10509" max="10510" width="11.25" style="3546" customWidth="1"/>
    <col min="10511" max="10511" width="60.875" style="3546" bestFit="1" customWidth="1"/>
    <col min="10512" max="10752" width="9" style="3546"/>
    <col min="10753" max="10753" width="5.5" style="3546" customWidth="1"/>
    <col min="10754" max="10754" width="11.25" style="3546" customWidth="1"/>
    <col min="10755" max="10755" width="32.125" style="3546" bestFit="1" customWidth="1"/>
    <col min="10756" max="10756" width="13" style="3546" bestFit="1" customWidth="1"/>
    <col min="10757" max="10757" width="11.25" style="3546" customWidth="1"/>
    <col min="10758" max="10758" width="12.75" style="3546" bestFit="1" customWidth="1"/>
    <col min="10759" max="10761" width="11.25" style="3546" customWidth="1"/>
    <col min="10762" max="10762" width="14.25" style="3546" customWidth="1"/>
    <col min="10763" max="10763" width="11.25" style="3546" customWidth="1"/>
    <col min="10764" max="10764" width="16.125" style="3546" bestFit="1" customWidth="1"/>
    <col min="10765" max="10766" width="11.25" style="3546" customWidth="1"/>
    <col min="10767" max="10767" width="60.875" style="3546" bestFit="1" customWidth="1"/>
    <col min="10768" max="11008" width="9" style="3546"/>
    <col min="11009" max="11009" width="5.5" style="3546" customWidth="1"/>
    <col min="11010" max="11010" width="11.25" style="3546" customWidth="1"/>
    <col min="11011" max="11011" width="32.125" style="3546" bestFit="1" customWidth="1"/>
    <col min="11012" max="11012" width="13" style="3546" bestFit="1" customWidth="1"/>
    <col min="11013" max="11013" width="11.25" style="3546" customWidth="1"/>
    <col min="11014" max="11014" width="12.75" style="3546" bestFit="1" customWidth="1"/>
    <col min="11015" max="11017" width="11.25" style="3546" customWidth="1"/>
    <col min="11018" max="11018" width="14.25" style="3546" customWidth="1"/>
    <col min="11019" max="11019" width="11.25" style="3546" customWidth="1"/>
    <col min="11020" max="11020" width="16.125" style="3546" bestFit="1" customWidth="1"/>
    <col min="11021" max="11022" width="11.25" style="3546" customWidth="1"/>
    <col min="11023" max="11023" width="60.875" style="3546" bestFit="1" customWidth="1"/>
    <col min="11024" max="11264" width="9" style="3546"/>
    <col min="11265" max="11265" width="5.5" style="3546" customWidth="1"/>
    <col min="11266" max="11266" width="11.25" style="3546" customWidth="1"/>
    <col min="11267" max="11267" width="32.125" style="3546" bestFit="1" customWidth="1"/>
    <col min="11268" max="11268" width="13" style="3546" bestFit="1" customWidth="1"/>
    <col min="11269" max="11269" width="11.25" style="3546" customWidth="1"/>
    <col min="11270" max="11270" width="12.75" style="3546" bestFit="1" customWidth="1"/>
    <col min="11271" max="11273" width="11.25" style="3546" customWidth="1"/>
    <col min="11274" max="11274" width="14.25" style="3546" customWidth="1"/>
    <col min="11275" max="11275" width="11.25" style="3546" customWidth="1"/>
    <col min="11276" max="11276" width="16.125" style="3546" bestFit="1" customWidth="1"/>
    <col min="11277" max="11278" width="11.25" style="3546" customWidth="1"/>
    <col min="11279" max="11279" width="60.875" style="3546" bestFit="1" customWidth="1"/>
    <col min="11280" max="11520" width="9" style="3546"/>
    <col min="11521" max="11521" width="5.5" style="3546" customWidth="1"/>
    <col min="11522" max="11522" width="11.25" style="3546" customWidth="1"/>
    <col min="11523" max="11523" width="32.125" style="3546" bestFit="1" customWidth="1"/>
    <col min="11524" max="11524" width="13" style="3546" bestFit="1" customWidth="1"/>
    <col min="11525" max="11525" width="11.25" style="3546" customWidth="1"/>
    <col min="11526" max="11526" width="12.75" style="3546" bestFit="1" customWidth="1"/>
    <col min="11527" max="11529" width="11.25" style="3546" customWidth="1"/>
    <col min="11530" max="11530" width="14.25" style="3546" customWidth="1"/>
    <col min="11531" max="11531" width="11.25" style="3546" customWidth="1"/>
    <col min="11532" max="11532" width="16.125" style="3546" bestFit="1" customWidth="1"/>
    <col min="11533" max="11534" width="11.25" style="3546" customWidth="1"/>
    <col min="11535" max="11535" width="60.875" style="3546" bestFit="1" customWidth="1"/>
    <col min="11536" max="11776" width="9" style="3546"/>
    <col min="11777" max="11777" width="5.5" style="3546" customWidth="1"/>
    <col min="11778" max="11778" width="11.25" style="3546" customWidth="1"/>
    <col min="11779" max="11779" width="32.125" style="3546" bestFit="1" customWidth="1"/>
    <col min="11780" max="11780" width="13" style="3546" bestFit="1" customWidth="1"/>
    <col min="11781" max="11781" width="11.25" style="3546" customWidth="1"/>
    <col min="11782" max="11782" width="12.75" style="3546" bestFit="1" customWidth="1"/>
    <col min="11783" max="11785" width="11.25" style="3546" customWidth="1"/>
    <col min="11786" max="11786" width="14.25" style="3546" customWidth="1"/>
    <col min="11787" max="11787" width="11.25" style="3546" customWidth="1"/>
    <col min="11788" max="11788" width="16.125" style="3546" bestFit="1" customWidth="1"/>
    <col min="11789" max="11790" width="11.25" style="3546" customWidth="1"/>
    <col min="11791" max="11791" width="60.875" style="3546" bestFit="1" customWidth="1"/>
    <col min="11792" max="12032" width="9" style="3546"/>
    <col min="12033" max="12033" width="5.5" style="3546" customWidth="1"/>
    <col min="12034" max="12034" width="11.25" style="3546" customWidth="1"/>
    <col min="12035" max="12035" width="32.125" style="3546" bestFit="1" customWidth="1"/>
    <col min="12036" max="12036" width="13" style="3546" bestFit="1" customWidth="1"/>
    <col min="12037" max="12037" width="11.25" style="3546" customWidth="1"/>
    <col min="12038" max="12038" width="12.75" style="3546" bestFit="1" customWidth="1"/>
    <col min="12039" max="12041" width="11.25" style="3546" customWidth="1"/>
    <col min="12042" max="12042" width="14.25" style="3546" customWidth="1"/>
    <col min="12043" max="12043" width="11.25" style="3546" customWidth="1"/>
    <col min="12044" max="12044" width="16.125" style="3546" bestFit="1" customWidth="1"/>
    <col min="12045" max="12046" width="11.25" style="3546" customWidth="1"/>
    <col min="12047" max="12047" width="60.875" style="3546" bestFit="1" customWidth="1"/>
    <col min="12048" max="12288" width="9" style="3546"/>
    <col min="12289" max="12289" width="5.5" style="3546" customWidth="1"/>
    <col min="12290" max="12290" width="11.25" style="3546" customWidth="1"/>
    <col min="12291" max="12291" width="32.125" style="3546" bestFit="1" customWidth="1"/>
    <col min="12292" max="12292" width="13" style="3546" bestFit="1" customWidth="1"/>
    <col min="12293" max="12293" width="11.25" style="3546" customWidth="1"/>
    <col min="12294" max="12294" width="12.75" style="3546" bestFit="1" customWidth="1"/>
    <col min="12295" max="12297" width="11.25" style="3546" customWidth="1"/>
    <col min="12298" max="12298" width="14.25" style="3546" customWidth="1"/>
    <col min="12299" max="12299" width="11.25" style="3546" customWidth="1"/>
    <col min="12300" max="12300" width="16.125" style="3546" bestFit="1" customWidth="1"/>
    <col min="12301" max="12302" width="11.25" style="3546" customWidth="1"/>
    <col min="12303" max="12303" width="60.875" style="3546" bestFit="1" customWidth="1"/>
    <col min="12304" max="12544" width="9" style="3546"/>
    <col min="12545" max="12545" width="5.5" style="3546" customWidth="1"/>
    <col min="12546" max="12546" width="11.25" style="3546" customWidth="1"/>
    <col min="12547" max="12547" width="32.125" style="3546" bestFit="1" customWidth="1"/>
    <col min="12548" max="12548" width="13" style="3546" bestFit="1" customWidth="1"/>
    <col min="12549" max="12549" width="11.25" style="3546" customWidth="1"/>
    <col min="12550" max="12550" width="12.75" style="3546" bestFit="1" customWidth="1"/>
    <col min="12551" max="12553" width="11.25" style="3546" customWidth="1"/>
    <col min="12554" max="12554" width="14.25" style="3546" customWidth="1"/>
    <col min="12555" max="12555" width="11.25" style="3546" customWidth="1"/>
    <col min="12556" max="12556" width="16.125" style="3546" bestFit="1" customWidth="1"/>
    <col min="12557" max="12558" width="11.25" style="3546" customWidth="1"/>
    <col min="12559" max="12559" width="60.875" style="3546" bestFit="1" customWidth="1"/>
    <col min="12560" max="12800" width="9" style="3546"/>
    <col min="12801" max="12801" width="5.5" style="3546" customWidth="1"/>
    <col min="12802" max="12802" width="11.25" style="3546" customWidth="1"/>
    <col min="12803" max="12803" width="32.125" style="3546" bestFit="1" customWidth="1"/>
    <col min="12804" max="12804" width="13" style="3546" bestFit="1" customWidth="1"/>
    <col min="12805" max="12805" width="11.25" style="3546" customWidth="1"/>
    <col min="12806" max="12806" width="12.75" style="3546" bestFit="1" customWidth="1"/>
    <col min="12807" max="12809" width="11.25" style="3546" customWidth="1"/>
    <col min="12810" max="12810" width="14.25" style="3546" customWidth="1"/>
    <col min="12811" max="12811" width="11.25" style="3546" customWidth="1"/>
    <col min="12812" max="12812" width="16.125" style="3546" bestFit="1" customWidth="1"/>
    <col min="12813" max="12814" width="11.25" style="3546" customWidth="1"/>
    <col min="12815" max="12815" width="60.875" style="3546" bestFit="1" customWidth="1"/>
    <col min="12816" max="13056" width="9" style="3546"/>
    <col min="13057" max="13057" width="5.5" style="3546" customWidth="1"/>
    <col min="13058" max="13058" width="11.25" style="3546" customWidth="1"/>
    <col min="13059" max="13059" width="32.125" style="3546" bestFit="1" customWidth="1"/>
    <col min="13060" max="13060" width="13" style="3546" bestFit="1" customWidth="1"/>
    <col min="13061" max="13061" width="11.25" style="3546" customWidth="1"/>
    <col min="13062" max="13062" width="12.75" style="3546" bestFit="1" customWidth="1"/>
    <col min="13063" max="13065" width="11.25" style="3546" customWidth="1"/>
    <col min="13066" max="13066" width="14.25" style="3546" customWidth="1"/>
    <col min="13067" max="13067" width="11.25" style="3546" customWidth="1"/>
    <col min="13068" max="13068" width="16.125" style="3546" bestFit="1" customWidth="1"/>
    <col min="13069" max="13070" width="11.25" style="3546" customWidth="1"/>
    <col min="13071" max="13071" width="60.875" style="3546" bestFit="1" customWidth="1"/>
    <col min="13072" max="13312" width="9" style="3546"/>
    <col min="13313" max="13313" width="5.5" style="3546" customWidth="1"/>
    <col min="13314" max="13314" width="11.25" style="3546" customWidth="1"/>
    <col min="13315" max="13315" width="32.125" style="3546" bestFit="1" customWidth="1"/>
    <col min="13316" max="13316" width="13" style="3546" bestFit="1" customWidth="1"/>
    <col min="13317" max="13317" width="11.25" style="3546" customWidth="1"/>
    <col min="13318" max="13318" width="12.75" style="3546" bestFit="1" customWidth="1"/>
    <col min="13319" max="13321" width="11.25" style="3546" customWidth="1"/>
    <col min="13322" max="13322" width="14.25" style="3546" customWidth="1"/>
    <col min="13323" max="13323" width="11.25" style="3546" customWidth="1"/>
    <col min="13324" max="13324" width="16.125" style="3546" bestFit="1" customWidth="1"/>
    <col min="13325" max="13326" width="11.25" style="3546" customWidth="1"/>
    <col min="13327" max="13327" width="60.875" style="3546" bestFit="1" customWidth="1"/>
    <col min="13328" max="13568" width="9" style="3546"/>
    <col min="13569" max="13569" width="5.5" style="3546" customWidth="1"/>
    <col min="13570" max="13570" width="11.25" style="3546" customWidth="1"/>
    <col min="13571" max="13571" width="32.125" style="3546" bestFit="1" customWidth="1"/>
    <col min="13572" max="13572" width="13" style="3546" bestFit="1" customWidth="1"/>
    <col min="13573" max="13573" width="11.25" style="3546" customWidth="1"/>
    <col min="13574" max="13574" width="12.75" style="3546" bestFit="1" customWidth="1"/>
    <col min="13575" max="13577" width="11.25" style="3546" customWidth="1"/>
    <col min="13578" max="13578" width="14.25" style="3546" customWidth="1"/>
    <col min="13579" max="13579" width="11.25" style="3546" customWidth="1"/>
    <col min="13580" max="13580" width="16.125" style="3546" bestFit="1" customWidth="1"/>
    <col min="13581" max="13582" width="11.25" style="3546" customWidth="1"/>
    <col min="13583" max="13583" width="60.875" style="3546" bestFit="1" customWidth="1"/>
    <col min="13584" max="13824" width="9" style="3546"/>
    <col min="13825" max="13825" width="5.5" style="3546" customWidth="1"/>
    <col min="13826" max="13826" width="11.25" style="3546" customWidth="1"/>
    <col min="13827" max="13827" width="32.125" style="3546" bestFit="1" customWidth="1"/>
    <col min="13828" max="13828" width="13" style="3546" bestFit="1" customWidth="1"/>
    <col min="13829" max="13829" width="11.25" style="3546" customWidth="1"/>
    <col min="13830" max="13830" width="12.75" style="3546" bestFit="1" customWidth="1"/>
    <col min="13831" max="13833" width="11.25" style="3546" customWidth="1"/>
    <col min="13834" max="13834" width="14.25" style="3546" customWidth="1"/>
    <col min="13835" max="13835" width="11.25" style="3546" customWidth="1"/>
    <col min="13836" max="13836" width="16.125" style="3546" bestFit="1" customWidth="1"/>
    <col min="13837" max="13838" width="11.25" style="3546" customWidth="1"/>
    <col min="13839" max="13839" width="60.875" style="3546" bestFit="1" customWidth="1"/>
    <col min="13840" max="14080" width="9" style="3546"/>
    <col min="14081" max="14081" width="5.5" style="3546" customWidth="1"/>
    <col min="14082" max="14082" width="11.25" style="3546" customWidth="1"/>
    <col min="14083" max="14083" width="32.125" style="3546" bestFit="1" customWidth="1"/>
    <col min="14084" max="14084" width="13" style="3546" bestFit="1" customWidth="1"/>
    <col min="14085" max="14085" width="11.25" style="3546" customWidth="1"/>
    <col min="14086" max="14086" width="12.75" style="3546" bestFit="1" customWidth="1"/>
    <col min="14087" max="14089" width="11.25" style="3546" customWidth="1"/>
    <col min="14090" max="14090" width="14.25" style="3546" customWidth="1"/>
    <col min="14091" max="14091" width="11.25" style="3546" customWidth="1"/>
    <col min="14092" max="14092" width="16.125" style="3546" bestFit="1" customWidth="1"/>
    <col min="14093" max="14094" width="11.25" style="3546" customWidth="1"/>
    <col min="14095" max="14095" width="60.875" style="3546" bestFit="1" customWidth="1"/>
    <col min="14096" max="14336" width="9" style="3546"/>
    <col min="14337" max="14337" width="5.5" style="3546" customWidth="1"/>
    <col min="14338" max="14338" width="11.25" style="3546" customWidth="1"/>
    <col min="14339" max="14339" width="32.125" style="3546" bestFit="1" customWidth="1"/>
    <col min="14340" max="14340" width="13" style="3546" bestFit="1" customWidth="1"/>
    <col min="14341" max="14341" width="11.25" style="3546" customWidth="1"/>
    <col min="14342" max="14342" width="12.75" style="3546" bestFit="1" customWidth="1"/>
    <col min="14343" max="14345" width="11.25" style="3546" customWidth="1"/>
    <col min="14346" max="14346" width="14.25" style="3546" customWidth="1"/>
    <col min="14347" max="14347" width="11.25" style="3546" customWidth="1"/>
    <col min="14348" max="14348" width="16.125" style="3546" bestFit="1" customWidth="1"/>
    <col min="14349" max="14350" width="11.25" style="3546" customWidth="1"/>
    <col min="14351" max="14351" width="60.875" style="3546" bestFit="1" customWidth="1"/>
    <col min="14352" max="14592" width="9" style="3546"/>
    <col min="14593" max="14593" width="5.5" style="3546" customWidth="1"/>
    <col min="14594" max="14594" width="11.25" style="3546" customWidth="1"/>
    <col min="14595" max="14595" width="32.125" style="3546" bestFit="1" customWidth="1"/>
    <col min="14596" max="14596" width="13" style="3546" bestFit="1" customWidth="1"/>
    <col min="14597" max="14597" width="11.25" style="3546" customWidth="1"/>
    <col min="14598" max="14598" width="12.75" style="3546" bestFit="1" customWidth="1"/>
    <col min="14599" max="14601" width="11.25" style="3546" customWidth="1"/>
    <col min="14602" max="14602" width="14.25" style="3546" customWidth="1"/>
    <col min="14603" max="14603" width="11.25" style="3546" customWidth="1"/>
    <col min="14604" max="14604" width="16.125" style="3546" bestFit="1" customWidth="1"/>
    <col min="14605" max="14606" width="11.25" style="3546" customWidth="1"/>
    <col min="14607" max="14607" width="60.875" style="3546" bestFit="1" customWidth="1"/>
    <col min="14608" max="14848" width="9" style="3546"/>
    <col min="14849" max="14849" width="5.5" style="3546" customWidth="1"/>
    <col min="14850" max="14850" width="11.25" style="3546" customWidth="1"/>
    <col min="14851" max="14851" width="32.125" style="3546" bestFit="1" customWidth="1"/>
    <col min="14852" max="14852" width="13" style="3546" bestFit="1" customWidth="1"/>
    <col min="14853" max="14853" width="11.25" style="3546" customWidth="1"/>
    <col min="14854" max="14854" width="12.75" style="3546" bestFit="1" customWidth="1"/>
    <col min="14855" max="14857" width="11.25" style="3546" customWidth="1"/>
    <col min="14858" max="14858" width="14.25" style="3546" customWidth="1"/>
    <col min="14859" max="14859" width="11.25" style="3546" customWidth="1"/>
    <col min="14860" max="14860" width="16.125" style="3546" bestFit="1" customWidth="1"/>
    <col min="14861" max="14862" width="11.25" style="3546" customWidth="1"/>
    <col min="14863" max="14863" width="60.875" style="3546" bestFit="1" customWidth="1"/>
    <col min="14864" max="15104" width="9" style="3546"/>
    <col min="15105" max="15105" width="5.5" style="3546" customWidth="1"/>
    <col min="15106" max="15106" width="11.25" style="3546" customWidth="1"/>
    <col min="15107" max="15107" width="32.125" style="3546" bestFit="1" customWidth="1"/>
    <col min="15108" max="15108" width="13" style="3546" bestFit="1" customWidth="1"/>
    <col min="15109" max="15109" width="11.25" style="3546" customWidth="1"/>
    <col min="15110" max="15110" width="12.75" style="3546" bestFit="1" customWidth="1"/>
    <col min="15111" max="15113" width="11.25" style="3546" customWidth="1"/>
    <col min="15114" max="15114" width="14.25" style="3546" customWidth="1"/>
    <col min="15115" max="15115" width="11.25" style="3546" customWidth="1"/>
    <col min="15116" max="15116" width="16.125" style="3546" bestFit="1" customWidth="1"/>
    <col min="15117" max="15118" width="11.25" style="3546" customWidth="1"/>
    <col min="15119" max="15119" width="60.875" style="3546" bestFit="1" customWidth="1"/>
    <col min="15120" max="15360" width="9" style="3546"/>
    <col min="15361" max="15361" width="5.5" style="3546" customWidth="1"/>
    <col min="15362" max="15362" width="11.25" style="3546" customWidth="1"/>
    <col min="15363" max="15363" width="32.125" style="3546" bestFit="1" customWidth="1"/>
    <col min="15364" max="15364" width="13" style="3546" bestFit="1" customWidth="1"/>
    <col min="15365" max="15365" width="11.25" style="3546" customWidth="1"/>
    <col min="15366" max="15366" width="12.75" style="3546" bestFit="1" customWidth="1"/>
    <col min="15367" max="15369" width="11.25" style="3546" customWidth="1"/>
    <col min="15370" max="15370" width="14.25" style="3546" customWidth="1"/>
    <col min="15371" max="15371" width="11.25" style="3546" customWidth="1"/>
    <col min="15372" max="15372" width="16.125" style="3546" bestFit="1" customWidth="1"/>
    <col min="15373" max="15374" width="11.25" style="3546" customWidth="1"/>
    <col min="15375" max="15375" width="60.875" style="3546" bestFit="1" customWidth="1"/>
    <col min="15376" max="15616" width="9" style="3546"/>
    <col min="15617" max="15617" width="5.5" style="3546" customWidth="1"/>
    <col min="15618" max="15618" width="11.25" style="3546" customWidth="1"/>
    <col min="15619" max="15619" width="32.125" style="3546" bestFit="1" customWidth="1"/>
    <col min="15620" max="15620" width="13" style="3546" bestFit="1" customWidth="1"/>
    <col min="15621" max="15621" width="11.25" style="3546" customWidth="1"/>
    <col min="15622" max="15622" width="12.75" style="3546" bestFit="1" customWidth="1"/>
    <col min="15623" max="15625" width="11.25" style="3546" customWidth="1"/>
    <col min="15626" max="15626" width="14.25" style="3546" customWidth="1"/>
    <col min="15627" max="15627" width="11.25" style="3546" customWidth="1"/>
    <col min="15628" max="15628" width="16.125" style="3546" bestFit="1" customWidth="1"/>
    <col min="15629" max="15630" width="11.25" style="3546" customWidth="1"/>
    <col min="15631" max="15631" width="60.875" style="3546" bestFit="1" customWidth="1"/>
    <col min="15632" max="15872" width="9" style="3546"/>
    <col min="15873" max="15873" width="5.5" style="3546" customWidth="1"/>
    <col min="15874" max="15874" width="11.25" style="3546" customWidth="1"/>
    <col min="15875" max="15875" width="32.125" style="3546" bestFit="1" customWidth="1"/>
    <col min="15876" max="15876" width="13" style="3546" bestFit="1" customWidth="1"/>
    <col min="15877" max="15877" width="11.25" style="3546" customWidth="1"/>
    <col min="15878" max="15878" width="12.75" style="3546" bestFit="1" customWidth="1"/>
    <col min="15879" max="15881" width="11.25" style="3546" customWidth="1"/>
    <col min="15882" max="15882" width="14.25" style="3546" customWidth="1"/>
    <col min="15883" max="15883" width="11.25" style="3546" customWidth="1"/>
    <col min="15884" max="15884" width="16.125" style="3546" bestFit="1" customWidth="1"/>
    <col min="15885" max="15886" width="11.25" style="3546" customWidth="1"/>
    <col min="15887" max="15887" width="60.875" style="3546" bestFit="1" customWidth="1"/>
    <col min="15888" max="16128" width="9" style="3546"/>
    <col min="16129" max="16129" width="5.5" style="3546" customWidth="1"/>
    <col min="16130" max="16130" width="11.25" style="3546" customWidth="1"/>
    <col min="16131" max="16131" width="32.125" style="3546" bestFit="1" customWidth="1"/>
    <col min="16132" max="16132" width="13" style="3546" bestFit="1" customWidth="1"/>
    <col min="16133" max="16133" width="11.25" style="3546" customWidth="1"/>
    <col min="16134" max="16134" width="12.75" style="3546" bestFit="1" customWidth="1"/>
    <col min="16135" max="16137" width="11.25" style="3546" customWidth="1"/>
    <col min="16138" max="16138" width="14.25" style="3546" customWidth="1"/>
    <col min="16139" max="16139" width="11.25" style="3546" customWidth="1"/>
    <col min="16140" max="16140" width="16.125" style="3546" bestFit="1" customWidth="1"/>
    <col min="16141" max="16142" width="11.25" style="3546" customWidth="1"/>
    <col min="16143" max="16143" width="60.875" style="3546" bestFit="1" customWidth="1"/>
    <col min="16144" max="16384" width="9" style="3546"/>
  </cols>
  <sheetData>
    <row r="1" spans="1:76">
      <c r="A1" s="3546" t="s">
        <v>3620</v>
      </c>
      <c r="B1" s="3546" t="s">
        <v>3622</v>
      </c>
      <c r="C1" s="3546" t="s">
        <v>3621</v>
      </c>
      <c r="D1" s="3546" t="s">
        <v>3625</v>
      </c>
      <c r="E1" s="3546" t="s">
        <v>3626</v>
      </c>
      <c r="F1" s="3546" t="s">
        <v>3628</v>
      </c>
      <c r="G1" s="3546" t="s">
        <v>3629</v>
      </c>
      <c r="H1" s="3546" t="s">
        <v>3631</v>
      </c>
      <c r="I1" s="3546" t="s">
        <v>3632</v>
      </c>
      <c r="J1" s="3546" t="s">
        <v>3633</v>
      </c>
    </row>
    <row r="2" spans="1:76">
      <c r="A2" s="3546">
        <v>1</v>
      </c>
      <c r="B2" s="3546" t="s">
        <v>3623</v>
      </c>
      <c r="C2" s="3546" t="s">
        <v>3624</v>
      </c>
      <c r="D2" s="3546">
        <v>420</v>
      </c>
      <c r="E2" s="3546" t="s">
        <v>3627</v>
      </c>
      <c r="F2" s="3546">
        <v>370.4</v>
      </c>
      <c r="G2" s="3546" t="s">
        <v>3630</v>
      </c>
      <c r="H2" s="3546">
        <f>14*(1+5%)</f>
        <v>14.700000000000001</v>
      </c>
      <c r="I2" s="3546" t="s">
        <v>3639</v>
      </c>
      <c r="J2" s="3546" t="s">
        <v>3634</v>
      </c>
      <c r="K2" s="3546">
        <f>3.2/30</f>
        <v>0.10666666666666667</v>
      </c>
    </row>
    <row r="3" spans="1:76">
      <c r="A3" s="3546">
        <v>2</v>
      </c>
      <c r="B3" s="3546" t="s">
        <v>3635</v>
      </c>
      <c r="C3" s="3546" t="s">
        <v>3636</v>
      </c>
      <c r="D3" s="3546">
        <f>654.11+657.17</f>
        <v>1311.28</v>
      </c>
      <c r="E3" s="3546" t="s">
        <v>3637</v>
      </c>
      <c r="G3" s="3546" t="s">
        <v>3638</v>
      </c>
      <c r="H3" s="3546">
        <f>ROUND(475*10000/D3/365*(1+5%),1)</f>
        <v>10.4</v>
      </c>
      <c r="I3" s="3546" t="s">
        <v>3640</v>
      </c>
      <c r="J3" s="3546" t="s">
        <v>3634</v>
      </c>
    </row>
    <row r="4" spans="1:76" s="3566" customFormat="1" ht="13.5">
      <c r="A4" s="3568">
        <v>3</v>
      </c>
      <c r="B4" s="3568" t="s">
        <v>3642</v>
      </c>
      <c r="C4" s="3568" t="s">
        <v>3641</v>
      </c>
      <c r="D4" s="3568">
        <v>464.13</v>
      </c>
      <c r="E4" s="3566" t="s">
        <v>3504</v>
      </c>
      <c r="F4" s="3567"/>
      <c r="H4" s="3568">
        <v>17.503500000000003</v>
      </c>
    </row>
    <row r="5" spans="1:76" s="3566" customFormat="1" ht="13.5">
      <c r="A5" s="3568">
        <v>4</v>
      </c>
      <c r="B5" s="3568" t="s">
        <v>3643</v>
      </c>
      <c r="C5" s="3568" t="s">
        <v>3641</v>
      </c>
      <c r="D5" s="3568">
        <v>465.33</v>
      </c>
      <c r="E5" s="3566" t="s">
        <v>3504</v>
      </c>
      <c r="F5" s="3567"/>
      <c r="H5" s="3568">
        <v>19.11</v>
      </c>
    </row>
    <row r="6" spans="1:76">
      <c r="A6" s="3546">
        <v>5</v>
      </c>
      <c r="C6" s="3546" t="str">
        <f>C12</f>
        <v>石景山区玉泉西里二区</v>
      </c>
      <c r="D6" s="3546">
        <f>AS11</f>
        <v>300</v>
      </c>
      <c r="E6" s="3546" t="s">
        <v>3627</v>
      </c>
      <c r="H6" s="3546">
        <f>AX11</f>
        <v>10</v>
      </c>
    </row>
    <row r="7" spans="1:76" ht="12.75" thickBot="1">
      <c r="A7" s="3546">
        <v>6</v>
      </c>
      <c r="B7" s="3546" t="s">
        <v>3768</v>
      </c>
      <c r="C7" s="3609" t="s">
        <v>3767</v>
      </c>
      <c r="D7" s="3546">
        <v>500</v>
      </c>
      <c r="E7" s="3546" t="s">
        <v>3627</v>
      </c>
      <c r="H7" s="3546">
        <v>9</v>
      </c>
    </row>
    <row r="8" spans="1:76" s="3570" customFormat="1" ht="15" thickBot="1">
      <c r="A8" s="3610">
        <v>5</v>
      </c>
      <c r="B8" s="3610" t="s">
        <v>3769</v>
      </c>
      <c r="C8" s="3610">
        <v>500</v>
      </c>
      <c r="D8" s="3610" t="s">
        <v>3504</v>
      </c>
      <c r="E8" s="3610">
        <v>10.5</v>
      </c>
      <c r="F8" s="3610" t="s">
        <v>3770</v>
      </c>
      <c r="G8" s="3903" t="s">
        <v>3583</v>
      </c>
      <c r="H8" s="3903" t="s">
        <v>3584</v>
      </c>
      <c r="I8" s="3911" t="s">
        <v>3585</v>
      </c>
      <c r="J8" s="3913" t="s">
        <v>3649</v>
      </c>
      <c r="K8" s="3915" t="s">
        <v>3650</v>
      </c>
      <c r="L8" s="3916"/>
      <c r="M8" s="3916" t="s">
        <v>3651</v>
      </c>
      <c r="N8" s="3916"/>
      <c r="O8" s="3916" t="s">
        <v>3652</v>
      </c>
      <c r="P8" s="3916"/>
      <c r="Q8" s="3916" t="s">
        <v>3653</v>
      </c>
      <c r="R8" s="3916"/>
      <c r="S8" s="3916"/>
      <c r="T8" s="3916"/>
      <c r="U8" s="3916" t="s">
        <v>3654</v>
      </c>
      <c r="V8" s="3916"/>
      <c r="W8" s="3916"/>
      <c r="X8" s="3916"/>
      <c r="Y8" s="3916"/>
      <c r="Z8" s="3916" t="s">
        <v>3655</v>
      </c>
      <c r="AA8" s="3916"/>
      <c r="AB8" s="3916" t="s">
        <v>3656</v>
      </c>
      <c r="AC8" s="3916"/>
      <c r="AD8" s="3916" t="s">
        <v>3657</v>
      </c>
      <c r="AE8" s="3916"/>
      <c r="AF8" s="3916" t="s">
        <v>3658</v>
      </c>
      <c r="AG8" s="3916"/>
      <c r="AH8" s="3916" t="s">
        <v>3659</v>
      </c>
      <c r="AI8" s="3916"/>
      <c r="AJ8" s="3917" t="s">
        <v>3660</v>
      </c>
      <c r="AK8" s="3919" t="s">
        <v>3661</v>
      </c>
      <c r="AL8" s="3920"/>
      <c r="AM8" s="3920" t="s">
        <v>3662</v>
      </c>
      <c r="AN8" s="3920"/>
      <c r="AO8" s="3920" t="s">
        <v>3663</v>
      </c>
      <c r="AP8" s="3920"/>
      <c r="AQ8" s="3920" t="s">
        <v>3664</v>
      </c>
      <c r="AR8" s="3920"/>
      <c r="AS8" s="3920"/>
      <c r="AT8" s="3920"/>
      <c r="AU8" s="3920"/>
      <c r="AV8" s="3921" t="s">
        <v>3665</v>
      </c>
      <c r="AW8" s="3921" t="s">
        <v>3666</v>
      </c>
      <c r="AX8" s="3920" t="s">
        <v>3667</v>
      </c>
      <c r="AY8" s="3920"/>
      <c r="AZ8" s="3920"/>
      <c r="BA8" s="3920"/>
      <c r="BB8" s="3920"/>
      <c r="BC8" s="3569" t="s">
        <v>3668</v>
      </c>
      <c r="BD8" s="3920" t="s">
        <v>3669</v>
      </c>
      <c r="BE8" s="3920"/>
      <c r="BF8" s="3920"/>
      <c r="BG8" s="3920" t="s">
        <v>3670</v>
      </c>
      <c r="BH8" s="3920" t="s">
        <v>3671</v>
      </c>
      <c r="BI8" s="3920"/>
      <c r="BJ8" s="3920" t="s">
        <v>3672</v>
      </c>
      <c r="BK8" s="3920" t="s">
        <v>3673</v>
      </c>
      <c r="BL8" s="3920"/>
      <c r="BM8" s="3920" t="s">
        <v>3674</v>
      </c>
      <c r="BN8" s="3926"/>
      <c r="BO8" s="3927" t="s">
        <v>3675</v>
      </c>
      <c r="BP8" s="3928"/>
      <c r="BQ8" s="3928"/>
      <c r="BR8" s="3928"/>
      <c r="BS8" s="3929"/>
      <c r="BT8" s="3930" t="s">
        <v>3676</v>
      </c>
      <c r="BU8" s="3924" t="s">
        <v>3677</v>
      </c>
      <c r="BV8" s="3924" t="s">
        <v>3678</v>
      </c>
      <c r="BW8" s="3924" t="s">
        <v>3679</v>
      </c>
      <c r="BX8" s="3924" t="s">
        <v>3680</v>
      </c>
    </row>
    <row r="9" spans="1:76" s="3570" customFormat="1" ht="32.25" thickBot="1">
      <c r="A9" s="3905" t="s">
        <v>3644</v>
      </c>
      <c r="B9" s="3907" t="s">
        <v>3645</v>
      </c>
      <c r="C9" s="3909" t="s">
        <v>3646</v>
      </c>
      <c r="D9" s="3909"/>
      <c r="E9" s="3909" t="s">
        <v>3647</v>
      </c>
      <c r="F9" s="3909" t="s">
        <v>3648</v>
      </c>
      <c r="G9" s="3904"/>
      <c r="H9" s="3904"/>
      <c r="I9" s="3912"/>
      <c r="J9" s="3914"/>
      <c r="K9" s="3573" t="s">
        <v>3683</v>
      </c>
      <c r="L9" s="3574" t="s">
        <v>3684</v>
      </c>
      <c r="M9" s="3575" t="s">
        <v>3685</v>
      </c>
      <c r="N9" s="3575" t="s">
        <v>3686</v>
      </c>
      <c r="O9" s="3574" t="s">
        <v>3687</v>
      </c>
      <c r="P9" s="3574" t="s">
        <v>3688</v>
      </c>
      <c r="Q9" s="3575" t="s">
        <v>3689</v>
      </c>
      <c r="R9" s="3575" t="s">
        <v>3690</v>
      </c>
      <c r="S9" s="3574" t="s">
        <v>3691</v>
      </c>
      <c r="T9" s="3574" t="s">
        <v>3692</v>
      </c>
      <c r="U9" s="3574" t="s">
        <v>3693</v>
      </c>
      <c r="V9" s="3574" t="s">
        <v>3694</v>
      </c>
      <c r="W9" s="3574" t="s">
        <v>3695</v>
      </c>
      <c r="X9" s="3574" t="s">
        <v>3696</v>
      </c>
      <c r="Y9" s="3574" t="s">
        <v>3697</v>
      </c>
      <c r="Z9" s="3574" t="s">
        <v>3698</v>
      </c>
      <c r="AA9" s="3574" t="s">
        <v>3699</v>
      </c>
      <c r="AB9" s="3575" t="s">
        <v>3700</v>
      </c>
      <c r="AC9" s="3574" t="s">
        <v>3701</v>
      </c>
      <c r="AD9" s="3575" t="s">
        <v>3702</v>
      </c>
      <c r="AE9" s="3575" t="s">
        <v>3703</v>
      </c>
      <c r="AF9" s="3575" t="s">
        <v>3704</v>
      </c>
      <c r="AG9" s="3575" t="s">
        <v>3701</v>
      </c>
      <c r="AH9" s="3575" t="s">
        <v>3705</v>
      </c>
      <c r="AI9" s="3575" t="s">
        <v>3706</v>
      </c>
      <c r="AJ9" s="3918"/>
      <c r="AK9" s="3576" t="s">
        <v>3707</v>
      </c>
      <c r="AL9" s="3577" t="s">
        <v>3708</v>
      </c>
      <c r="AM9" s="3577" t="s">
        <v>3709</v>
      </c>
      <c r="AN9" s="3577" t="s">
        <v>3710</v>
      </c>
      <c r="AO9" s="3577" t="s">
        <v>3711</v>
      </c>
      <c r="AP9" s="3578" t="s">
        <v>3701</v>
      </c>
      <c r="AQ9" s="3578" t="s">
        <v>3712</v>
      </c>
      <c r="AR9" s="3577" t="s">
        <v>3713</v>
      </c>
      <c r="AS9" s="3577" t="s">
        <v>3714</v>
      </c>
      <c r="AT9" s="3577" t="s">
        <v>3715</v>
      </c>
      <c r="AU9" s="3578" t="s">
        <v>3716</v>
      </c>
      <c r="AV9" s="3922"/>
      <c r="AW9" s="3922"/>
      <c r="AX9" s="3579" t="s">
        <v>3717</v>
      </c>
      <c r="AY9" s="3579" t="s">
        <v>3718</v>
      </c>
      <c r="AZ9" s="3580" t="s">
        <v>3719</v>
      </c>
      <c r="BA9" s="3580" t="s">
        <v>3720</v>
      </c>
      <c r="BB9" s="3580" t="s">
        <v>3721</v>
      </c>
      <c r="BC9" s="3579"/>
      <c r="BD9" s="3577" t="s">
        <v>3722</v>
      </c>
      <c r="BE9" s="3577" t="s">
        <v>3723</v>
      </c>
      <c r="BF9" s="3577" t="s">
        <v>3724</v>
      </c>
      <c r="BG9" s="3923"/>
      <c r="BH9" s="3577" t="s">
        <v>3725</v>
      </c>
      <c r="BI9" s="3577" t="s">
        <v>3726</v>
      </c>
      <c r="BJ9" s="3923"/>
      <c r="BK9" s="3578" t="s">
        <v>3727</v>
      </c>
      <c r="BL9" s="3577" t="s">
        <v>3728</v>
      </c>
      <c r="BM9" s="3577" t="s">
        <v>3729</v>
      </c>
      <c r="BN9" s="3581" t="s">
        <v>3730</v>
      </c>
      <c r="BO9" s="3582" t="s">
        <v>3731</v>
      </c>
      <c r="BP9" s="3583" t="s">
        <v>3732</v>
      </c>
      <c r="BQ9" s="3582" t="s">
        <v>3733</v>
      </c>
      <c r="BR9" s="3582" t="s">
        <v>3734</v>
      </c>
      <c r="BS9" s="3584" t="s">
        <v>3735</v>
      </c>
      <c r="BT9" s="3931"/>
      <c r="BU9" s="3925"/>
      <c r="BV9" s="3925"/>
      <c r="BW9" s="3925"/>
      <c r="BX9" s="3925"/>
    </row>
    <row r="10" spans="1:76" s="3013" customFormat="1" ht="14.25" thickBot="1">
      <c r="A10" s="3906"/>
      <c r="B10" s="3908"/>
      <c r="C10" s="3571" t="s">
        <v>3681</v>
      </c>
      <c r="D10" s="3572" t="s">
        <v>3682</v>
      </c>
      <c r="E10" s="3910"/>
      <c r="F10" s="3910"/>
      <c r="G10" s="3587" t="s">
        <v>3743</v>
      </c>
      <c r="H10" s="3588" t="s">
        <v>3744</v>
      </c>
      <c r="I10" s="3589" t="s">
        <v>3586</v>
      </c>
      <c r="J10" s="3590" t="s">
        <v>3578</v>
      </c>
      <c r="K10" s="3591" t="s">
        <v>3745</v>
      </c>
      <c r="L10" s="3592" t="s">
        <v>673</v>
      </c>
      <c r="M10" s="3593" t="s">
        <v>3587</v>
      </c>
      <c r="N10" s="3592" t="s">
        <v>3579</v>
      </c>
      <c r="O10" s="3592" t="s">
        <v>3590</v>
      </c>
      <c r="P10" s="3592" t="s">
        <v>3737</v>
      </c>
      <c r="Q10" s="3547">
        <v>2</v>
      </c>
      <c r="R10" s="3547">
        <v>1</v>
      </c>
      <c r="S10" s="3547">
        <v>1</v>
      </c>
      <c r="T10" s="3592" t="s">
        <v>3737</v>
      </c>
      <c r="U10" s="3592" t="s">
        <v>3580</v>
      </c>
      <c r="V10" s="3547">
        <v>20</v>
      </c>
      <c r="W10" s="3547">
        <v>20</v>
      </c>
      <c r="X10" s="3547" t="s">
        <v>3737</v>
      </c>
      <c r="Y10" s="3547" t="s">
        <v>3737</v>
      </c>
      <c r="Z10" s="3547">
        <v>3</v>
      </c>
      <c r="AA10" s="3547" t="s">
        <v>3737</v>
      </c>
      <c r="AB10" s="3547">
        <v>2006</v>
      </c>
      <c r="AC10" s="3547" t="s">
        <v>3737</v>
      </c>
      <c r="AD10" s="3547" t="s">
        <v>3737</v>
      </c>
      <c r="AE10" s="3547" t="s">
        <v>3737</v>
      </c>
      <c r="AF10" s="3547" t="s">
        <v>3737</v>
      </c>
      <c r="AG10" s="3547" t="s">
        <v>3737</v>
      </c>
      <c r="AH10" s="3547" t="s">
        <v>3737</v>
      </c>
      <c r="AI10" s="3547" t="s">
        <v>3737</v>
      </c>
      <c r="AJ10" s="3602" t="s">
        <v>3737</v>
      </c>
      <c r="AK10" s="3594" t="s">
        <v>3746</v>
      </c>
      <c r="AL10" s="3594" t="s">
        <v>3747</v>
      </c>
      <c r="AM10" s="3592" t="s">
        <v>3588</v>
      </c>
      <c r="AN10" s="3592" t="s">
        <v>3737</v>
      </c>
      <c r="AO10" s="3594" t="s">
        <v>3737</v>
      </c>
      <c r="AP10" s="3594" t="s">
        <v>3737</v>
      </c>
      <c r="AQ10" s="3594">
        <v>420</v>
      </c>
      <c r="AR10" s="3595">
        <v>400</v>
      </c>
      <c r="AS10" s="3594">
        <v>420</v>
      </c>
      <c r="AT10" s="3596">
        <f t="shared" ref="AT10:AT11" si="0">IF(OR(AQ10=0,AR10=0,AS10=0),"/",AR10/AS10)</f>
        <v>0.95238095238095233</v>
      </c>
      <c r="AU10" s="3595">
        <v>0.95</v>
      </c>
      <c r="AV10" s="3592" t="s">
        <v>3591</v>
      </c>
      <c r="AW10" s="3597" t="s">
        <v>3572</v>
      </c>
      <c r="AX10" s="3594">
        <v>14</v>
      </c>
      <c r="AY10" s="3598">
        <f t="shared" ref="AY10:AY11" si="1">ROUND((AX10-BA10/30-BB10)/(1+AZ10),2)</f>
        <v>13.23</v>
      </c>
      <c r="AZ10" s="3592">
        <v>0.05</v>
      </c>
      <c r="BA10" s="3594">
        <v>3.2</v>
      </c>
      <c r="BB10" s="3594">
        <v>0</v>
      </c>
      <c r="BC10" s="3595" t="s">
        <v>3737</v>
      </c>
      <c r="BD10" s="3594">
        <v>43279</v>
      </c>
      <c r="BE10" s="3594">
        <v>45470</v>
      </c>
      <c r="BF10" s="3594">
        <v>6</v>
      </c>
      <c r="BG10" s="3594">
        <v>2</v>
      </c>
      <c r="BH10" s="3594" t="s">
        <v>3748</v>
      </c>
      <c r="BI10" s="3594">
        <v>0.01</v>
      </c>
      <c r="BJ10" s="3594" t="s">
        <v>3737</v>
      </c>
      <c r="BK10" s="3592" t="s">
        <v>3582</v>
      </c>
      <c r="BL10" s="3594">
        <v>43279</v>
      </c>
      <c r="BM10" s="3592" t="s">
        <v>3558</v>
      </c>
      <c r="BN10" s="3603" t="s">
        <v>3737</v>
      </c>
      <c r="BO10" s="3599" t="s">
        <v>3737</v>
      </c>
      <c r="BP10" s="3593" t="s">
        <v>3737</v>
      </c>
      <c r="BQ10" s="3600" t="s">
        <v>3737</v>
      </c>
      <c r="BR10" s="3600" t="s">
        <v>3737</v>
      </c>
      <c r="BS10" s="3604" t="s">
        <v>3737</v>
      </c>
      <c r="BT10" s="3601" t="s">
        <v>3737</v>
      </c>
      <c r="BU10" s="3601" t="s">
        <v>3738</v>
      </c>
      <c r="BV10" s="3601">
        <v>45030</v>
      </c>
      <c r="BW10" s="3601" t="s">
        <v>3749</v>
      </c>
      <c r="BX10" s="3601">
        <v>45034</v>
      </c>
    </row>
    <row r="11" spans="1:76" s="3013" customFormat="1" ht="14.25" thickBot="1">
      <c r="A11" s="3585" t="s">
        <v>3740</v>
      </c>
      <c r="B11" s="3586" t="s">
        <v>3741</v>
      </c>
      <c r="C11" s="3587" t="s">
        <v>3742</v>
      </c>
      <c r="D11" s="3587" t="s">
        <v>3742</v>
      </c>
      <c r="E11" s="3587" t="s">
        <v>3739</v>
      </c>
      <c r="F11" s="3587" t="s">
        <v>3739</v>
      </c>
      <c r="G11" s="3587" t="s">
        <v>3743</v>
      </c>
      <c r="H11" s="3588" t="s">
        <v>3744</v>
      </c>
      <c r="I11" s="3589" t="s">
        <v>3586</v>
      </c>
      <c r="J11" s="3590" t="s">
        <v>3589</v>
      </c>
      <c r="K11" s="3591" t="s">
        <v>3736</v>
      </c>
      <c r="L11" s="3592" t="s">
        <v>673</v>
      </c>
      <c r="M11" s="3593" t="s">
        <v>3587</v>
      </c>
      <c r="N11" s="3592" t="s">
        <v>3737</v>
      </c>
      <c r="O11" s="3592" t="s">
        <v>3590</v>
      </c>
      <c r="P11" s="3592" t="s">
        <v>3737</v>
      </c>
      <c r="Q11" s="3547" t="s">
        <v>3737</v>
      </c>
      <c r="R11" s="3547" t="s">
        <v>3737</v>
      </c>
      <c r="S11" s="3547">
        <v>1</v>
      </c>
      <c r="T11" s="3592" t="s">
        <v>3737</v>
      </c>
      <c r="U11" s="3592" t="s">
        <v>3580</v>
      </c>
      <c r="V11" s="3547" t="s">
        <v>3737</v>
      </c>
      <c r="W11" s="3547" t="s">
        <v>3737</v>
      </c>
      <c r="X11" s="3547" t="s">
        <v>3737</v>
      </c>
      <c r="Y11" s="3547" t="s">
        <v>3737</v>
      </c>
      <c r="Z11" s="3547">
        <v>3</v>
      </c>
      <c r="AA11" s="3547" t="s">
        <v>3737</v>
      </c>
      <c r="AB11" s="3547" t="s">
        <v>3737</v>
      </c>
      <c r="AC11" s="3547">
        <v>2006</v>
      </c>
      <c r="AD11" s="3547" t="s">
        <v>3737</v>
      </c>
      <c r="AE11" s="3547" t="s">
        <v>3737</v>
      </c>
      <c r="AF11" s="3547" t="s">
        <v>3737</v>
      </c>
      <c r="AG11" s="3547" t="s">
        <v>3737</v>
      </c>
      <c r="AH11" s="3547" t="s">
        <v>3737</v>
      </c>
      <c r="AI11" s="3547" t="s">
        <v>3737</v>
      </c>
      <c r="AJ11" s="3602" t="s">
        <v>3737</v>
      </c>
      <c r="AK11" s="3594" t="s">
        <v>3737</v>
      </c>
      <c r="AL11" s="3594" t="s">
        <v>3737</v>
      </c>
      <c r="AM11" s="3592" t="s">
        <v>3737</v>
      </c>
      <c r="AN11" s="3592" t="s">
        <v>3737</v>
      </c>
      <c r="AO11" s="3594" t="s">
        <v>3737</v>
      </c>
      <c r="AP11" s="3594" t="s">
        <v>3737</v>
      </c>
      <c r="AQ11" s="3594">
        <v>300</v>
      </c>
      <c r="AR11" s="3595">
        <v>220</v>
      </c>
      <c r="AS11" s="3594">
        <v>300</v>
      </c>
      <c r="AT11" s="3596">
        <f t="shared" si="0"/>
        <v>0.73333333333333328</v>
      </c>
      <c r="AU11" s="3595">
        <v>0.75</v>
      </c>
      <c r="AV11" s="3592" t="s">
        <v>3581</v>
      </c>
      <c r="AW11" s="3597" t="s">
        <v>3592</v>
      </c>
      <c r="AX11" s="3594">
        <v>10</v>
      </c>
      <c r="AY11" s="3598">
        <f t="shared" si="1"/>
        <v>9.42</v>
      </c>
      <c r="AZ11" s="3592">
        <v>0.05</v>
      </c>
      <c r="BA11" s="3594">
        <v>3.2</v>
      </c>
      <c r="BB11" s="3594">
        <v>0</v>
      </c>
      <c r="BC11" s="3595" t="s">
        <v>3737</v>
      </c>
      <c r="BD11" s="3594" t="s">
        <v>3737</v>
      </c>
      <c r="BE11" s="3594" t="s">
        <v>3737</v>
      </c>
      <c r="BF11" s="3594" t="s">
        <v>3737</v>
      </c>
      <c r="BG11" s="3594" t="s">
        <v>3737</v>
      </c>
      <c r="BH11" s="3594" t="s">
        <v>3737</v>
      </c>
      <c r="BI11" s="3594" t="s">
        <v>3737</v>
      </c>
      <c r="BJ11" s="3594" t="s">
        <v>3737</v>
      </c>
      <c r="BK11" s="3592" t="s">
        <v>3593</v>
      </c>
      <c r="BL11" s="3594" t="s">
        <v>3737</v>
      </c>
      <c r="BM11" s="3592" t="s">
        <v>3558</v>
      </c>
      <c r="BN11" s="3603" t="s">
        <v>3737</v>
      </c>
      <c r="BO11" s="3599" t="s">
        <v>3737</v>
      </c>
      <c r="BP11" s="3592" t="s">
        <v>3737</v>
      </c>
      <c r="BQ11" s="3600" t="s">
        <v>3737</v>
      </c>
      <c r="BR11" s="3600" t="s">
        <v>3737</v>
      </c>
      <c r="BS11" s="3604" t="s">
        <v>3737</v>
      </c>
      <c r="BT11" s="3601" t="s">
        <v>3751</v>
      </c>
      <c r="BU11" s="3601" t="s">
        <v>3738</v>
      </c>
      <c r="BV11" s="3601">
        <v>45030</v>
      </c>
      <c r="BW11" s="3601" t="s">
        <v>3749</v>
      </c>
      <c r="BX11" s="3601">
        <v>45034</v>
      </c>
    </row>
    <row r="12" spans="1:76" ht="12.75" thickBot="1">
      <c r="A12" s="3585" t="s">
        <v>3740</v>
      </c>
      <c r="B12" s="3586" t="s">
        <v>3741</v>
      </c>
      <c r="C12" s="3587" t="s">
        <v>3750</v>
      </c>
      <c r="D12" s="3587" t="s">
        <v>3750</v>
      </c>
      <c r="E12" s="3587" t="s">
        <v>3739</v>
      </c>
      <c r="F12" s="3587" t="s">
        <v>3739</v>
      </c>
    </row>
    <row r="15" spans="1:76">
      <c r="H15" s="3546" t="s">
        <v>3775</v>
      </c>
      <c r="I15" s="3546" t="s">
        <v>3776</v>
      </c>
      <c r="J15" s="3546" t="s">
        <v>3777</v>
      </c>
      <c r="K15" s="3546" t="s">
        <v>3779</v>
      </c>
      <c r="L15" s="3546" t="s">
        <v>3778</v>
      </c>
      <c r="M15" s="3546" t="s">
        <v>3780</v>
      </c>
      <c r="N15" s="3546" t="s">
        <v>3785</v>
      </c>
    </row>
    <row r="16" spans="1:76">
      <c r="A16" s="3546" t="s">
        <v>3772</v>
      </c>
      <c r="B16" s="3546" t="s">
        <v>3773</v>
      </c>
      <c r="C16" s="3609" t="s">
        <v>3767</v>
      </c>
      <c r="D16" s="3546">
        <v>642</v>
      </c>
      <c r="E16" s="3546">
        <v>1</v>
      </c>
      <c r="G16" s="3546" t="s">
        <v>3774</v>
      </c>
      <c r="H16" s="3546">
        <v>9</v>
      </c>
      <c r="I16" s="3546">
        <f>ROUND(H16*(1+3%),2)</f>
        <v>9.27</v>
      </c>
      <c r="J16" s="3546">
        <f>ROUND(I16*(1+3%),2)</f>
        <v>9.5500000000000007</v>
      </c>
      <c r="K16" s="3546">
        <f>ROUND(J16*(1+3%),2)</f>
        <v>9.84</v>
      </c>
      <c r="L16" s="3546">
        <f>ROUND(K16*(1+3%),2)</f>
        <v>10.14</v>
      </c>
      <c r="M16" s="3546" t="s">
        <v>3781</v>
      </c>
      <c r="N16" s="3566">
        <f>5/30</f>
        <v>0.16666666666666666</v>
      </c>
      <c r="O16" s="3546">
        <f>L16-N16</f>
        <v>9.9733333333333345</v>
      </c>
    </row>
    <row r="17" spans="1:10">
      <c r="A17" s="3546" t="s">
        <v>3782</v>
      </c>
      <c r="B17" s="3546" t="s">
        <v>3783</v>
      </c>
      <c r="C17" s="3609" t="s">
        <v>3767</v>
      </c>
      <c r="D17" s="3546">
        <v>893</v>
      </c>
      <c r="E17" s="3546" t="s">
        <v>3786</v>
      </c>
      <c r="G17" s="3546" t="s">
        <v>3784</v>
      </c>
      <c r="H17" s="3546">
        <v>7.15</v>
      </c>
      <c r="I17" s="3546">
        <v>7.51</v>
      </c>
      <c r="J17" s="3546">
        <v>7.89</v>
      </c>
    </row>
    <row r="19" spans="1:10">
      <c r="E19" s="3546" t="s">
        <v>3787</v>
      </c>
      <c r="F19" s="3546">
        <v>380.25</v>
      </c>
      <c r="G19" s="3546">
        <v>9</v>
      </c>
    </row>
    <row r="20" spans="1:10">
      <c r="E20" s="3546" t="s">
        <v>3788</v>
      </c>
      <c r="F20" s="3546">
        <v>512.75</v>
      </c>
      <c r="G20" s="3546">
        <f>G19*0.65</f>
        <v>5.8500000000000005</v>
      </c>
    </row>
    <row r="21" spans="1:10">
      <c r="G21" s="3546">
        <f>ROUND((G19*F19+G20*F20)/D17,2)</f>
        <v>7.19</v>
      </c>
    </row>
  </sheetData>
  <mergeCells count="39">
    <mergeCell ref="BV8:BV9"/>
    <mergeCell ref="BW8:BW9"/>
    <mergeCell ref="BX8:BX9"/>
    <mergeCell ref="BK8:BL8"/>
    <mergeCell ref="BM8:BN8"/>
    <mergeCell ref="BO8:BS8"/>
    <mergeCell ref="BT8:BT9"/>
    <mergeCell ref="BU8:BU9"/>
    <mergeCell ref="AX8:BB8"/>
    <mergeCell ref="BD8:BF8"/>
    <mergeCell ref="BG8:BG9"/>
    <mergeCell ref="BH8:BI8"/>
    <mergeCell ref="BJ8:BJ9"/>
    <mergeCell ref="AM8:AN8"/>
    <mergeCell ref="AO8:AP8"/>
    <mergeCell ref="AQ8:AU8"/>
    <mergeCell ref="AV8:AV9"/>
    <mergeCell ref="AW8:AW9"/>
    <mergeCell ref="AD8:AE8"/>
    <mergeCell ref="AF8:AG8"/>
    <mergeCell ref="AH8:AI8"/>
    <mergeCell ref="AJ8:AJ9"/>
    <mergeCell ref="AK8:AL8"/>
    <mergeCell ref="O8:P8"/>
    <mergeCell ref="Q8:T8"/>
    <mergeCell ref="U8:Y8"/>
    <mergeCell ref="Z8:AA8"/>
    <mergeCell ref="AB8:AC8"/>
    <mergeCell ref="H8:H9"/>
    <mergeCell ref="I8:I9"/>
    <mergeCell ref="J8:J9"/>
    <mergeCell ref="K8:L8"/>
    <mergeCell ref="M8:N8"/>
    <mergeCell ref="G8:G9"/>
    <mergeCell ref="A9:A10"/>
    <mergeCell ref="B9:B10"/>
    <mergeCell ref="C9:D9"/>
    <mergeCell ref="E9:E10"/>
    <mergeCell ref="F9:F10"/>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9" zoomScale="90" zoomScaleSheetLayoutView="90" workbookViewId="0">
      <selection activeCell="I45" sqref="I45"/>
    </sheetView>
  </sheetViews>
  <sheetFormatPr defaultColWidth="9" defaultRowHeight="13.5"/>
  <cols>
    <col min="1" max="1" width="6.375" style="3450" customWidth="1"/>
    <col min="2" max="2" width="19.375" style="3525" customWidth="1"/>
    <col min="3" max="3" width="10.125" style="3511" customWidth="1"/>
    <col min="4" max="4" width="6.375" style="3511" customWidth="1"/>
    <col min="5" max="5" width="7.375" style="3511" customWidth="1"/>
    <col min="6" max="6" width="6.5" style="3511" customWidth="1"/>
    <col min="7" max="7" width="19.375" style="3526" customWidth="1"/>
    <col min="8" max="8" width="19.5" style="3450" customWidth="1"/>
    <col min="9" max="9" width="8.625" style="3450" customWidth="1"/>
    <col min="10" max="10" width="10.5" style="3446" customWidth="1"/>
    <col min="11" max="11" width="7.75" style="3479" customWidth="1"/>
    <col min="12" max="12" width="16.375" style="3479" customWidth="1"/>
    <col min="13" max="16" width="8.125" style="3450" customWidth="1"/>
    <col min="17" max="17" width="9" style="3450"/>
    <col min="18" max="18" width="20.375" style="3450" customWidth="1"/>
    <col min="19" max="20" width="9" style="3450"/>
    <col min="21" max="21" width="15.625" style="3450" customWidth="1"/>
    <col min="22" max="16384" width="9" style="3450"/>
  </cols>
  <sheetData>
    <row r="1" spans="1:16">
      <c r="A1" s="3932" t="s">
        <v>3373</v>
      </c>
      <c r="B1" s="3932"/>
      <c r="C1" s="3932"/>
      <c r="D1" s="3932"/>
      <c r="E1" s="3932"/>
      <c r="F1" s="3932"/>
      <c r="G1" s="3932"/>
      <c r="H1" s="3932"/>
      <c r="I1" s="3932"/>
      <c r="K1" s="3933" t="s">
        <v>3374</v>
      </c>
      <c r="L1" s="3447" t="s">
        <v>3375</v>
      </c>
      <c r="M1" s="3448">
        <v>0</v>
      </c>
      <c r="N1" s="3449"/>
      <c r="O1" s="3449"/>
    </row>
    <row r="2" spans="1:16" ht="15.75" customHeight="1">
      <c r="A2" s="3451" t="s">
        <v>3376</v>
      </c>
      <c r="B2" s="3452" t="s">
        <v>3377</v>
      </c>
      <c r="C2" s="3934" t="s">
        <v>3378</v>
      </c>
      <c r="D2" s="3935"/>
      <c r="E2" s="3935"/>
      <c r="F2" s="3936"/>
      <c r="G2" s="3453" t="s">
        <v>3379</v>
      </c>
      <c r="H2" s="3937" t="s">
        <v>3380</v>
      </c>
      <c r="I2" s="3937"/>
      <c r="K2" s="3933"/>
      <c r="L2" s="3447" t="s">
        <v>3381</v>
      </c>
      <c r="M2" s="3454" t="s">
        <v>3382</v>
      </c>
      <c r="N2" s="3455"/>
      <c r="O2" s="3455"/>
    </row>
    <row r="3" spans="1:16">
      <c r="A3" s="3456" t="s">
        <v>3383</v>
      </c>
      <c r="B3" s="3457" t="s">
        <v>3384</v>
      </c>
      <c r="C3" s="3934" t="e">
        <f>'比较法-商业售价'!B2*10000</f>
        <v>#DIV/0!</v>
      </c>
      <c r="D3" s="3935"/>
      <c r="E3" s="3935"/>
      <c r="F3" s="3936"/>
      <c r="G3" s="3456" t="s">
        <v>3385</v>
      </c>
      <c r="H3" s="3458" t="s">
        <v>3386</v>
      </c>
      <c r="I3" s="3459">
        <f>'数据-汇总表'!E3</f>
        <v>642</v>
      </c>
      <c r="J3" s="3446" t="e">
        <f>C3/I3</f>
        <v>#DIV/0!</v>
      </c>
      <c r="K3" s="3933"/>
      <c r="L3" s="3447" t="s">
        <v>3387</v>
      </c>
      <c r="M3" s="3454" t="s">
        <v>3388</v>
      </c>
      <c r="N3" s="3455"/>
      <c r="O3" s="3460"/>
    </row>
    <row r="4" spans="1:16">
      <c r="A4" s="3938" t="s">
        <v>3389</v>
      </c>
      <c r="B4" s="3939" t="s">
        <v>3390</v>
      </c>
      <c r="C4" s="3940" t="e">
        <f>ROUND(C3*(I4-I6)/(1-((1+I6)/(1+I4))^I5),0)</f>
        <v>#DIV/0!</v>
      </c>
      <c r="D4" s="3941"/>
      <c r="E4" s="3941"/>
      <c r="F4" s="3942"/>
      <c r="G4" s="3938" t="s">
        <v>3391</v>
      </c>
      <c r="H4" s="3461" t="s">
        <v>3392</v>
      </c>
      <c r="I4" s="3462">
        <v>0.04</v>
      </c>
      <c r="J4" s="3446" t="e">
        <f>'比较法-商业'!C49*365/J3</f>
        <v>#DIV/0!</v>
      </c>
      <c r="K4" s="3933"/>
      <c r="L4" s="3447" t="s">
        <v>3393</v>
      </c>
      <c r="M4" s="3463">
        <f>ROUND(1-(1-M1)*M2/M3,2)</f>
        <v>0.57999999999999996</v>
      </c>
      <c r="N4" s="3455"/>
      <c r="O4" s="3455"/>
    </row>
    <row r="5" spans="1:16" s="3467" customFormat="1" ht="18" customHeight="1">
      <c r="A5" s="3938"/>
      <c r="B5" s="3939"/>
      <c r="C5" s="3943"/>
      <c r="D5" s="3944"/>
      <c r="E5" s="3944"/>
      <c r="F5" s="3945"/>
      <c r="G5" s="3938"/>
      <c r="H5" s="3457" t="s">
        <v>3394</v>
      </c>
      <c r="I5" s="3464">
        <f>'数据-取费表'!F6</f>
        <v>0</v>
      </c>
      <c r="J5" s="3465"/>
      <c r="K5" s="3933"/>
      <c r="L5" s="3447" t="s">
        <v>3395</v>
      </c>
      <c r="M5" s="3466">
        <v>0.5</v>
      </c>
      <c r="N5" s="3455"/>
      <c r="O5" s="3455"/>
    </row>
    <row r="6" spans="1:16" s="3467" customFormat="1" ht="18" customHeight="1">
      <c r="A6" s="3938"/>
      <c r="B6" s="3939"/>
      <c r="C6" s="3946"/>
      <c r="D6" s="3947"/>
      <c r="E6" s="3947"/>
      <c r="F6" s="3948"/>
      <c r="G6" s="3938"/>
      <c r="H6" s="3457" t="s">
        <v>3396</v>
      </c>
      <c r="I6" s="3462">
        <v>0.03</v>
      </c>
      <c r="J6" s="3468"/>
      <c r="K6" s="3949" t="s">
        <v>3397</v>
      </c>
      <c r="L6" s="3469" t="s">
        <v>3398</v>
      </c>
      <c r="M6" s="3470" t="s">
        <v>3399</v>
      </c>
      <c r="N6" s="3470" t="s">
        <v>3400</v>
      </c>
      <c r="O6" s="3470" t="s">
        <v>3401</v>
      </c>
      <c r="P6" s="3470" t="s">
        <v>3402</v>
      </c>
    </row>
    <row r="7" spans="1:16" s="3467" customFormat="1" ht="17.25" customHeight="1">
      <c r="A7" s="3456" t="s">
        <v>3403</v>
      </c>
      <c r="B7" s="3457" t="s">
        <v>3404</v>
      </c>
      <c r="C7" s="3934">
        <f ca="1">ROUND(C23*I7,0)</f>
        <v>3331271</v>
      </c>
      <c r="D7" s="3935"/>
      <c r="E7" s="3935"/>
      <c r="F7" s="3936"/>
      <c r="G7" s="3453" t="s">
        <v>3405</v>
      </c>
      <c r="H7" s="3457" t="s">
        <v>3406</v>
      </c>
      <c r="I7" s="3471">
        <f>'数据-取费表'!N6</f>
        <v>0.77500000000000002</v>
      </c>
      <c r="K7" s="3949"/>
      <c r="L7" s="3469" t="s">
        <v>3407</v>
      </c>
      <c r="M7" s="3470">
        <v>100</v>
      </c>
      <c r="N7" s="3470" t="s">
        <v>3408</v>
      </c>
      <c r="O7" s="3470">
        <v>60</v>
      </c>
      <c r="P7" s="3472">
        <v>0.3</v>
      </c>
    </row>
    <row r="8" spans="1:16" s="3467" customFormat="1" ht="23.25" customHeight="1">
      <c r="A8" s="3451" t="s">
        <v>3409</v>
      </c>
      <c r="B8" s="3457" t="s">
        <v>3410</v>
      </c>
      <c r="C8" s="3934">
        <f>ROUND(I8*I3,0)</f>
        <v>2889000</v>
      </c>
      <c r="D8" s="3935"/>
      <c r="E8" s="3935"/>
      <c r="F8" s="3936"/>
      <c r="G8" s="3453" t="s">
        <v>3411</v>
      </c>
      <c r="H8" s="3457" t="s">
        <v>3412</v>
      </c>
      <c r="I8" s="3473">
        <f>'数据-取费表'!L6</f>
        <v>4500</v>
      </c>
      <c r="J8" s="3474">
        <f>D36</f>
        <v>10.199999999999999</v>
      </c>
      <c r="K8" s="3949"/>
      <c r="L8" s="3469" t="s">
        <v>3413</v>
      </c>
      <c r="M8" s="3470">
        <v>100</v>
      </c>
      <c r="N8" s="3470" t="s">
        <v>3408</v>
      </c>
      <c r="O8" s="3470">
        <v>60</v>
      </c>
      <c r="P8" s="3472">
        <v>0.5</v>
      </c>
    </row>
    <row r="9" spans="1:16" s="3467" customFormat="1" ht="18" customHeight="1">
      <c r="A9" s="3451" t="s">
        <v>3414</v>
      </c>
      <c r="B9" s="3457" t="s">
        <v>3415</v>
      </c>
      <c r="C9" s="3934">
        <f>ROUND(C8*H9,0)</f>
        <v>86670</v>
      </c>
      <c r="D9" s="3935"/>
      <c r="E9" s="3935"/>
      <c r="F9" s="3936"/>
      <c r="G9" s="3453" t="s">
        <v>3416</v>
      </c>
      <c r="H9" s="3950">
        <f>'数据-取费表'!B33</f>
        <v>0.03</v>
      </c>
      <c r="I9" s="3950"/>
      <c r="J9" s="3474" t="e">
        <f>D37</f>
        <v>#DIV/0!</v>
      </c>
      <c r="K9" s="3949"/>
      <c r="L9" s="3469" t="s">
        <v>3417</v>
      </c>
      <c r="M9" s="3470">
        <v>100</v>
      </c>
      <c r="N9" s="3470" t="s">
        <v>3408</v>
      </c>
      <c r="O9" s="3470">
        <v>60</v>
      </c>
      <c r="P9" s="3472">
        <f>1-P7-P8</f>
        <v>0.19999999999999996</v>
      </c>
    </row>
    <row r="10" spans="1:16" s="3467" customFormat="1" ht="18" customHeight="1">
      <c r="A10" s="3451" t="s">
        <v>3418</v>
      </c>
      <c r="B10" s="3457" t="s">
        <v>3419</v>
      </c>
      <c r="C10" s="3934">
        <f>ROUND(C8*H10,0)</f>
        <v>0</v>
      </c>
      <c r="D10" s="3935"/>
      <c r="E10" s="3935"/>
      <c r="F10" s="3936"/>
      <c r="G10" s="3453" t="s">
        <v>3416</v>
      </c>
      <c r="H10" s="3950">
        <v>0</v>
      </c>
      <c r="I10" s="3950"/>
      <c r="J10" s="3474" t="e">
        <f>D38</f>
        <v>#DIV/0!</v>
      </c>
      <c r="K10" s="3949"/>
      <c r="L10" s="3475" t="s">
        <v>3395</v>
      </c>
      <c r="M10" s="3476">
        <f>1-M5</f>
        <v>0.5</v>
      </c>
      <c r="N10" s="3470" t="s">
        <v>3393</v>
      </c>
      <c r="O10" s="3477">
        <f>ROUND((O7*P7+O8*P8+O9*P9)/100,2)</f>
        <v>0.6</v>
      </c>
      <c r="P10" s="3478"/>
    </row>
    <row r="11" spans="1:16" s="3467" customFormat="1" ht="29.25" customHeight="1">
      <c r="A11" s="3451" t="s">
        <v>3420</v>
      </c>
      <c r="B11" s="3457" t="s">
        <v>3421</v>
      </c>
      <c r="C11" s="3934">
        <f>ROUND(I11*I3,0)</f>
        <v>128400</v>
      </c>
      <c r="D11" s="3935"/>
      <c r="E11" s="3935"/>
      <c r="F11" s="3936"/>
      <c r="G11" s="3453" t="s">
        <v>3422</v>
      </c>
      <c r="H11" s="3457" t="s">
        <v>3423</v>
      </c>
      <c r="I11" s="3453">
        <f>'数据-取费表'!B35</f>
        <v>200</v>
      </c>
      <c r="J11" s="3465"/>
      <c r="K11" s="3479"/>
      <c r="L11" s="3479"/>
      <c r="N11" s="3467">
        <f>(M4+O10)/2</f>
        <v>0.59</v>
      </c>
    </row>
    <row r="12" spans="1:16" s="3467" customFormat="1" ht="18" customHeight="1">
      <c r="A12" s="3451" t="s">
        <v>3424</v>
      </c>
      <c r="B12" s="3457" t="s">
        <v>3425</v>
      </c>
      <c r="C12" s="3934">
        <f>ROUND(C8*H12,0)</f>
        <v>43335</v>
      </c>
      <c r="D12" s="3935"/>
      <c r="E12" s="3935"/>
      <c r="F12" s="3936"/>
      <c r="G12" s="3453" t="s">
        <v>3416</v>
      </c>
      <c r="H12" s="3950">
        <f>'数据-取费表'!B36</f>
        <v>1.4999999999999999E-2</v>
      </c>
      <c r="I12" s="3950"/>
      <c r="J12" s="3480" t="s">
        <v>3426</v>
      </c>
      <c r="L12" s="3481"/>
    </row>
    <row r="13" spans="1:16" s="3467" customFormat="1" ht="18" customHeight="1">
      <c r="A13" s="3451" t="s">
        <v>438</v>
      </c>
      <c r="B13" s="3457" t="s">
        <v>3427</v>
      </c>
      <c r="C13" s="3934">
        <f>SUM(C8:F12)</f>
        <v>3147405</v>
      </c>
      <c r="D13" s="3935"/>
      <c r="E13" s="3935"/>
      <c r="F13" s="3936"/>
      <c r="G13" s="3937" t="s">
        <v>3428</v>
      </c>
      <c r="H13" s="3937"/>
      <c r="I13" s="3937"/>
      <c r="J13" s="3480" t="s">
        <v>3429</v>
      </c>
      <c r="L13" s="3481"/>
    </row>
    <row r="14" spans="1:16" s="3467" customFormat="1" ht="18" customHeight="1">
      <c r="A14" s="3451" t="s">
        <v>3430</v>
      </c>
      <c r="B14" s="3457" t="s">
        <v>3431</v>
      </c>
      <c r="C14" s="3934">
        <f>ROUND(C13*H14,0)</f>
        <v>62948</v>
      </c>
      <c r="D14" s="3935"/>
      <c r="E14" s="3935"/>
      <c r="F14" s="3936"/>
      <c r="G14" s="3453" t="s">
        <v>3432</v>
      </c>
      <c r="H14" s="3950">
        <v>0.02</v>
      </c>
      <c r="I14" s="3950"/>
      <c r="J14" s="3465"/>
      <c r="L14" s="3481"/>
    </row>
    <row r="15" spans="1:16" s="3467" customFormat="1" ht="18" customHeight="1">
      <c r="A15" s="3451" t="s">
        <v>393</v>
      </c>
      <c r="B15" s="3457" t="s">
        <v>3433</v>
      </c>
      <c r="C15" s="3955">
        <f>H15</f>
        <v>0.02</v>
      </c>
      <c r="D15" s="3956"/>
      <c r="E15" s="3953" t="str">
        <f>E18</f>
        <v>V</v>
      </c>
      <c r="F15" s="3954"/>
      <c r="G15" s="3453" t="s">
        <v>3434</v>
      </c>
      <c r="H15" s="3950">
        <v>0.02</v>
      </c>
      <c r="I15" s="3950"/>
      <c r="J15" s="3482"/>
      <c r="K15" s="3483"/>
    </row>
    <row r="16" spans="1:16" s="3467" customFormat="1" ht="18" customHeight="1">
      <c r="A16" s="3484" t="s">
        <v>394</v>
      </c>
      <c r="B16" s="3485" t="s">
        <v>3435</v>
      </c>
      <c r="C16" s="3486">
        <f ca="1">C17</f>
        <v>110757</v>
      </c>
      <c r="D16" s="3487" t="s">
        <v>3436</v>
      </c>
      <c r="E16" s="3488">
        <f ca="1">C18</f>
        <v>6.9000000000000008E-4</v>
      </c>
      <c r="F16" s="3489" t="str">
        <f>E18</f>
        <v>V</v>
      </c>
      <c r="G16" s="3934" t="s">
        <v>3437</v>
      </c>
      <c r="H16" s="3935"/>
      <c r="I16" s="3936"/>
      <c r="J16" s="3465"/>
      <c r="K16" s="3479"/>
    </row>
    <row r="17" spans="1:21" s="3467" customFormat="1" ht="18" customHeight="1">
      <c r="A17" s="3451" t="s">
        <v>3438</v>
      </c>
      <c r="B17" s="3457" t="s">
        <v>3439</v>
      </c>
      <c r="C17" s="3934">
        <f ca="1">ROUND((C13+C14)*I18*(I17/2),0)</f>
        <v>110757</v>
      </c>
      <c r="D17" s="3935"/>
      <c r="E17" s="3935"/>
      <c r="F17" s="3936"/>
      <c r="G17" s="3486" t="s">
        <v>3440</v>
      </c>
      <c r="H17" s="3457" t="s">
        <v>3441</v>
      </c>
      <c r="I17" s="3490">
        <f>'数据-取费表'!B21</f>
        <v>2</v>
      </c>
      <c r="J17" s="3480" t="s">
        <v>3442</v>
      </c>
      <c r="K17" s="3479"/>
      <c r="L17" s="3479"/>
    </row>
    <row r="18" spans="1:21" s="3467" customFormat="1" ht="18" customHeight="1">
      <c r="A18" s="3451" t="s">
        <v>3443</v>
      </c>
      <c r="B18" s="3457" t="s">
        <v>3444</v>
      </c>
      <c r="C18" s="3951">
        <f ca="1">H15*I18*I17/2</f>
        <v>6.9000000000000008E-4</v>
      </c>
      <c r="D18" s="3952"/>
      <c r="E18" s="3953" t="s">
        <v>3446</v>
      </c>
      <c r="F18" s="3954"/>
      <c r="G18" s="3486" t="s">
        <v>3447</v>
      </c>
      <c r="H18" s="3457" t="s">
        <v>3448</v>
      </c>
      <c r="I18" s="3491">
        <f ca="1">'数据-取费表'!B40</f>
        <v>3.4500000000000003E-2</v>
      </c>
      <c r="J18" s="3480" t="s">
        <v>3449</v>
      </c>
      <c r="K18" s="3479"/>
      <c r="L18" s="3479"/>
    </row>
    <row r="19" spans="1:21" s="3467" customFormat="1" ht="27" customHeight="1">
      <c r="A19" s="3451" t="s">
        <v>395</v>
      </c>
      <c r="B19" s="3457" t="s">
        <v>3450</v>
      </c>
      <c r="C19" s="3486">
        <f>C20</f>
        <v>642071</v>
      </c>
      <c r="D19" s="3487" t="s">
        <v>3436</v>
      </c>
      <c r="E19" s="3487">
        <f>C21</f>
        <v>4.0000000000000001E-3</v>
      </c>
      <c r="F19" s="3489" t="str">
        <f>E21</f>
        <v>V</v>
      </c>
      <c r="G19" s="3934" t="s">
        <v>3451</v>
      </c>
      <c r="H19" s="3935"/>
      <c r="I19" s="3936"/>
      <c r="J19" s="3465"/>
      <c r="K19" s="3479"/>
      <c r="L19" s="3479"/>
    </row>
    <row r="20" spans="1:21" s="3467" customFormat="1" ht="26.25" customHeight="1">
      <c r="A20" s="3451" t="s">
        <v>3452</v>
      </c>
      <c r="B20" s="3457" t="s">
        <v>3453</v>
      </c>
      <c r="C20" s="3934">
        <f>ROUND((C13+C14)*I20,0)</f>
        <v>642071</v>
      </c>
      <c r="D20" s="3935"/>
      <c r="E20" s="3935"/>
      <c r="F20" s="3936"/>
      <c r="G20" s="3453" t="s">
        <v>3454</v>
      </c>
      <c r="H20" s="3959" t="s">
        <v>3455</v>
      </c>
      <c r="I20" s="3961">
        <f>'数据-取费表'!Q6</f>
        <v>0.2</v>
      </c>
      <c r="J20" s="3480" t="s">
        <v>3456</v>
      </c>
      <c r="K20" s="3479"/>
      <c r="L20" s="3479"/>
      <c r="R20" s="3467" t="s">
        <v>3616</v>
      </c>
      <c r="S20" s="3467">
        <v>15</v>
      </c>
      <c r="T20" s="3467">
        <v>15</v>
      </c>
      <c r="U20" s="3561" t="e">
        <f>ROUND(U21*U22/365/0.8,1)</f>
        <v>#DIV/0!</v>
      </c>
    </row>
    <row r="21" spans="1:21" s="3467" customFormat="1" ht="27" customHeight="1">
      <c r="A21" s="3451" t="s">
        <v>3452</v>
      </c>
      <c r="B21" s="3457" t="s">
        <v>3457</v>
      </c>
      <c r="C21" s="3962">
        <f>H15*I20</f>
        <v>4.0000000000000001E-3</v>
      </c>
      <c r="D21" s="3963"/>
      <c r="E21" s="3953" t="s">
        <v>3445</v>
      </c>
      <c r="F21" s="3954"/>
      <c r="G21" s="3453" t="s">
        <v>3458</v>
      </c>
      <c r="H21" s="3960"/>
      <c r="I21" s="3961"/>
      <c r="J21" s="3465"/>
      <c r="K21" s="3479"/>
      <c r="L21" s="3479"/>
      <c r="R21" s="3467" t="s">
        <v>3613</v>
      </c>
      <c r="S21" s="3467">
        <f>S20*365*0.8/S22</f>
        <v>87600</v>
      </c>
      <c r="T21" s="3467">
        <v>60000</v>
      </c>
      <c r="U21" s="3467" t="e">
        <f>'比较法-商业售价'!C49</f>
        <v>#DIV/0!</v>
      </c>
    </row>
    <row r="22" spans="1:21" s="3467" customFormat="1" ht="18" customHeight="1">
      <c r="A22" s="3451" t="s">
        <v>396</v>
      </c>
      <c r="B22" s="3457" t="s">
        <v>3459</v>
      </c>
      <c r="C22" s="3962">
        <f>ROUND(H22/1.05,4)</f>
        <v>5.33E-2</v>
      </c>
      <c r="D22" s="3963"/>
      <c r="E22" s="3953" t="s">
        <v>3445</v>
      </c>
      <c r="F22" s="3954"/>
      <c r="G22" s="3453" t="s">
        <v>3460</v>
      </c>
      <c r="H22" s="3950">
        <f>'数据-取费表'!B41</f>
        <v>5.6000000000000001E-2</v>
      </c>
      <c r="I22" s="3950"/>
      <c r="J22" s="3492"/>
      <c r="K22" s="3479"/>
      <c r="L22" s="3479"/>
      <c r="R22" s="3467" t="s">
        <v>3614</v>
      </c>
      <c r="S22" s="3564">
        <v>0.05</v>
      </c>
      <c r="T22" s="3564">
        <f>T20*365*0.8/T21</f>
        <v>7.2999999999999995E-2</v>
      </c>
      <c r="U22" s="3565">
        <v>7.0000000000000007E-2</v>
      </c>
    </row>
    <row r="23" spans="1:21" s="3467" customFormat="1" ht="18" customHeight="1">
      <c r="A23" s="3451" t="s">
        <v>3461</v>
      </c>
      <c r="B23" s="3457" t="s">
        <v>3462</v>
      </c>
      <c r="C23" s="3934">
        <f ca="1">ROUND((C13+C14+C17+C20)/(1-H15-C18-C21-C22),0)</f>
        <v>4298414</v>
      </c>
      <c r="D23" s="3935"/>
      <c r="E23" s="3935"/>
      <c r="F23" s="3936"/>
      <c r="G23" s="3934" t="s">
        <v>3463</v>
      </c>
      <c r="H23" s="3935"/>
      <c r="I23" s="3936"/>
      <c r="J23" s="3492"/>
      <c r="K23" s="3479"/>
      <c r="L23" s="3479"/>
      <c r="R23" s="3467" t="s">
        <v>3615</v>
      </c>
    </row>
    <row r="24" spans="1:21" s="3467" customFormat="1" ht="18" customHeight="1">
      <c r="A24" s="3451" t="s">
        <v>3464</v>
      </c>
      <c r="B24" s="3457" t="s">
        <v>3465</v>
      </c>
      <c r="C24" s="3493">
        <f ca="1">C27+C28</f>
        <v>24823</v>
      </c>
      <c r="D24" s="3494" t="s">
        <v>3466</v>
      </c>
      <c r="E24" s="3957">
        <f>H29+E26+H25</f>
        <v>0.18028571428571427</v>
      </c>
      <c r="F24" s="3958"/>
      <c r="G24" s="3937" t="s">
        <v>3467</v>
      </c>
      <c r="H24" s="3937"/>
      <c r="I24" s="3937"/>
      <c r="J24" s="3492"/>
      <c r="K24" s="3563" t="e">
        <f ca="1">C4/C30</f>
        <v>#DIV/0!</v>
      </c>
      <c r="L24" s="3479"/>
    </row>
    <row r="25" spans="1:21" s="3467" customFormat="1" ht="18" customHeight="1">
      <c r="A25" s="3451" t="s">
        <v>438</v>
      </c>
      <c r="B25" s="3457" t="s">
        <v>3468</v>
      </c>
      <c r="C25" s="3955" t="s">
        <v>3469</v>
      </c>
      <c r="D25" s="3956"/>
      <c r="E25" s="3964">
        <f>ROUND(H25/1.05,4)</f>
        <v>5.33E-2</v>
      </c>
      <c r="F25" s="3965"/>
      <c r="G25" s="3453" t="s">
        <v>3470</v>
      </c>
      <c r="H25" s="3966">
        <f>'数据-取费表'!B41</f>
        <v>5.6000000000000001E-2</v>
      </c>
      <c r="I25" s="3966"/>
      <c r="J25" s="3482"/>
      <c r="K25" s="3479"/>
      <c r="L25" s="3479"/>
    </row>
    <row r="26" spans="1:21" s="3467" customFormat="1" ht="18" customHeight="1">
      <c r="A26" s="3451" t="s">
        <v>3430</v>
      </c>
      <c r="B26" s="3457" t="s">
        <v>3471</v>
      </c>
      <c r="C26" s="3955" t="s">
        <v>3469</v>
      </c>
      <c r="D26" s="3956"/>
      <c r="E26" s="3967">
        <f>H26/1.05</f>
        <v>0.11428571428571428</v>
      </c>
      <c r="F26" s="3968"/>
      <c r="G26" s="3453"/>
      <c r="H26" s="3969">
        <f>'数据-取费表'!B51</f>
        <v>0.12</v>
      </c>
      <c r="I26" s="3970"/>
      <c r="J26" s="3482"/>
      <c r="K26" s="3479"/>
      <c r="L26" s="3479"/>
      <c r="M26" s="3562">
        <f>15*365*0.8/0.05</f>
        <v>87600</v>
      </c>
    </row>
    <row r="27" spans="1:21" s="3467" customFormat="1" ht="18" customHeight="1">
      <c r="A27" s="3451" t="s">
        <v>393</v>
      </c>
      <c r="B27" s="3457" t="s">
        <v>3472</v>
      </c>
      <c r="C27" s="3934">
        <f ca="1">ROUND(C23*H27,0)</f>
        <v>21492</v>
      </c>
      <c r="D27" s="3935"/>
      <c r="E27" s="3935"/>
      <c r="F27" s="3936"/>
      <c r="G27" s="3453" t="s">
        <v>3473</v>
      </c>
      <c r="H27" s="3966">
        <v>5.0000000000000001E-3</v>
      </c>
      <c r="I27" s="3966"/>
      <c r="J27" s="3482"/>
      <c r="K27" s="3479"/>
      <c r="L27" s="3479"/>
      <c r="M27" s="3467">
        <v>65000</v>
      </c>
      <c r="N27" s="3562">
        <f>15*365/0.09</f>
        <v>60833.333333333336</v>
      </c>
    </row>
    <row r="28" spans="1:21" s="3467" customFormat="1" ht="18" customHeight="1">
      <c r="A28" s="3451" t="s">
        <v>394</v>
      </c>
      <c r="B28" s="3457" t="s">
        <v>3474</v>
      </c>
      <c r="C28" s="3934">
        <f ca="1">ROUND(C7*H28,0)</f>
        <v>3331</v>
      </c>
      <c r="D28" s="3935"/>
      <c r="E28" s="3935"/>
      <c r="F28" s="3936"/>
      <c r="G28" s="3453" t="s">
        <v>3475</v>
      </c>
      <c r="H28" s="3971">
        <v>1E-3</v>
      </c>
      <c r="I28" s="3971"/>
      <c r="J28" s="3465"/>
      <c r="K28" s="3479"/>
      <c r="L28" s="3479"/>
      <c r="M28" s="3560">
        <f>M27/M26</f>
        <v>0.74200913242009137</v>
      </c>
    </row>
    <row r="29" spans="1:21" s="3467" customFormat="1" ht="18" customHeight="1">
      <c r="A29" s="3451" t="s">
        <v>395</v>
      </c>
      <c r="B29" s="3457" t="s">
        <v>3476</v>
      </c>
      <c r="C29" s="3955" t="s">
        <v>3469</v>
      </c>
      <c r="D29" s="3956"/>
      <c r="E29" s="3972">
        <f>H29</f>
        <v>0.01</v>
      </c>
      <c r="F29" s="3958"/>
      <c r="G29" s="3453" t="s">
        <v>3477</v>
      </c>
      <c r="H29" s="3966">
        <v>0.01</v>
      </c>
      <c r="I29" s="3966"/>
      <c r="J29" s="3495"/>
      <c r="K29" s="3479"/>
      <c r="L29" s="3479"/>
    </row>
    <row r="30" spans="1:21" s="3467" customFormat="1" ht="18" customHeight="1">
      <c r="A30" s="3456" t="s">
        <v>3478</v>
      </c>
      <c r="B30" s="3457" t="s">
        <v>3479</v>
      </c>
      <c r="C30" s="3934" t="e">
        <f ca="1">ROUND((C4+C24)/(1-E24),0)</f>
        <v>#DIV/0!</v>
      </c>
      <c r="D30" s="3935"/>
      <c r="E30" s="3935"/>
      <c r="F30" s="3936"/>
      <c r="G30" s="3938" t="s">
        <v>3480</v>
      </c>
      <c r="H30" s="3938"/>
      <c r="I30" s="3938"/>
      <c r="J30" s="3496" t="s">
        <v>3481</v>
      </c>
      <c r="K30" s="3479"/>
      <c r="L30" s="3479"/>
    </row>
    <row r="31" spans="1:21" s="3467" customFormat="1" ht="18" customHeight="1">
      <c r="A31" s="3938" t="s">
        <v>3482</v>
      </c>
      <c r="B31" s="3939" t="s">
        <v>3483</v>
      </c>
      <c r="C31" s="3973" t="e">
        <f ca="1">ROUND(C30/I31/I32/I3,2)</f>
        <v>#DIV/0!</v>
      </c>
      <c r="D31" s="3974"/>
      <c r="E31" s="3974"/>
      <c r="F31" s="3975"/>
      <c r="G31" s="3937" t="s">
        <v>3484</v>
      </c>
      <c r="H31" s="3457" t="s">
        <v>3485</v>
      </c>
      <c r="I31" s="3453">
        <v>365</v>
      </c>
      <c r="J31" s="3497"/>
      <c r="K31" s="3479"/>
      <c r="L31" s="3479"/>
    </row>
    <row r="32" spans="1:21" s="3467" customFormat="1" ht="18" customHeight="1">
      <c r="A32" s="3938"/>
      <c r="B32" s="3939"/>
      <c r="C32" s="3976"/>
      <c r="D32" s="3977"/>
      <c r="E32" s="3977"/>
      <c r="F32" s="3978"/>
      <c r="G32" s="3937"/>
      <c r="H32" s="3457" t="s">
        <v>3486</v>
      </c>
      <c r="I32" s="3498">
        <v>0.95</v>
      </c>
      <c r="J32" s="3499"/>
      <c r="K32" s="3479"/>
      <c r="L32" s="3500"/>
    </row>
    <row r="33" spans="1:13" s="3467" customFormat="1" ht="18" customHeight="1">
      <c r="A33" s="3450"/>
      <c r="B33" s="3501"/>
      <c r="C33" s="3502"/>
      <c r="D33" s="3502"/>
      <c r="E33" s="3502"/>
      <c r="F33" s="3502"/>
      <c r="G33" s="3503"/>
      <c r="H33" s="3504"/>
      <c r="I33" s="3450"/>
      <c r="J33" s="3505"/>
      <c r="K33" s="3479"/>
      <c r="L33" s="3500"/>
    </row>
    <row r="34" spans="1:13" s="3467" customFormat="1" ht="18" customHeight="1">
      <c r="A34" s="3450"/>
      <c r="B34" s="3981" t="s">
        <v>3487</v>
      </c>
      <c r="C34" s="3981"/>
      <c r="D34" s="3981"/>
      <c r="E34" s="3981"/>
      <c r="F34" s="3981"/>
      <c r="G34" s="3506"/>
      <c r="H34" s="3507"/>
      <c r="I34" s="3508"/>
      <c r="J34" s="3465"/>
      <c r="K34" s="3479"/>
      <c r="L34" s="3479"/>
      <c r="M34" s="3450"/>
    </row>
    <row r="35" spans="1:13" s="3467" customFormat="1" ht="18" customHeight="1">
      <c r="A35" s="3450"/>
      <c r="B35" s="3509" t="s">
        <v>3488</v>
      </c>
      <c r="C35" s="3510" t="s">
        <v>3402</v>
      </c>
      <c r="D35" s="3982" t="s">
        <v>3489</v>
      </c>
      <c r="E35" s="3982"/>
      <c r="F35" s="3982"/>
      <c r="G35" s="3506"/>
      <c r="H35" s="3507"/>
      <c r="I35" s="3511"/>
      <c r="J35" s="3492"/>
      <c r="K35" s="3450"/>
      <c r="L35" s="3450"/>
      <c r="M35" s="3450"/>
    </row>
    <row r="36" spans="1:13">
      <c r="B36" s="3509" t="s">
        <v>3490</v>
      </c>
      <c r="C36" s="3512">
        <v>0.5</v>
      </c>
      <c r="D36" s="3983">
        <f>'比较法-商业'!C49</f>
        <v>10.199999999999999</v>
      </c>
      <c r="E36" s="3983"/>
      <c r="F36" s="3983"/>
      <c r="G36" s="3506"/>
      <c r="H36" s="3507"/>
      <c r="I36" s="3511"/>
      <c r="K36" s="3450"/>
      <c r="L36" s="3450"/>
    </row>
    <row r="37" spans="1:13" ht="20.100000000000001" customHeight="1">
      <c r="B37" s="3509" t="s">
        <v>3491</v>
      </c>
      <c r="C37" s="3512">
        <f>1-C36</f>
        <v>0.5</v>
      </c>
      <c r="D37" s="3983" t="e">
        <f>U20</f>
        <v>#DIV/0!</v>
      </c>
      <c r="E37" s="3983"/>
      <c r="F37" s="3983"/>
      <c r="G37" s="3513" t="e">
        <f>(D37-D36)/D37</f>
        <v>#DIV/0!</v>
      </c>
      <c r="H37" s="3514"/>
      <c r="I37" s="3515"/>
      <c r="J37" s="3450"/>
      <c r="K37" s="3450"/>
      <c r="L37" s="3450"/>
    </row>
    <row r="38" spans="1:13" ht="22.5" customHeight="1">
      <c r="B38" s="3984" t="s">
        <v>3492</v>
      </c>
      <c r="C38" s="3984"/>
      <c r="D38" s="3985" t="e">
        <f>ROUND(D36*C36+D37*C37,2)</f>
        <v>#DIV/0!</v>
      </c>
      <c r="E38" s="3986"/>
      <c r="F38" s="3987"/>
      <c r="G38" s="3506"/>
      <c r="H38" s="3514"/>
      <c r="I38" s="3515"/>
      <c r="J38" s="3450">
        <f>8.2*365</f>
        <v>2992.9999999999995</v>
      </c>
      <c r="K38" s="3450"/>
      <c r="L38" s="3450"/>
    </row>
    <row r="39" spans="1:13" ht="22.5" customHeight="1">
      <c r="B39" s="3509" t="s">
        <v>3493</v>
      </c>
      <c r="C39" s="3516" t="e">
        <f>ROUND(D38*0.9,1)</f>
        <v>#DIV/0!</v>
      </c>
      <c r="D39" s="3517" t="s">
        <v>3494</v>
      </c>
      <c r="E39" s="3979" t="e">
        <f>ROUND(D38*1.1,1)</f>
        <v>#DIV/0!</v>
      </c>
      <c r="F39" s="3979"/>
      <c r="G39" s="3518"/>
      <c r="H39" s="3519"/>
      <c r="J39" s="3450" t="e">
        <f ca="1">'成本法 (元)'!B3</f>
        <v>#DIV/0!</v>
      </c>
      <c r="K39" s="3450"/>
      <c r="L39" s="3450"/>
    </row>
    <row r="40" spans="1:13" ht="18" customHeight="1">
      <c r="B40" s="3509" t="s">
        <v>3495</v>
      </c>
      <c r="C40" s="3520" t="e">
        <f>ROUND(C39*365/12,0)</f>
        <v>#DIV/0!</v>
      </c>
      <c r="D40" s="3517" t="s">
        <v>3494</v>
      </c>
      <c r="E40" s="3980" t="e">
        <f>ROUND(E39*365/12,0)</f>
        <v>#DIV/0!</v>
      </c>
      <c r="F40" s="3980"/>
      <c r="G40" s="3521" t="s">
        <v>3496</v>
      </c>
      <c r="H40" s="3521">
        <f>ROUND(65*12/365,2)</f>
        <v>2.14</v>
      </c>
      <c r="J40" s="3450" t="e">
        <f ca="1">J38/J39</f>
        <v>#DIV/0!</v>
      </c>
      <c r="K40" s="3450"/>
      <c r="L40" s="3450"/>
    </row>
    <row r="41" spans="1:13" ht="18" customHeight="1">
      <c r="B41" s="3522"/>
      <c r="C41" s="3523"/>
      <c r="D41" s="3507"/>
      <c r="E41" s="3507"/>
      <c r="F41" s="3507"/>
      <c r="G41" s="3518"/>
      <c r="H41" s="3524"/>
      <c r="J41" s="3450"/>
    </row>
    <row r="42" spans="1:13" ht="18" customHeight="1">
      <c r="B42" s="3518" t="s">
        <v>3497</v>
      </c>
      <c r="C42" s="3507"/>
      <c r="D42" s="3507"/>
      <c r="E42" s="3518" t="s">
        <v>3498</v>
      </c>
      <c r="F42" s="3507"/>
      <c r="G42" s="3518"/>
      <c r="H42" s="3518" t="s">
        <v>3499</v>
      </c>
      <c r="J42" s="3450"/>
    </row>
    <row r="43" spans="1:13" ht="29.25" customHeight="1"/>
    <row r="45" spans="1:13" ht="175.5">
      <c r="C45" s="3511" t="s">
        <v>3618</v>
      </c>
      <c r="D45" s="3511" t="s">
        <v>3617</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995" t="s">
        <v>2606</v>
      </c>
      <c r="B20" s="3988" t="s">
        <v>2627</v>
      </c>
      <c r="C20" s="3100" t="s">
        <v>2438</v>
      </c>
      <c r="D20" s="3101"/>
      <c r="E20" s="3102">
        <v>1</v>
      </c>
      <c r="F20" s="3103" t="s">
        <v>2439</v>
      </c>
      <c r="G20" s="3103"/>
    </row>
    <row r="21" spans="1:13" ht="19.5" customHeight="1">
      <c r="A21" s="3996"/>
      <c r="B21" s="3989"/>
      <c r="C21" s="3104" t="s">
        <v>2440</v>
      </c>
      <c r="D21" s="3105"/>
      <c r="E21" s="3106">
        <v>1</v>
      </c>
      <c r="F21" s="3103" t="s">
        <v>2441</v>
      </c>
      <c r="G21" s="3103"/>
    </row>
    <row r="22" spans="1:13" ht="19.5" customHeight="1">
      <c r="A22" s="3996"/>
      <c r="B22" s="3989"/>
      <c r="C22" s="3104" t="s">
        <v>2442</v>
      </c>
      <c r="D22" s="3105"/>
      <c r="E22" s="3106">
        <v>0.9</v>
      </c>
      <c r="F22" s="3103" t="s">
        <v>2443</v>
      </c>
      <c r="G22" s="3103"/>
    </row>
    <row r="23" spans="1:13" ht="19.5" customHeight="1">
      <c r="A23" s="3996"/>
      <c r="B23" s="3989"/>
      <c r="C23" s="3104" t="s">
        <v>2444</v>
      </c>
      <c r="D23" s="3105"/>
      <c r="E23" s="3106">
        <v>0.9</v>
      </c>
      <c r="F23" s="3103" t="s">
        <v>2445</v>
      </c>
      <c r="G23" s="3103"/>
    </row>
    <row r="24" spans="1:13" ht="19.5" customHeight="1">
      <c r="A24" s="3996"/>
      <c r="B24" s="3989"/>
      <c r="C24" s="3104" t="s">
        <v>2446</v>
      </c>
      <c r="D24" s="3105"/>
      <c r="E24" s="3106">
        <v>0.8</v>
      </c>
      <c r="F24" s="3103" t="s">
        <v>2447</v>
      </c>
      <c r="G24" s="3103"/>
    </row>
    <row r="25" spans="1:13" ht="19.5" customHeight="1" thickBot="1">
      <c r="A25" s="3997"/>
      <c r="B25" s="3990"/>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991" t="s">
        <v>2630</v>
      </c>
      <c r="B27" s="3988" t="s">
        <v>2611</v>
      </c>
      <c r="C27" s="3100" t="s">
        <v>2451</v>
      </c>
      <c r="D27" s="3101"/>
      <c r="E27" s="3102">
        <v>1</v>
      </c>
      <c r="F27" s="3103" t="s">
        <v>2452</v>
      </c>
      <c r="G27" s="3103"/>
    </row>
    <row r="28" spans="1:13" ht="19.5" customHeight="1">
      <c r="A28" s="3992"/>
      <c r="B28" s="3989"/>
      <c r="C28" s="3104" t="s">
        <v>2453</v>
      </c>
      <c r="D28" s="3105"/>
      <c r="E28" s="3106">
        <v>1</v>
      </c>
      <c r="F28" s="3103" t="s">
        <v>2454</v>
      </c>
      <c r="G28" s="3103"/>
    </row>
    <row r="29" spans="1:13" ht="19.5" customHeight="1">
      <c r="A29" s="3992"/>
      <c r="B29" s="3989"/>
      <c r="C29" s="3104" t="s">
        <v>2455</v>
      </c>
      <c r="D29" s="3105"/>
      <c r="E29" s="3106">
        <v>0.8</v>
      </c>
      <c r="F29" s="3103" t="s">
        <v>2456</v>
      </c>
      <c r="G29" s="3103"/>
    </row>
    <row r="30" spans="1:13" ht="19.5" customHeight="1">
      <c r="A30" s="3992"/>
      <c r="B30" s="3989"/>
      <c r="C30" s="3104" t="s">
        <v>2457</v>
      </c>
      <c r="D30" s="3105"/>
      <c r="E30" s="3106">
        <v>0.8</v>
      </c>
      <c r="F30" s="3103" t="s">
        <v>2458</v>
      </c>
      <c r="G30" s="3103"/>
    </row>
    <row r="31" spans="1:13" ht="19.5" customHeight="1">
      <c r="A31" s="3992"/>
      <c r="B31" s="3989"/>
      <c r="C31" s="3104" t="s">
        <v>2459</v>
      </c>
      <c r="D31" s="3105"/>
      <c r="E31" s="3106">
        <v>0.8</v>
      </c>
      <c r="F31" s="3103" t="s">
        <v>2460</v>
      </c>
      <c r="G31" s="3103"/>
    </row>
    <row r="32" spans="1:13" ht="19.5" customHeight="1">
      <c r="A32" s="3992"/>
      <c r="B32" s="3989"/>
      <c r="C32" s="3104" t="s">
        <v>2461</v>
      </c>
      <c r="D32" s="3105"/>
      <c r="E32" s="3106">
        <v>0.7</v>
      </c>
      <c r="F32" s="3103" t="s">
        <v>2462</v>
      </c>
      <c r="G32" s="3103"/>
    </row>
    <row r="33" spans="1:7" ht="19.5" customHeight="1">
      <c r="A33" s="3992"/>
      <c r="B33" s="3989"/>
      <c r="C33" s="3104" t="s">
        <v>2463</v>
      </c>
      <c r="D33" s="3105"/>
      <c r="E33" s="3106">
        <v>0.8</v>
      </c>
      <c r="F33" s="3103" t="s">
        <v>2464</v>
      </c>
      <c r="G33" s="3103"/>
    </row>
    <row r="34" spans="1:7" ht="19.5" customHeight="1">
      <c r="A34" s="3992"/>
      <c r="B34" s="3989"/>
      <c r="C34" s="3104" t="s">
        <v>2465</v>
      </c>
      <c r="D34" s="3105"/>
      <c r="E34" s="3106">
        <v>0.6</v>
      </c>
      <c r="F34" s="3103" t="s">
        <v>2466</v>
      </c>
      <c r="G34" s="3103"/>
    </row>
    <row r="35" spans="1:7" ht="19.5" customHeight="1">
      <c r="A35" s="3992"/>
      <c r="B35" s="3989"/>
      <c r="C35" s="3104" t="s">
        <v>2467</v>
      </c>
      <c r="D35" s="3105"/>
      <c r="E35" s="3106">
        <v>0.2</v>
      </c>
      <c r="F35" s="3103" t="s">
        <v>2468</v>
      </c>
      <c r="G35" s="3103"/>
    </row>
    <row r="36" spans="1:7" ht="19.5" customHeight="1">
      <c r="A36" s="3992"/>
      <c r="B36" s="3989"/>
      <c r="C36" s="3104" t="s">
        <v>2469</v>
      </c>
      <c r="D36" s="3105"/>
      <c r="E36" s="3106">
        <v>0.2</v>
      </c>
      <c r="F36" s="3103" t="s">
        <v>2470</v>
      </c>
      <c r="G36" s="3103"/>
    </row>
    <row r="37" spans="1:7" ht="19.5" customHeight="1">
      <c r="A37" s="3992"/>
      <c r="B37" s="3994" t="s">
        <v>2631</v>
      </c>
      <c r="C37" s="3104" t="s">
        <v>2471</v>
      </c>
      <c r="D37" s="3105"/>
      <c r="E37" s="3106">
        <v>0.6</v>
      </c>
      <c r="F37" s="3103" t="s">
        <v>2472</v>
      </c>
      <c r="G37" s="3103"/>
    </row>
    <row r="38" spans="1:7" ht="19.5" customHeight="1">
      <c r="A38" s="3992"/>
      <c r="B38" s="3989"/>
      <c r="C38" s="3104" t="s">
        <v>2473</v>
      </c>
      <c r="D38" s="3105"/>
      <c r="E38" s="3106">
        <v>0.6</v>
      </c>
      <c r="F38" s="3103" t="s">
        <v>2474</v>
      </c>
      <c r="G38" s="3103"/>
    </row>
    <row r="39" spans="1:7" ht="19.5" customHeight="1" thickBot="1">
      <c r="A39" s="3993"/>
      <c r="B39" s="3990"/>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995" t="s">
        <v>2609</v>
      </c>
      <c r="B41" s="3988" t="s">
        <v>2633</v>
      </c>
      <c r="C41" s="3100" t="s">
        <v>2478</v>
      </c>
      <c r="D41" s="3101"/>
      <c r="E41" s="3102">
        <v>1</v>
      </c>
      <c r="F41" s="3103" t="s">
        <v>2479</v>
      </c>
      <c r="G41" s="3103"/>
    </row>
    <row r="42" spans="1:7" ht="19.5" customHeight="1">
      <c r="A42" s="3996"/>
      <c r="B42" s="3989"/>
      <c r="C42" s="3104" t="s">
        <v>2480</v>
      </c>
      <c r="D42" s="3105"/>
      <c r="E42" s="3106">
        <v>1</v>
      </c>
      <c r="F42" s="3103" t="s">
        <v>2481</v>
      </c>
      <c r="G42" s="3103"/>
    </row>
    <row r="43" spans="1:7" ht="19.5" customHeight="1">
      <c r="A43" s="3996"/>
      <c r="B43" s="3998"/>
      <c r="C43" s="3104" t="s">
        <v>2482</v>
      </c>
      <c r="D43" s="3105"/>
      <c r="E43" s="3106">
        <v>1.5</v>
      </c>
      <c r="F43" s="3103" t="s">
        <v>2483</v>
      </c>
      <c r="G43" s="3103"/>
    </row>
    <row r="44" spans="1:7" ht="19.5" customHeight="1">
      <c r="A44" s="3996"/>
      <c r="B44" s="3115" t="s">
        <v>2634</v>
      </c>
      <c r="C44" s="3104" t="s">
        <v>2635</v>
      </c>
      <c r="D44" s="3105"/>
      <c r="E44" s="3106">
        <v>2</v>
      </c>
      <c r="F44" s="3103" t="s">
        <v>2484</v>
      </c>
      <c r="G44" s="3103"/>
    </row>
    <row r="45" spans="1:7" ht="19.5" customHeight="1">
      <c r="A45" s="3996"/>
      <c r="B45" s="3994" t="s">
        <v>2636</v>
      </c>
      <c r="C45" s="3104" t="s">
        <v>2485</v>
      </c>
      <c r="D45" s="3105"/>
      <c r="E45" s="3106">
        <v>1</v>
      </c>
      <c r="F45" s="3103" t="s">
        <v>2486</v>
      </c>
      <c r="G45" s="3103"/>
    </row>
    <row r="46" spans="1:7" ht="19.5" customHeight="1">
      <c r="A46" s="3996"/>
      <c r="B46" s="3989"/>
      <c r="C46" s="3104" t="s">
        <v>2487</v>
      </c>
      <c r="D46" s="3105"/>
      <c r="E46" s="3106">
        <v>1</v>
      </c>
      <c r="F46" s="3103" t="s">
        <v>2488</v>
      </c>
      <c r="G46" s="3103"/>
    </row>
    <row r="47" spans="1:7" ht="19.5" customHeight="1">
      <c r="A47" s="3996"/>
      <c r="B47" s="3989"/>
      <c r="C47" s="3104" t="s">
        <v>2489</v>
      </c>
      <c r="D47" s="3105"/>
      <c r="E47" s="3106">
        <v>1</v>
      </c>
      <c r="F47" s="3103" t="s">
        <v>2490</v>
      </c>
      <c r="G47" s="3103"/>
    </row>
    <row r="48" spans="1:7" ht="19.5" customHeight="1">
      <c r="A48" s="3996"/>
      <c r="B48" s="3989"/>
      <c r="C48" s="3104" t="s">
        <v>2491</v>
      </c>
      <c r="D48" s="3105"/>
      <c r="E48" s="3106">
        <v>1</v>
      </c>
      <c r="F48" s="3103" t="s">
        <v>2492</v>
      </c>
      <c r="G48" s="3103"/>
    </row>
    <row r="49" spans="1:7" ht="19.5" customHeight="1">
      <c r="A49" s="3996"/>
      <c r="B49" s="3989"/>
      <c r="C49" s="3104" t="s">
        <v>2493</v>
      </c>
      <c r="D49" s="3105"/>
      <c r="E49" s="3106">
        <v>1</v>
      </c>
      <c r="F49" s="3103" t="s">
        <v>2494</v>
      </c>
      <c r="G49" s="3103"/>
    </row>
    <row r="50" spans="1:7" ht="19.5" customHeight="1">
      <c r="A50" s="3996"/>
      <c r="B50" s="3989"/>
      <c r="C50" s="3104" t="s">
        <v>2495</v>
      </c>
      <c r="D50" s="3105"/>
      <c r="E50" s="3106">
        <v>1</v>
      </c>
      <c r="F50" s="3103" t="s">
        <v>2496</v>
      </c>
      <c r="G50" s="3103"/>
    </row>
    <row r="51" spans="1:7" ht="19.5" customHeight="1" thickBot="1">
      <c r="A51" s="3997"/>
      <c r="B51" s="3990"/>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994" t="s">
        <v>2650</v>
      </c>
      <c r="C73" s="3089" t="s">
        <v>2651</v>
      </c>
      <c r="D73" s="3089" t="s">
        <v>2652</v>
      </c>
      <c r="E73" s="3115">
        <v>0.2</v>
      </c>
      <c r="F73" s="3115">
        <v>25</v>
      </c>
    </row>
    <row r="74" spans="1:7" ht="24">
      <c r="A74" s="3115">
        <v>2</v>
      </c>
      <c r="B74" s="3989"/>
      <c r="C74" s="3089" t="s">
        <v>2653</v>
      </c>
      <c r="D74" s="3089" t="s">
        <v>2654</v>
      </c>
      <c r="E74" s="3115">
        <v>0.2</v>
      </c>
      <c r="F74" s="3115">
        <v>25</v>
      </c>
    </row>
    <row r="75" spans="1:7" ht="24">
      <c r="A75" s="3115">
        <v>3</v>
      </c>
      <c r="B75" s="3989"/>
      <c r="C75" s="3089" t="s">
        <v>2655</v>
      </c>
      <c r="D75" s="3089" t="s">
        <v>2656</v>
      </c>
      <c r="E75" s="3115">
        <v>0.2</v>
      </c>
      <c r="F75" s="3115">
        <v>25</v>
      </c>
    </row>
    <row r="76" spans="1:7" ht="13.5">
      <c r="A76" s="3115">
        <v>4</v>
      </c>
      <c r="B76" s="3989"/>
      <c r="C76" s="3089" t="s">
        <v>2657</v>
      </c>
      <c r="D76" s="3089" t="s">
        <v>2658</v>
      </c>
      <c r="E76" s="3115">
        <v>0.15</v>
      </c>
      <c r="F76" s="3115">
        <v>20</v>
      </c>
    </row>
    <row r="77" spans="1:7" ht="24">
      <c r="A77" s="3115">
        <v>5</v>
      </c>
      <c r="B77" s="3989"/>
      <c r="C77" s="3089" t="s">
        <v>2659</v>
      </c>
      <c r="D77" s="3089" t="s">
        <v>2660</v>
      </c>
      <c r="E77" s="3115">
        <v>0.15</v>
      </c>
      <c r="F77" s="3115">
        <v>20</v>
      </c>
    </row>
    <row r="78" spans="1:7" ht="24">
      <c r="A78" s="3115">
        <v>6</v>
      </c>
      <c r="B78" s="3989"/>
      <c r="C78" s="3089" t="s">
        <v>2661</v>
      </c>
      <c r="D78" s="3089" t="s">
        <v>2662</v>
      </c>
      <c r="E78" s="3115">
        <v>0.15</v>
      </c>
      <c r="F78" s="3115">
        <v>20</v>
      </c>
    </row>
    <row r="79" spans="1:7" ht="24">
      <c r="A79" s="3115">
        <v>7</v>
      </c>
      <c r="B79" s="3989"/>
      <c r="C79" s="3089" t="s">
        <v>2663</v>
      </c>
      <c r="D79" s="3089" t="s">
        <v>2664</v>
      </c>
      <c r="E79" s="3115">
        <v>0.15</v>
      </c>
      <c r="F79" s="3115">
        <v>20</v>
      </c>
    </row>
    <row r="80" spans="1:7" ht="24">
      <c r="A80" s="3115">
        <v>8</v>
      </c>
      <c r="B80" s="3989"/>
      <c r="C80" s="3089" t="s">
        <v>2665</v>
      </c>
      <c r="D80" s="3089" t="s">
        <v>2666</v>
      </c>
      <c r="E80" s="3115">
        <v>0.1</v>
      </c>
      <c r="F80" s="3115">
        <v>15</v>
      </c>
    </row>
    <row r="81" spans="1:6" ht="24">
      <c r="A81" s="3115">
        <v>9</v>
      </c>
      <c r="B81" s="3989"/>
      <c r="C81" s="3089" t="s">
        <v>2667</v>
      </c>
      <c r="D81" s="3089" t="s">
        <v>2668</v>
      </c>
      <c r="E81" s="3115">
        <v>0.1</v>
      </c>
      <c r="F81" s="3115">
        <v>15</v>
      </c>
    </row>
    <row r="82" spans="1:6" ht="24">
      <c r="A82" s="3115">
        <v>10</v>
      </c>
      <c r="B82" s="3989"/>
      <c r="C82" s="3089" t="s">
        <v>2669</v>
      </c>
      <c r="D82" s="3089" t="s">
        <v>2670</v>
      </c>
      <c r="E82" s="3115">
        <v>0.1</v>
      </c>
      <c r="F82" s="3115">
        <v>15</v>
      </c>
    </row>
    <row r="83" spans="1:6" ht="24">
      <c r="A83" s="3115">
        <v>11</v>
      </c>
      <c r="B83" s="3989"/>
      <c r="C83" s="3089" t="s">
        <v>2671</v>
      </c>
      <c r="D83" s="3089" t="s">
        <v>2672</v>
      </c>
      <c r="E83" s="3115">
        <v>0.1</v>
      </c>
      <c r="F83" s="3115">
        <v>15</v>
      </c>
    </row>
    <row r="84" spans="1:6" ht="24">
      <c r="A84" s="3115">
        <v>12</v>
      </c>
      <c r="B84" s="3989"/>
      <c r="C84" s="3089" t="s">
        <v>2673</v>
      </c>
      <c r="D84" s="3089" t="s">
        <v>2674</v>
      </c>
      <c r="E84" s="3115">
        <v>0.1</v>
      </c>
      <c r="F84" s="3115">
        <v>15</v>
      </c>
    </row>
    <row r="85" spans="1:6" ht="13.5">
      <c r="A85" s="3115">
        <v>13</v>
      </c>
      <c r="B85" s="3989"/>
      <c r="C85" s="3089" t="s">
        <v>2675</v>
      </c>
      <c r="D85" s="3089" t="s">
        <v>2676</v>
      </c>
      <c r="E85" s="3115">
        <v>0.1</v>
      </c>
      <c r="F85" s="3115">
        <v>15</v>
      </c>
    </row>
    <row r="86" spans="1:6" ht="13.5">
      <c r="A86" s="3115">
        <v>14</v>
      </c>
      <c r="B86" s="3989"/>
      <c r="C86" s="3089" t="s">
        <v>2677</v>
      </c>
      <c r="D86" s="3089" t="s">
        <v>2678</v>
      </c>
      <c r="E86" s="3115">
        <v>0.1</v>
      </c>
      <c r="F86" s="3115">
        <v>15</v>
      </c>
    </row>
    <row r="87" spans="1:6" ht="13.5">
      <c r="A87" s="3115">
        <v>15</v>
      </c>
      <c r="B87" s="3989"/>
      <c r="C87" s="3089" t="s">
        <v>2679</v>
      </c>
      <c r="D87" s="3089" t="s">
        <v>2680</v>
      </c>
      <c r="E87" s="3115">
        <v>0.1</v>
      </c>
      <c r="F87" s="3115">
        <v>15</v>
      </c>
    </row>
    <row r="88" spans="1:6" ht="24">
      <c r="A88" s="3115">
        <v>16</v>
      </c>
      <c r="B88" s="3989"/>
      <c r="C88" s="3089" t="s">
        <v>2681</v>
      </c>
      <c r="D88" s="3089" t="s">
        <v>2682</v>
      </c>
      <c r="E88" s="3115">
        <v>0.1</v>
      </c>
      <c r="F88" s="3115">
        <v>15</v>
      </c>
    </row>
    <row r="89" spans="1:6" ht="24">
      <c r="A89" s="3115">
        <v>17</v>
      </c>
      <c r="B89" s="3998"/>
      <c r="C89" s="3089" t="s">
        <v>2683</v>
      </c>
      <c r="D89" s="3089" t="s">
        <v>2684</v>
      </c>
      <c r="E89" s="3115">
        <v>0.1</v>
      </c>
      <c r="F89" s="3115">
        <v>15</v>
      </c>
    </row>
    <row r="90" spans="1:6" ht="13.5">
      <c r="A90" s="3115">
        <v>18</v>
      </c>
      <c r="B90" s="3994" t="s">
        <v>2685</v>
      </c>
      <c r="C90" s="3089" t="s">
        <v>2686</v>
      </c>
      <c r="D90" s="3089" t="s">
        <v>2687</v>
      </c>
      <c r="E90" s="3115">
        <v>0.2</v>
      </c>
      <c r="F90" s="3115">
        <v>25</v>
      </c>
    </row>
    <row r="91" spans="1:6" ht="24">
      <c r="A91" s="3115">
        <v>19</v>
      </c>
      <c r="B91" s="3989"/>
      <c r="C91" s="3089" t="s">
        <v>2688</v>
      </c>
      <c r="D91" s="3089" t="s">
        <v>2689</v>
      </c>
      <c r="E91" s="3115">
        <v>0.2</v>
      </c>
      <c r="F91" s="3115">
        <v>25</v>
      </c>
    </row>
    <row r="92" spans="1:6" ht="13.5">
      <c r="A92" s="3115">
        <v>20</v>
      </c>
      <c r="B92" s="3989"/>
      <c r="C92" s="3089" t="s">
        <v>2690</v>
      </c>
      <c r="D92" s="3089" t="s">
        <v>2691</v>
      </c>
      <c r="E92" s="3115">
        <v>0.15</v>
      </c>
      <c r="F92" s="3115">
        <v>20</v>
      </c>
    </row>
    <row r="93" spans="1:6" ht="13.5">
      <c r="A93" s="3115">
        <v>21</v>
      </c>
      <c r="B93" s="3989"/>
      <c r="C93" s="3089" t="s">
        <v>2692</v>
      </c>
      <c r="D93" s="3089" t="s">
        <v>2693</v>
      </c>
      <c r="E93" s="3115">
        <v>0.15</v>
      </c>
      <c r="F93" s="3115">
        <v>20</v>
      </c>
    </row>
    <row r="94" spans="1:6" ht="13.5">
      <c r="A94" s="3115">
        <v>22</v>
      </c>
      <c r="B94" s="3989"/>
      <c r="C94" s="3089" t="s">
        <v>2694</v>
      </c>
      <c r="D94" s="3089" t="s">
        <v>2695</v>
      </c>
      <c r="E94" s="3115">
        <v>0.15</v>
      </c>
      <c r="F94" s="3115">
        <v>20</v>
      </c>
    </row>
    <row r="95" spans="1:6" ht="36">
      <c r="A95" s="3115">
        <v>23</v>
      </c>
      <c r="B95" s="3989"/>
      <c r="C95" s="3089" t="s">
        <v>2696</v>
      </c>
      <c r="D95" s="3089" t="s">
        <v>2697</v>
      </c>
      <c r="E95" s="3115">
        <v>0.15</v>
      </c>
      <c r="F95" s="3115">
        <v>20</v>
      </c>
    </row>
    <row r="96" spans="1:6" ht="13.5">
      <c r="A96" s="3115">
        <v>24</v>
      </c>
      <c r="B96" s="3989"/>
      <c r="C96" s="3089" t="s">
        <v>2698</v>
      </c>
      <c r="D96" s="3089" t="s">
        <v>2699</v>
      </c>
      <c r="E96" s="3115">
        <v>0.1</v>
      </c>
      <c r="F96" s="3115">
        <v>15</v>
      </c>
    </row>
    <row r="97" spans="1:6" ht="13.5">
      <c r="A97" s="3115">
        <v>25</v>
      </c>
      <c r="B97" s="3989"/>
      <c r="C97" s="3089" t="s">
        <v>2700</v>
      </c>
      <c r="D97" s="3089" t="s">
        <v>2701</v>
      </c>
      <c r="E97" s="3115">
        <v>0.1</v>
      </c>
      <c r="F97" s="3115">
        <v>15</v>
      </c>
    </row>
    <row r="98" spans="1:6" ht="24">
      <c r="A98" s="3115">
        <v>26</v>
      </c>
      <c r="B98" s="3989"/>
      <c r="C98" s="3089" t="s">
        <v>2702</v>
      </c>
      <c r="D98" s="3089" t="s">
        <v>2703</v>
      </c>
      <c r="E98" s="3115">
        <v>0.1</v>
      </c>
      <c r="F98" s="3115">
        <v>15</v>
      </c>
    </row>
    <row r="99" spans="1:6" ht="24">
      <c r="A99" s="3115">
        <v>27</v>
      </c>
      <c r="B99" s="3989"/>
      <c r="C99" s="3089" t="s">
        <v>2704</v>
      </c>
      <c r="D99" s="3089" t="s">
        <v>2705</v>
      </c>
      <c r="E99" s="3115">
        <v>0.1</v>
      </c>
      <c r="F99" s="3115">
        <v>15</v>
      </c>
    </row>
    <row r="100" spans="1:6" ht="13.5">
      <c r="A100" s="3115">
        <v>28</v>
      </c>
      <c r="B100" s="3989"/>
      <c r="C100" s="3089" t="s">
        <v>2706</v>
      </c>
      <c r="D100" s="3089" t="s">
        <v>2707</v>
      </c>
      <c r="E100" s="3115">
        <v>0.1</v>
      </c>
      <c r="F100" s="3115">
        <v>15</v>
      </c>
    </row>
    <row r="101" spans="1:6" ht="13.5">
      <c r="A101" s="3115">
        <v>29</v>
      </c>
      <c r="B101" s="3989"/>
      <c r="C101" s="3089" t="s">
        <v>2708</v>
      </c>
      <c r="D101" s="3089" t="s">
        <v>2709</v>
      </c>
      <c r="E101" s="3115">
        <v>0.1</v>
      </c>
      <c r="F101" s="3115">
        <v>15</v>
      </c>
    </row>
    <row r="102" spans="1:6" ht="13.5">
      <c r="A102" s="3115">
        <v>30</v>
      </c>
      <c r="B102" s="3989"/>
      <c r="C102" s="3089" t="s">
        <v>2710</v>
      </c>
      <c r="D102" s="3089" t="s">
        <v>2711</v>
      </c>
      <c r="E102" s="3115">
        <v>0.1</v>
      </c>
      <c r="F102" s="3115">
        <v>15</v>
      </c>
    </row>
    <row r="103" spans="1:6" ht="24">
      <c r="A103" s="3115">
        <v>31</v>
      </c>
      <c r="B103" s="3989"/>
      <c r="C103" s="3089" t="s">
        <v>2712</v>
      </c>
      <c r="D103" s="3089" t="s">
        <v>2713</v>
      </c>
      <c r="E103" s="3115">
        <v>0.1</v>
      </c>
      <c r="F103" s="3115">
        <v>15</v>
      </c>
    </row>
    <row r="104" spans="1:6" ht="24">
      <c r="A104" s="3115">
        <v>32</v>
      </c>
      <c r="B104" s="3989"/>
      <c r="C104" s="3089" t="s">
        <v>2714</v>
      </c>
      <c r="D104" s="3089" t="s">
        <v>2715</v>
      </c>
      <c r="E104" s="3115">
        <v>0.1</v>
      </c>
      <c r="F104" s="3115">
        <v>15</v>
      </c>
    </row>
    <row r="105" spans="1:6" ht="24">
      <c r="A105" s="3115">
        <v>33</v>
      </c>
      <c r="B105" s="3989"/>
      <c r="C105" s="3089" t="s">
        <v>2716</v>
      </c>
      <c r="D105" s="3089" t="s">
        <v>2717</v>
      </c>
      <c r="E105" s="3115">
        <v>0.1</v>
      </c>
      <c r="F105" s="3115">
        <v>15</v>
      </c>
    </row>
    <row r="106" spans="1:6" ht="24">
      <c r="A106" s="3115">
        <v>34</v>
      </c>
      <c r="B106" s="3998"/>
      <c r="C106" s="3089" t="s">
        <v>2718</v>
      </c>
      <c r="D106" s="3089" t="s">
        <v>2719</v>
      </c>
      <c r="E106" s="3115">
        <v>0.1</v>
      </c>
      <c r="F106" s="3115">
        <v>15</v>
      </c>
    </row>
    <row r="107" spans="1:6" ht="24">
      <c r="A107" s="3115">
        <v>35</v>
      </c>
      <c r="B107" s="3994" t="s">
        <v>2720</v>
      </c>
      <c r="C107" s="3115" t="s">
        <v>2721</v>
      </c>
      <c r="D107" s="3089" t="s">
        <v>2722</v>
      </c>
      <c r="E107" s="3115">
        <v>0.15</v>
      </c>
      <c r="F107" s="3115">
        <v>20</v>
      </c>
    </row>
    <row r="108" spans="1:6" ht="13.5">
      <c r="A108" s="3115">
        <v>36</v>
      </c>
      <c r="B108" s="3989"/>
      <c r="C108" s="3115" t="s">
        <v>2723</v>
      </c>
      <c r="D108" s="3089" t="s">
        <v>2724</v>
      </c>
      <c r="E108" s="3115">
        <v>0.15</v>
      </c>
      <c r="F108" s="3115">
        <v>20</v>
      </c>
    </row>
    <row r="109" spans="1:6" ht="13.5">
      <c r="A109" s="3115">
        <v>37</v>
      </c>
      <c r="B109" s="3989"/>
      <c r="C109" s="3115" t="s">
        <v>2725</v>
      </c>
      <c r="D109" s="3089" t="s">
        <v>2726</v>
      </c>
      <c r="E109" s="3115">
        <v>0.15</v>
      </c>
      <c r="F109" s="3115">
        <v>20</v>
      </c>
    </row>
    <row r="110" spans="1:6" ht="13.5">
      <c r="A110" s="3115">
        <v>38</v>
      </c>
      <c r="B110" s="3989"/>
      <c r="C110" s="3115" t="s">
        <v>2727</v>
      </c>
      <c r="D110" s="3089" t="s">
        <v>2728</v>
      </c>
      <c r="E110" s="3115">
        <v>0.1</v>
      </c>
      <c r="F110" s="3115">
        <v>15</v>
      </c>
    </row>
    <row r="111" spans="1:6" ht="24">
      <c r="A111" s="3115">
        <v>39</v>
      </c>
      <c r="B111" s="3989"/>
      <c r="C111" s="3115" t="s">
        <v>2729</v>
      </c>
      <c r="D111" s="3089" t="s">
        <v>2730</v>
      </c>
      <c r="E111" s="3115">
        <v>0.1</v>
      </c>
      <c r="F111" s="3115">
        <v>15</v>
      </c>
    </row>
    <row r="112" spans="1:6" ht="24">
      <c r="A112" s="3115">
        <v>40</v>
      </c>
      <c r="B112" s="3998"/>
      <c r="C112" s="3115" t="s">
        <v>2731</v>
      </c>
      <c r="D112" s="3089" t="s">
        <v>2732</v>
      </c>
      <c r="E112" s="3115">
        <v>0.1</v>
      </c>
      <c r="F112" s="3115">
        <v>15</v>
      </c>
    </row>
    <row r="113" spans="1:6" ht="13.5">
      <c r="A113" s="3115">
        <v>41</v>
      </c>
      <c r="B113" s="3999" t="s">
        <v>2733</v>
      </c>
      <c r="C113" s="3115" t="s">
        <v>2734</v>
      </c>
      <c r="D113" s="3089" t="s">
        <v>2735</v>
      </c>
      <c r="E113" s="3115">
        <v>0.1</v>
      </c>
      <c r="F113" s="3115">
        <v>15</v>
      </c>
    </row>
    <row r="114" spans="1:6" ht="13.5">
      <c r="A114" s="3115">
        <v>42</v>
      </c>
      <c r="B114" s="3999"/>
      <c r="C114" s="3115" t="s">
        <v>2736</v>
      </c>
      <c r="D114" s="3089" t="s">
        <v>2737</v>
      </c>
      <c r="E114" s="3115">
        <v>0.1</v>
      </c>
      <c r="F114" s="3115">
        <v>15</v>
      </c>
    </row>
    <row r="115" spans="1:6" ht="24">
      <c r="A115" s="3115">
        <v>43</v>
      </c>
      <c r="B115" s="3999"/>
      <c r="C115" s="3115" t="s">
        <v>2738</v>
      </c>
      <c r="D115" s="3089" t="s">
        <v>2739</v>
      </c>
      <c r="E115" s="3115">
        <v>0.1</v>
      </c>
      <c r="F115" s="3115">
        <v>15</v>
      </c>
    </row>
    <row r="116" spans="1:6" ht="13.5">
      <c r="A116" s="3115">
        <v>44</v>
      </c>
      <c r="B116" s="3994" t="s">
        <v>2740</v>
      </c>
      <c r="C116" s="3115" t="s">
        <v>2741</v>
      </c>
      <c r="D116" s="3089" t="s">
        <v>2742</v>
      </c>
      <c r="E116" s="3115">
        <v>0.1</v>
      </c>
      <c r="F116" s="3115">
        <v>15</v>
      </c>
    </row>
    <row r="117" spans="1:6" ht="24">
      <c r="A117" s="3115">
        <v>45</v>
      </c>
      <c r="B117" s="3998"/>
      <c r="C117" s="3089" t="s">
        <v>2743</v>
      </c>
      <c r="D117" s="3089" t="s">
        <v>2744</v>
      </c>
      <c r="E117" s="3115">
        <v>0.1</v>
      </c>
      <c r="F117" s="3115">
        <v>15</v>
      </c>
    </row>
    <row r="118" spans="1:6" ht="24">
      <c r="A118" s="3115">
        <v>46</v>
      </c>
      <c r="B118" s="3994" t="s">
        <v>2745</v>
      </c>
      <c r="C118" s="3115" t="s">
        <v>2746</v>
      </c>
      <c r="D118" s="3089" t="s">
        <v>2747</v>
      </c>
      <c r="E118" s="3115">
        <v>0.1</v>
      </c>
      <c r="F118" s="3115">
        <v>15</v>
      </c>
    </row>
    <row r="119" spans="1:6" ht="24">
      <c r="A119" s="3115">
        <v>47</v>
      </c>
      <c r="B119" s="3998"/>
      <c r="C119" s="3115" t="s">
        <v>2748</v>
      </c>
      <c r="D119" s="3089" t="s">
        <v>2749</v>
      </c>
      <c r="E119" s="3115">
        <v>0.1</v>
      </c>
      <c r="F119" s="3115">
        <v>15</v>
      </c>
    </row>
    <row r="120" spans="1:6" ht="13.5">
      <c r="A120" s="3115">
        <v>48</v>
      </c>
      <c r="B120" s="3994" t="s">
        <v>2750</v>
      </c>
      <c r="C120" s="3115" t="s">
        <v>2751</v>
      </c>
      <c r="D120" s="3089" t="s">
        <v>2752</v>
      </c>
      <c r="E120" s="3115">
        <v>0.1</v>
      </c>
      <c r="F120" s="3115">
        <v>15</v>
      </c>
    </row>
    <row r="121" spans="1:6" ht="13.5">
      <c r="A121" s="3115">
        <v>49</v>
      </c>
      <c r="B121" s="3998"/>
      <c r="C121" s="3115" t="s">
        <v>2753</v>
      </c>
      <c r="D121" s="3089" t="s">
        <v>2754</v>
      </c>
      <c r="E121" s="3115">
        <v>0.1</v>
      </c>
      <c r="F121" s="3115">
        <v>15</v>
      </c>
    </row>
    <row r="122" spans="1:6" ht="24">
      <c r="A122" s="3115">
        <v>50</v>
      </c>
      <c r="B122" s="3999" t="s">
        <v>2755</v>
      </c>
      <c r="C122" s="3115" t="s">
        <v>2756</v>
      </c>
      <c r="D122" s="3089" t="s">
        <v>2757</v>
      </c>
      <c r="E122" s="3115">
        <v>0.1</v>
      </c>
      <c r="F122" s="3115">
        <v>15</v>
      </c>
    </row>
    <row r="123" spans="1:6" ht="24">
      <c r="A123" s="3115">
        <v>51</v>
      </c>
      <c r="B123" s="3999"/>
      <c r="C123" s="3115" t="s">
        <v>2758</v>
      </c>
      <c r="D123" s="3089" t="s">
        <v>2759</v>
      </c>
      <c r="E123" s="3115">
        <v>0.1</v>
      </c>
      <c r="F123" s="3115">
        <v>15</v>
      </c>
    </row>
    <row r="124" spans="1:6" ht="24">
      <c r="A124" s="3115">
        <v>52</v>
      </c>
      <c r="B124" s="3999" t="s">
        <v>2760</v>
      </c>
      <c r="C124" s="3115" t="s">
        <v>2761</v>
      </c>
      <c r="D124" s="3089" t="s">
        <v>2762</v>
      </c>
      <c r="E124" s="3115">
        <v>0.1</v>
      </c>
      <c r="F124" s="3115">
        <v>15</v>
      </c>
    </row>
    <row r="125" spans="1:6" ht="24">
      <c r="A125" s="3115">
        <v>53</v>
      </c>
      <c r="B125" s="3999"/>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999" t="s">
        <v>2768</v>
      </c>
      <c r="C127" s="3115" t="s">
        <v>2769</v>
      </c>
      <c r="D127" s="3089" t="s">
        <v>2770</v>
      </c>
      <c r="E127" s="3115">
        <v>0.1</v>
      </c>
      <c r="F127" s="3115">
        <v>15</v>
      </c>
    </row>
    <row r="128" spans="1:6" ht="13.5">
      <c r="A128" s="3115">
        <v>56</v>
      </c>
      <c r="B128" s="3999"/>
      <c r="C128" s="3115" t="s">
        <v>2771</v>
      </c>
      <c r="D128" s="3089" t="s">
        <v>2772</v>
      </c>
      <c r="E128" s="3115">
        <v>0.1</v>
      </c>
      <c r="F128" s="3115">
        <v>15</v>
      </c>
    </row>
    <row r="129" spans="1:6" ht="24">
      <c r="A129" s="3115">
        <v>57</v>
      </c>
      <c r="B129" s="3999"/>
      <c r="C129" s="3115" t="s">
        <v>2773</v>
      </c>
      <c r="D129" s="3089" t="s">
        <v>2774</v>
      </c>
      <c r="E129" s="3115">
        <v>0.1</v>
      </c>
      <c r="F129" s="3115">
        <v>15</v>
      </c>
    </row>
    <row r="130" spans="1:6" ht="24">
      <c r="A130" s="3115">
        <v>58</v>
      </c>
      <c r="B130" s="3999" t="s">
        <v>2775</v>
      </c>
      <c r="C130" s="3115" t="s">
        <v>2776</v>
      </c>
      <c r="D130" s="3089" t="s">
        <v>2777</v>
      </c>
      <c r="E130" s="3115">
        <v>0.1</v>
      </c>
      <c r="F130" s="3115">
        <v>15</v>
      </c>
    </row>
    <row r="131" spans="1:6" ht="13.5">
      <c r="A131" s="3115">
        <v>59</v>
      </c>
      <c r="B131" s="3999"/>
      <c r="C131" s="3115" t="s">
        <v>2778</v>
      </c>
      <c r="D131" s="3089" t="s">
        <v>2779</v>
      </c>
      <c r="E131" s="3115">
        <v>0.1</v>
      </c>
      <c r="F131" s="3115">
        <v>15</v>
      </c>
    </row>
    <row r="132" spans="1:6" ht="13.5">
      <c r="A132" s="3115">
        <v>60</v>
      </c>
      <c r="B132" s="3994" t="s">
        <v>2780</v>
      </c>
      <c r="C132" s="3115" t="s">
        <v>2781</v>
      </c>
      <c r="D132" s="3089" t="s">
        <v>2782</v>
      </c>
      <c r="E132" s="3115">
        <v>0.1</v>
      </c>
      <c r="F132" s="3115">
        <v>15</v>
      </c>
    </row>
    <row r="133" spans="1:6" ht="13.5">
      <c r="A133" s="3115">
        <v>61</v>
      </c>
      <c r="B133" s="3998"/>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999" t="s">
        <v>2788</v>
      </c>
      <c r="C135" s="3115" t="s">
        <v>2789</v>
      </c>
      <c r="D135" s="3089" t="s">
        <v>2790</v>
      </c>
      <c r="E135" s="3115">
        <v>0.1</v>
      </c>
      <c r="F135" s="3115">
        <v>15</v>
      </c>
    </row>
    <row r="136" spans="1:6" ht="13.5">
      <c r="A136" s="3115">
        <v>64</v>
      </c>
      <c r="B136" s="3999"/>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29297</v>
      </c>
      <c r="C2" s="2" t="s">
        <v>106</v>
      </c>
      <c r="D2" s="199"/>
      <c r="E2" s="199"/>
      <c r="F2" s="199"/>
      <c r="G2" s="199"/>
    </row>
    <row r="3" spans="1:7" s="200" customFormat="1" ht="18" customHeight="1" thickBot="1">
      <c r="A3" s="203" t="s">
        <v>58</v>
      </c>
      <c r="B3" s="204">
        <f ca="1">ROUND(B2*10000/'数据-汇总表'!E3,0)</f>
        <v>456340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v>
      </c>
      <c r="D10" s="845">
        <f>'数据-汇总表'!E6</f>
        <v>642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642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289</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642</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796" t="s">
        <v>94</v>
      </c>
    </row>
    <row r="43" spans="1:7" ht="13.5" customHeight="1">
      <c r="A43" s="780" t="s">
        <v>347</v>
      </c>
      <c r="B43" s="215" t="s">
        <v>426</v>
      </c>
      <c r="C43" s="238">
        <f ca="1">ROUND(IF('数据-取费表'!B22&lt;=1,C39*F22*'数据-取费表'!B21/2,C39*(POWER((1+F22),'数据-取费表'!B21/2)-1)),0)</f>
        <v>0</v>
      </c>
      <c r="D43" s="238"/>
      <c r="E43" s="238"/>
      <c r="F43" s="239"/>
      <c r="G43" s="3797"/>
    </row>
    <row r="44" spans="1:7" ht="13.5" customHeight="1">
      <c r="A44" s="780" t="s">
        <v>348</v>
      </c>
      <c r="B44" s="215" t="s">
        <v>428</v>
      </c>
      <c r="C44" s="238">
        <f ca="1">ROUND(IF('数据-取费表'!B22&lt;=1,C40*F22*'数据-取费表'!B21/2,C40*(POWER((1+F22),'数据-取费表'!B21/2)-1)),4)</f>
        <v>6.9999999999999999E-4</v>
      </c>
      <c r="D44" s="238"/>
      <c r="E44" s="238"/>
      <c r="F44" s="239"/>
      <c r="G44" s="3798"/>
    </row>
    <row r="45" spans="1:7" s="214" customFormat="1" ht="13.5" customHeight="1">
      <c r="A45" s="777" t="s">
        <v>341</v>
      </c>
      <c r="B45" s="244" t="s">
        <v>85</v>
      </c>
      <c r="C45" s="245">
        <f>C46</f>
        <v>64</v>
      </c>
      <c r="D45" s="235">
        <f>C47</f>
        <v>4.0000000000000001E-3</v>
      </c>
      <c r="E45" s="236" t="s">
        <v>102</v>
      </c>
      <c r="F45" s="246"/>
      <c r="G45" s="247" t="s">
        <v>434</v>
      </c>
    </row>
    <row r="46" spans="1:7" s="214" customFormat="1" ht="13.5" customHeight="1">
      <c r="A46" s="780" t="s">
        <v>349</v>
      </c>
      <c r="B46" s="248" t="s">
        <v>427</v>
      </c>
      <c r="C46" s="249">
        <f>ROUND((C33+C39)*F27,0)</f>
        <v>64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430</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333</v>
      </c>
      <c r="D51" s="232"/>
      <c r="E51" s="232"/>
      <c r="F51" s="264"/>
      <c r="G51" s="234" t="s">
        <v>37</v>
      </c>
    </row>
    <row r="52" spans="1:7" s="208" customFormat="1" ht="16.5" thickBot="1">
      <c r="A52" s="265" t="s">
        <v>38</v>
      </c>
      <c r="B52" s="266"/>
      <c r="C52" s="267">
        <f ca="1">C31+C51</f>
        <v>29297</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8"/>
      <c r="C2" s="3618"/>
      <c r="D2" s="3618"/>
      <c r="E2" s="3618"/>
    </row>
    <row r="3" spans="1:5" ht="18">
      <c r="A3" s="3619" t="str">
        <f>IF(项目基本情况!B9="房地产市场价值","估价结果一览表（市场价值不需“结果表-1”）","估价结果一览表")</f>
        <v>估价结果一览表（市场价值不需“结果表-1”）</v>
      </c>
      <c r="B3" s="3619"/>
      <c r="C3" s="3619"/>
      <c r="D3" s="3619"/>
      <c r="E3" s="3619"/>
    </row>
    <row r="4" spans="1:5" ht="19.5" thickBot="1">
      <c r="A4" s="1493"/>
      <c r="B4" s="3617" t="s">
        <v>917</v>
      </c>
      <c r="C4" s="3617"/>
      <c r="D4" s="3617"/>
      <c r="E4" s="1493"/>
    </row>
    <row r="5" spans="1:5" ht="16.5" thickTop="1">
      <c r="A5" s="1491"/>
      <c r="B5" s="3615" t="s">
        <v>909</v>
      </c>
      <c r="C5" s="1494" t="s">
        <v>910</v>
      </c>
      <c r="D5" s="850" t="e">
        <f ca="1">结果表!H101</f>
        <v>#REF!</v>
      </c>
      <c r="E5" s="1491"/>
    </row>
    <row r="6" spans="1:5" ht="15.75">
      <c r="A6" s="1491"/>
      <c r="B6" s="3615"/>
      <c r="C6" s="1494" t="s">
        <v>911</v>
      </c>
      <c r="D6" s="850" t="e">
        <f ca="1">NUMBERSTRING(INT(D5*10000),2)&amp;"元整"</f>
        <v>#REF!</v>
      </c>
      <c r="E6" s="1491"/>
    </row>
    <row r="7" spans="1:5" ht="15.75">
      <c r="A7" s="1491"/>
      <c r="B7" s="3620"/>
      <c r="C7" s="1495" t="s">
        <v>912</v>
      </c>
      <c r="D7" s="851" t="e">
        <f ca="1">结果表!H102</f>
        <v>#REF!</v>
      </c>
      <c r="E7" s="1491"/>
    </row>
    <row r="8" spans="1:5" ht="15.75">
      <c r="A8" s="1491"/>
      <c r="B8" s="3621" t="str">
        <f>结果表!E103</f>
        <v>2.估价师知悉的法定优先受偿款</v>
      </c>
      <c r="C8" s="1496" t="s">
        <v>913</v>
      </c>
      <c r="D8" s="851">
        <f>结果表!H103</f>
        <v>0</v>
      </c>
      <c r="E8" s="1491"/>
    </row>
    <row r="9" spans="1:5" ht="15.75">
      <c r="A9" s="1491"/>
      <c r="B9" s="362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14" t="str">
        <f>结果表!E107</f>
        <v>3.房地产抵押价值</v>
      </c>
      <c r="C13" s="1499" t="s">
        <v>910</v>
      </c>
      <c r="D13" s="853" t="e">
        <f ca="1">结果表!H107</f>
        <v>#REF!</v>
      </c>
      <c r="E13" s="1491"/>
    </row>
    <row r="14" spans="1:5" ht="15.75">
      <c r="A14" s="1491"/>
      <c r="B14" s="3615"/>
      <c r="C14" s="1494" t="s">
        <v>911</v>
      </c>
      <c r="D14" s="850" t="e">
        <f ca="1">NUMBERSTRING(INT(D13*10000),2)&amp;"元整"</f>
        <v>#REF!</v>
      </c>
      <c r="E14" s="1491"/>
    </row>
    <row r="15" spans="1:5" ht="15">
      <c r="A15" s="1491"/>
      <c r="B15" s="3620"/>
      <c r="C15" s="1495" t="s">
        <v>921</v>
      </c>
      <c r="D15" s="859" t="e">
        <f ca="1">结果表!H108</f>
        <v>#REF!</v>
      </c>
      <c r="E15" s="1491"/>
    </row>
    <row r="16" spans="1:5" ht="15">
      <c r="A16" s="1491"/>
      <c r="B16" s="3621" t="str">
        <f>结果表!E109</f>
        <v>——</v>
      </c>
      <c r="C16" s="1499" t="s">
        <v>922</v>
      </c>
      <c r="D16" s="1500" t="str">
        <f>结果表!H109</f>
        <v>——</v>
      </c>
      <c r="E16" s="1491"/>
    </row>
    <row r="17" spans="1:5" ht="15.75">
      <c r="A17" s="1491"/>
      <c r="B17" s="3622"/>
      <c r="C17" s="1494" t="s">
        <v>923</v>
      </c>
      <c r="D17" s="850" t="e">
        <f>NUMBERSTRING(INT(D16*10000),2)&amp;"元整"</f>
        <v>#VALUE!</v>
      </c>
      <c r="E17" s="1491"/>
    </row>
    <row r="18" spans="1:5" ht="15">
      <c r="A18" s="1491"/>
      <c r="B18" s="3623"/>
      <c r="C18" s="1495" t="s">
        <v>912</v>
      </c>
      <c r="D18" s="859" t="str">
        <f>结果表!H110</f>
        <v>——</v>
      </c>
      <c r="E18" s="1491"/>
    </row>
    <row r="19" spans="1:5" ht="15.75">
      <c r="A19" s="1491"/>
      <c r="B19" s="3614" t="str">
        <f>结果表!E111</f>
        <v>——</v>
      </c>
      <c r="C19" s="1499" t="s">
        <v>910</v>
      </c>
      <c r="D19" s="851" t="str">
        <f>结果表!H111</f>
        <v>——</v>
      </c>
      <c r="E19" s="1491"/>
    </row>
    <row r="20" spans="1:5" ht="15.75">
      <c r="A20" s="1491"/>
      <c r="B20" s="3615"/>
      <c r="C20" s="1494" t="s">
        <v>923</v>
      </c>
      <c r="D20" s="850" t="e">
        <f>NUMBERSTRING(INT(D19*10000),2)&amp;"元整"</f>
        <v>#VALUE!</v>
      </c>
      <c r="E20" s="1491"/>
    </row>
    <row r="21" spans="1:5" ht="15.75" thickBot="1">
      <c r="A21" s="1491"/>
      <c r="B21" s="361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4002" t="s">
        <v>2842</v>
      </c>
      <c r="B1" s="4002"/>
      <c r="C1" s="4002"/>
      <c r="D1" s="4002"/>
      <c r="E1" s="4002"/>
      <c r="F1" s="4002"/>
      <c r="G1" s="4003"/>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4000"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4001"/>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4004" t="s">
        <v>3184</v>
      </c>
      <c r="B1" s="4004"/>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4005" t="s">
        <v>3235</v>
      </c>
      <c r="B1" s="4005"/>
      <c r="C1" s="4005"/>
      <c r="D1" s="4005"/>
      <c r="E1" s="4005"/>
      <c r="F1" s="4006"/>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45426</v>
      </c>
      <c r="B1" s="3207" t="s">
        <v>2841</v>
      </c>
      <c r="C1" s="3208"/>
      <c r="D1" s="3208"/>
      <c r="E1" s="3208"/>
      <c r="F1" s="3208"/>
      <c r="G1" s="3208"/>
      <c r="H1" s="3208"/>
      <c r="I1" s="3208"/>
      <c r="J1" s="3162"/>
      <c r="K1" s="3208" t="s">
        <v>454</v>
      </c>
      <c r="L1" s="3208"/>
      <c r="M1" s="3208"/>
      <c r="N1" s="3208"/>
      <c r="O1" s="3208"/>
      <c r="P1" s="3208"/>
      <c r="Q1" s="3162"/>
      <c r="R1" s="4007" t="s">
        <v>456</v>
      </c>
      <c r="S1" s="4008"/>
      <c r="T1" s="4008"/>
      <c r="U1" s="4008"/>
      <c r="V1" s="4008"/>
      <c r="W1" s="4008"/>
      <c r="X1" s="3162"/>
      <c r="Y1" s="4007" t="s">
        <v>457</v>
      </c>
      <c r="Z1" s="4008"/>
      <c r="AA1" s="4008"/>
      <c r="AB1" s="4008"/>
      <c r="AC1" s="4008"/>
      <c r="AD1" s="4008"/>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3371</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3372</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3370</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ROUND(IF([5]项目基本情况!B8="出让",SUMPRODUCT(PRODUCT(1+K9:K16)),SUMPRODUCT(PRODUCT(1+K9:K15))),4)</f>
        <v>1.0565</v>
      </c>
      <c r="S9" s="3189">
        <f>ROUND(IF([5]项目基本情况!B8="出让",SUMPRODUCT(PRODUCT(1+L9:L16)),SUMPRODUCT(PRODUCT(1+L9:L15))),4)</f>
        <v>1.0250999999999999</v>
      </c>
      <c r="T9" s="3189">
        <f>ROUND(IF([5]项目基本情况!B8="出让",SUMPRODUCT(PRODUCT(1+M9:M16)),SUMPRODUCT(PRODUCT(1+M9:M15))),4)</f>
        <v>1.0145</v>
      </c>
      <c r="U9" s="3189">
        <f>ROUND(IF([5]项目基本情况!B8="出让",SUMPRODUCT(PRODUCT(1+N9:N16)),SUMPRODUCT(PRODUCT(1+N9:N15))),4)</f>
        <v>1.0618000000000001</v>
      </c>
      <c r="V9" s="3189">
        <f>ROUND(IF([5]项目基本情况!B8="出让",SUMPRODUCT(PRODUCT(1+O9:O16)),SUMPRODUCT(PRODUCT(1+O9:O15))),4)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3365</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ROUND(IF([5]项目基本情况!B8="出让",SUMPRODUCT(PRODUCT(1+K10:K16)),SUMPRODUCT(PRODUCT(1+K10:K15))),4)</f>
        <v>1.05</v>
      </c>
      <c r="S10" s="3180">
        <f>ROUND(IF([5]项目基本情况!B8="出让",SUMPRODUCT(PRODUCT(1+L10:L16)),SUMPRODUCT(PRODUCT(1+L10:L15))),4)</f>
        <v>1.0229999999999999</v>
      </c>
      <c r="T10" s="3180">
        <f>ROUND(IF([5]项目基本情况!B8="出让",SUMPRODUCT(PRODUCT(1+M10:M16)),SUMPRODUCT(PRODUCT(1+M10:M15))),4)</f>
        <v>1.0134000000000001</v>
      </c>
      <c r="U10" s="3180">
        <f>ROUND(IF([5]项目基本情况!B8="出让",SUMPRODUCT(PRODUCT(1+N10:N16)),SUMPRODUCT(PRODUCT(1+N10:N15))),4)</f>
        <v>1.0545</v>
      </c>
      <c r="V10" s="3180">
        <f>ROUND(IF([5]项目基本情况!B8="出让",SUMPRODUCT(PRODUCT(1+O10:O16)),SUMPRODUCT(PRODUCT(1+O10:O15))),4)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3356</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ROUND(IF([5]项目基本情况!B8="出让",SUMPRODUCT(PRODUCT(1+K11:K16)),SUMPRODUCT(PRODUCT(1+K11:K15))),4)</f>
        <v>1.0430999999999999</v>
      </c>
      <c r="S11" s="3180">
        <f>ROUND(IF([5]项目基本情况!B8="出让",SUMPRODUCT(PRODUCT(1+L11:L16)),SUMPRODUCT(PRODUCT(1+L11:L15))),4)</f>
        <v>1.0197000000000001</v>
      </c>
      <c r="T11" s="3180">
        <f>ROUND(IF([5]项目基本情况!B8="出让",SUMPRODUCT(PRODUCT(1+M11:M16)),SUMPRODUCT(PRODUCT(1+M11:M15))),4)</f>
        <v>1.0109999999999999</v>
      </c>
      <c r="U11" s="3180">
        <f>ROUND(IF([5]项目基本情况!B8="出让",SUMPRODUCT(PRODUCT(1+N11:N16)),SUMPRODUCT(PRODUCT(1+N11:N15))),4)</f>
        <v>1.0468999999999999</v>
      </c>
      <c r="V11" s="3180">
        <f>ROUND(IF([5]项目基本情况!B8="出让",SUMPRODUCT(PRODUCT(1+O11:O16)),SUMPRODUCT(PRODUCT(1+O11:O15))),4)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ROUND(IF([5]项目基本情况!B8="出让",SUMPRODUCT(PRODUCT(1+K12:K16)),SUMPRODUCT(PRODUCT(1+K12:K15))),4)</f>
        <v>1.0335000000000001</v>
      </c>
      <c r="S12" s="3180">
        <f>ROUND(IF([5]项目基本情况!B8="出让",SUMPRODUCT(PRODUCT(1+L12:L16)),SUMPRODUCT(PRODUCT(1+L12:L15))),4)</f>
        <v>1.0182</v>
      </c>
      <c r="T12" s="3180">
        <f>ROUND(IF([5]项目基本情况!B8="出让",SUMPRODUCT(PRODUCT(1+M12:M16)),SUMPRODUCT(PRODUCT(1+M12:M15))),4)</f>
        <v>1.0108999999999999</v>
      </c>
      <c r="U12" s="3180">
        <f>ROUND(IF([5]项目基本情况!B8="出让",SUMPRODUCT(PRODUCT(1+N12:N16)),SUMPRODUCT(PRODUCT(1+N12:N15))),4)</f>
        <v>1.0361</v>
      </c>
      <c r="V12" s="3180">
        <f>ROUND(IF([5]项目基本情况!B8="出让",SUMPRODUCT(PRODUCT(1+O12:O16)),SUMPRODUCT(PRODUCT(1+O12:O15))),4)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ROUND(IF([5]项目基本情况!B8="出让",SUMPRODUCT(PRODUCT(1+K13:K16)),SUMPRODUCT(PRODUCT(1+K13:K15))),4)</f>
        <v>1.0244</v>
      </c>
      <c r="S13" s="3180">
        <f>ROUND(IF([5]项目基本情况!B8="出让",SUMPRODUCT(PRODUCT(1+L13:L16)),SUMPRODUCT(PRODUCT(1+L13:L15))),4)</f>
        <v>1.0138</v>
      </c>
      <c r="T13" s="3180">
        <f>ROUND(IF([5]项目基本情况!B8="出让",SUMPRODUCT(PRODUCT(1+M13:M16)),SUMPRODUCT(PRODUCT(1+M13:M15))),4)</f>
        <v>1.0072000000000001</v>
      </c>
      <c r="U13" s="3180">
        <f>ROUND(IF([5]项目基本情况!B8="出让",SUMPRODUCT(PRODUCT(1+N13:N16)),SUMPRODUCT(PRODUCT(1+N13:N15))),4)</f>
        <v>1.0262</v>
      </c>
      <c r="V13" s="3180">
        <f>ROUND(IF([5]项目基本情况!B8="出让",SUMPRODUCT(PRODUCT(1+O13:O16)),SUMPRODUCT(PRODUCT(1+O13:O15))),4)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ROUND(IF([5]项目基本情况!B8="出让",SUMPRODUCT(PRODUCT(1+K14:K16)),SUMPRODUCT(PRODUCT(1+K14:K15))),4)</f>
        <v>1.0139</v>
      </c>
      <c r="S14" s="3180">
        <f>ROUND(IF([5]项目基本情况!B8="出让",SUMPRODUCT(PRODUCT(1+L14:L16)),SUMPRODUCT(PRODUCT(1+L14:L15))),4)</f>
        <v>1.0113000000000001</v>
      </c>
      <c r="T14" s="3180">
        <f>ROUND(IF([5]项目基本情况!B8="出让",SUMPRODUCT(PRODUCT(1+M14:M16)),SUMPRODUCT(PRODUCT(1+M14:M15))),4)</f>
        <v>1.0065</v>
      </c>
      <c r="U14" s="3180">
        <f>ROUND(IF([5]项目基本情况!B8="出让",SUMPRODUCT(PRODUCT(1+N14:N16)),SUMPRODUCT(PRODUCT(1+N14:N15))),4)</f>
        <v>1.0143</v>
      </c>
      <c r="V14" s="3180">
        <f>ROUND(IF([5]项目基本情况!B8="出让",SUMPRODUCT(PRODUCT(1+O14:O16)),SUMPRODUCT(PRODUCT(1+O14:O15))),4)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ROUND(IF([5]项目基本情况!B8="出让",SUMPRODUCT(PRODUCT(1+K15:K16)),SUMPRODUCT(PRODUCT(1+K15:K15))),4)</f>
        <v>1.0092000000000001</v>
      </c>
      <c r="S15" s="3180">
        <f>ROUND(IF([5]项目基本情况!B8="出让",SUMPRODUCT(PRODUCT(1+L15:L16)),SUMPRODUCT(PRODUCT(1+L15:L15))),4)</f>
        <v>1.0072000000000001</v>
      </c>
      <c r="T15" s="3180">
        <f>ROUND(IF([5]项目基本情况!B8="出让",SUMPRODUCT(PRODUCT(1+M15:M16)),SUMPRODUCT(PRODUCT(1+M15:M15))),4)</f>
        <v>1.0041</v>
      </c>
      <c r="U15" s="3180">
        <f>ROUND(IF([5]项目基本情况!B8="出让",SUMPRODUCT(PRODUCT(1+N15:N16)),SUMPRODUCT(PRODUCT(1+N15:N15))),4)</f>
        <v>1.0095000000000001</v>
      </c>
      <c r="V15" s="3180">
        <f>ROUND(IF([5]项目基本情况!B8="出让",SUMPRODUCT(PRODUCT(1+O15:O16)),SUMPRODUCT(PRODUCT(1+O15:O15))),4)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4" t="s">
        <v>3368</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4007" t="s">
        <v>2829</v>
      </c>
      <c r="S21" s="4008"/>
      <c r="T21" s="4008"/>
      <c r="U21" s="4008"/>
      <c r="V21" s="4008"/>
      <c r="W21" s="4008"/>
      <c r="X21" s="3162"/>
      <c r="Y21" s="4007" t="s">
        <v>2830</v>
      </c>
      <c r="Z21" s="4008"/>
      <c r="AA21" s="4008"/>
      <c r="AB21" s="4008"/>
      <c r="AC21" s="4008"/>
      <c r="AD21" s="4008"/>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3371</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ROUND(IF([5]项目基本情况!$B$8="出让",SUMPRODUCT(PRODUCT(1+L25:L$36)),SUMPRODUCT(PRODUCT(1+L25:L$35))),4)</f>
        <v>1.0286999999999999</v>
      </c>
      <c r="T25" s="3180">
        <f>ROUND(IF([5]项目基本情况!$B$8="出让",SUMPRODUCT(PRODUCT(1+M25:M$36)),SUMPRODUCT(PRODUCT(1+M25:M$35))),4)</f>
        <v>1.0164</v>
      </c>
      <c r="U25" s="3180">
        <f>ROUND(IF([5]项目基本情况!$B$8="出让",SUMPRODUCT(PRODUCT(1+N25:N$36)),SUMPRODUCT(PRODUCT(1+N25:N$35))),4)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3372</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ROUND(IF([5]项目基本情况!$B$8="出让",SUMPRODUCT(PRODUCT(1+L26:L$36)),SUMPRODUCT(PRODUCT(1+L26:L$35))),4)</f>
        <v>1.0286999999999999</v>
      </c>
      <c r="T26" s="3180">
        <f>ROUND(IF([5]项目基本情况!$B$8="出让",SUMPRODUCT(PRODUCT(1+M26:M$36)),SUMPRODUCT(PRODUCT(1+M26:M$35))),4)</f>
        <v>1.0164</v>
      </c>
      <c r="U26" s="3180">
        <f>ROUND(IF([5]项目基本情况!$B$8="出让",SUMPRODUCT(PRODUCT(1+N26:N$36)),SUMPRODUCT(PRODUCT(1+N26:N$35))),4)</f>
        <v>1.0506</v>
      </c>
      <c r="V26" s="3180"/>
      <c r="W26" s="3180">
        <f t="shared" ref="W26:W28" si="32">T26</f>
        <v>1.0164</v>
      </c>
      <c r="X26" s="3178"/>
      <c r="Y26" s="3181"/>
      <c r="Z26" s="3209"/>
      <c r="AA26" s="3445"/>
      <c r="AB26" s="3445"/>
      <c r="AC26" s="3210"/>
      <c r="AD26" s="3181"/>
    </row>
    <row r="27" spans="1:30" s="3182" customFormat="1" ht="12.75">
      <c r="A27" s="3173" t="s">
        <v>3370</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ROUND(IF([5]项目基本情况!$B$8="出让",SUMPRODUCT(PRODUCT(1+L27:L$36)),SUMPRODUCT(PRODUCT(1+L27:L$35))),4)</f>
        <v>1.0286999999999999</v>
      </c>
      <c r="T27" s="3180">
        <f>ROUND(IF([5]项目基本情况!$B$8="出让",SUMPRODUCT(PRODUCT(1+M27:M$36)),SUMPRODUCT(PRODUCT(1+M27:M$35))),4)</f>
        <v>1.0164</v>
      </c>
      <c r="U27" s="3180">
        <f>ROUND(IF([5]项目基本情况!$B$8="出让",SUMPRODUCT(PRODUCT(1+N27:N$36)),SUMPRODUCT(PRODUCT(1+N27:N$35))),4)</f>
        <v>1.0506</v>
      </c>
      <c r="V27" s="3180"/>
      <c r="W27" s="3180">
        <f t="shared" si="32"/>
        <v>1.0164</v>
      </c>
      <c r="X27" s="3178"/>
      <c r="Y27" s="3181"/>
      <c r="Z27" s="3209"/>
      <c r="AA27" s="3445"/>
      <c r="AB27" s="3445"/>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ROUND(IF([5]项目基本情况!$B$8="出让",SUMPRODUCT(PRODUCT(1+L28:L$36)),SUMPRODUCT(PRODUCT(1+L28:L$35))),4)</f>
        <v>1.0286999999999999</v>
      </c>
      <c r="T28" s="3180">
        <f>ROUND(IF([5]项目基本情况!$B$8="出让",SUMPRODUCT(PRODUCT(1+M28:M$36)),SUMPRODUCT(PRODUCT(1+M28:M$35))),4)</f>
        <v>1.0164</v>
      </c>
      <c r="U28" s="3180">
        <f>ROUND(IF([5]项目基本情况!$B$8="出让",SUMPRODUCT(PRODUCT(1+N28:N$36)),SUMPRODUCT(PRODUCT(1+N28:N$35))),4)</f>
        <v>1.0506</v>
      </c>
      <c r="V28" s="3180"/>
      <c r="W28" s="3180">
        <f t="shared" si="32"/>
        <v>1.0164</v>
      </c>
      <c r="X28" s="3178"/>
      <c r="Y28" s="3181"/>
      <c r="Z28" s="3209"/>
      <c r="AA28" s="3445"/>
      <c r="AB28" s="3445"/>
      <c r="AC28" s="3210"/>
      <c r="AD28" s="3181"/>
    </row>
    <row r="29" spans="1:30" s="3192" customFormat="1" ht="12.75">
      <c r="A29" s="3183" t="s">
        <v>3366</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ROUND(IF([5]项目基本情况!$B$8="出让",SUMPRODUCT(PRODUCT(1+L29:L$36)),SUMPRODUCT(PRODUCT(1+L29:L$35))),4)</f>
        <v>1.0286999999999999</v>
      </c>
      <c r="T29" s="3189">
        <f>ROUND(IF([5]项目基本情况!$B$8="出让",SUMPRODUCT(PRODUCT(1+M29:M$36)),SUMPRODUCT(PRODUCT(1+M29:M$35))),4)</f>
        <v>1.0164</v>
      </c>
      <c r="U29" s="3189">
        <f>ROUND(IF([5]项目基本情况!$B$8="出让",SUMPRODUCT(PRODUCT(1+N29:N$36)),SUMPRODUCT(PRODUCT(1+N29:N$35))),4)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3367</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ROUND(IF([5]项目基本情况!$B$8="出让",SUMPRODUCT(PRODUCT(1+L30:L$36)),SUMPRODUCT(PRODUCT(1+L30:L$35))),4)</f>
        <v>1.0241</v>
      </c>
      <c r="T30" s="3180">
        <f>ROUND(IF([5]项目基本情况!$B$8="出让",SUMPRODUCT(PRODUCT(1+M30:M$36)),SUMPRODUCT(PRODUCT(1+M30:M$35))),4)</f>
        <v>1.0144</v>
      </c>
      <c r="U30" s="3180">
        <f>ROUND(IF([5]项目基本情况!$B$8="出让",SUMPRODUCT(PRODUCT(1+N30:N$36)),SUMPRODUCT(PRODUCT(1+N30:N$35))),4)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3356</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ROUND(IF([5]项目基本情况!$B$8="出让",SUMPRODUCT(PRODUCT(1+L31:L$36)),SUMPRODUCT(PRODUCT(1+L31:L$35))),4)</f>
        <v>1.0210999999999999</v>
      </c>
      <c r="T31" s="3180">
        <f>ROUND(IF([5]项目基本情况!$B$8="出让",SUMPRODUCT(PRODUCT(1+M31:M$36)),SUMPRODUCT(PRODUCT(1+M31:M$35))),4)</f>
        <v>1.0114000000000001</v>
      </c>
      <c r="U31" s="3180">
        <f>ROUND(IF([5]项目基本情况!$B$8="出让",SUMPRODUCT(PRODUCT(1+N31:N$36)),SUMPRODUCT(PRODUCT(1+N31:N$35))),4)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ROUND(IF([5]项目基本情况!$B$8="出让",SUMPRODUCT(PRODUCT(1+L32:L$36)),SUMPRODUCT(PRODUCT(1+L32:L$35))),4)</f>
        <v>1.0222</v>
      </c>
      <c r="T32" s="3180">
        <f>ROUND(IF([5]项目基本情况!$B$8="出让",SUMPRODUCT(PRODUCT(1+M32:M$36)),SUMPRODUCT(PRODUCT(1+M32:M$35))),4)</f>
        <v>1.0127999999999999</v>
      </c>
      <c r="U32" s="3180">
        <f>ROUND(IF([5]项目基本情况!$B$8="出让",SUMPRODUCT(PRODUCT(1+N32:N$36)),SUMPRODUCT(PRODUCT(1+N32:N$35))),4)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ROUND(IF([5]项目基本情况!$B$8="出让",SUMPRODUCT(PRODUCT(1+L33:L$36)),SUMPRODUCT(PRODUCT(1+L33:L$35))),4)</f>
        <v>1.0161</v>
      </c>
      <c r="T33" s="3180">
        <f>ROUND(IF([5]项目基本情况!$B$8="出让",SUMPRODUCT(PRODUCT(1+M33:M$36)),SUMPRODUCT(PRODUCT(1+M33:M$35))),4)</f>
        <v>1.0082</v>
      </c>
      <c r="U33" s="3180">
        <f>ROUND(IF([5]项目基本情况!$B$8="出让",SUMPRODUCT(PRODUCT(1+N33:N$36)),SUMPRODUCT(PRODUCT(1+N33:N$35))),4)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ROUND(IF([5]项目基本情况!$B$8="出让",SUMPRODUCT(PRODUCT(1+L34:L$36)),SUMPRODUCT(PRODUCT(1+L34:L$35))),4)</f>
        <v>1.0102</v>
      </c>
      <c r="T34" s="3180">
        <f>ROUND(IF([5]项目基本情况!$B$8="出让",SUMPRODUCT(PRODUCT(1+M34:M$36)),SUMPRODUCT(PRODUCT(1+M34:M$35))),4)</f>
        <v>1.0074000000000001</v>
      </c>
      <c r="U34" s="3180">
        <f>ROUND(IF([5]项目基本情况!$B$8="出让",SUMPRODUCT(PRODUCT(1+N34:N$36)),SUMPRODUCT(PRODUCT(1+N34:N$35))),4)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ROUND(IF([5]项目基本情况!$B$8="出让",SUMPRODUCT(PRODUCT(1+L35:L$36)),SUMPRODUCT(PRODUCT(1+L35:L$35))),4)</f>
        <v>1.0055000000000001</v>
      </c>
      <c r="T35" s="3180">
        <f>ROUND(IF([5]项目基本情况!$B$8="出让",SUMPRODUCT(PRODUCT(1+M35:M$36)),SUMPRODUCT(PRODUCT(1+M35:M$35))),4)</f>
        <v>1.0045999999999999</v>
      </c>
      <c r="U35" s="3180">
        <f>ROUND(IF([5]项目基本情况!$B$8="出让",SUMPRODUCT(PRODUCT(1+N35:N$36)),SUMPRODUCT(PRODUCT(1+N35:N$35))),4)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14" t="s">
        <v>452</v>
      </c>
      <c r="C1" s="4014"/>
      <c r="D1" s="4014"/>
      <c r="E1" s="4014"/>
      <c r="F1" s="4014"/>
      <c r="G1" s="4010" t="s">
        <v>453</v>
      </c>
      <c r="H1" s="4010"/>
      <c r="I1" s="4010"/>
      <c r="J1" s="4010"/>
      <c r="K1" s="4010"/>
      <c r="L1" s="4010"/>
      <c r="N1" s="4010" t="s">
        <v>454</v>
      </c>
      <c r="O1" s="4010"/>
      <c r="P1" s="4010"/>
      <c r="Q1" s="4010"/>
      <c r="S1" s="4010" t="s">
        <v>455</v>
      </c>
      <c r="T1" s="4010"/>
      <c r="U1" s="4010"/>
      <c r="V1" s="4010"/>
      <c r="X1" s="4009" t="s">
        <v>456</v>
      </c>
      <c r="Y1" s="4010"/>
      <c r="Z1" s="4010"/>
      <c r="AA1" s="4010"/>
      <c r="AB1" s="4010"/>
      <c r="AD1" s="4009" t="s">
        <v>457</v>
      </c>
      <c r="AE1" s="4010"/>
      <c r="AF1" s="4010"/>
      <c r="AG1" s="4010"/>
      <c r="AH1" s="40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40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45426</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3"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Q11" sqref="Q1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1461</v>
      </c>
      <c r="B1" s="1470" t="s">
        <v>3504</v>
      </c>
      <c r="C1" s="1859" t="s">
        <v>1563</v>
      </c>
      <c r="D1" s="198"/>
      <c r="E1" s="198"/>
      <c r="F1" s="198"/>
      <c r="G1" s="1126">
        <f>MATCH(B1,'数据-取费表'!A6:A16,0)+5</f>
        <v>6</v>
      </c>
      <c r="H1" s="1061" t="str">
        <f>IF(ISERROR(FIND("住宅",B1)),"非住宅","住宅")</f>
        <v>非住宅</v>
      </c>
    </row>
    <row r="2" spans="1:12" s="200" customFormat="1" ht="18" customHeight="1">
      <c r="A2" s="201" t="s">
        <v>1462</v>
      </c>
      <c r="B2" s="3421" t="e">
        <f ca="1">ROUND(IF(D2="——",C52/10000,C52/10000-E2),4)</f>
        <v>#DIV/0!</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t="e">
        <f ca="1">ROUND(B2*10000/(IF(B1="",'数据-汇总表'!E3,INDIRECT("'数据-取费表'!k"&amp;$G$1))),0)</f>
        <v>#DIV/0!</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t="e">
        <f ca="1">C6+C7+C8</f>
        <v>#DIV/0!</v>
      </c>
      <c r="D5" s="211" t="s">
        <v>1469</v>
      </c>
      <c r="E5" s="212" t="s">
        <v>1470</v>
      </c>
      <c r="F5" s="212" t="s">
        <v>1471</v>
      </c>
      <c r="G5" s="213"/>
    </row>
    <row r="6" spans="1:12" s="214" customFormat="1" ht="13.5" customHeight="1">
      <c r="A6" s="778" t="s">
        <v>1472</v>
      </c>
      <c r="B6" s="215" t="s">
        <v>1473</v>
      </c>
      <c r="C6" s="216" t="e">
        <f>ROUND(基准地价修正!D33*基准地价修正!C33,0)</f>
        <v>#DIV/0!</v>
      </c>
      <c r="D6" s="217"/>
      <c r="E6" s="218"/>
      <c r="F6" s="218"/>
      <c r="G6" s="219"/>
    </row>
    <row r="7" spans="1:12" s="214" customFormat="1" ht="13.5" customHeight="1">
      <c r="A7" s="778" t="s">
        <v>1474</v>
      </c>
      <c r="B7" s="215" t="s">
        <v>1475</v>
      </c>
      <c r="C7" s="220" t="e">
        <f>ROUND(C6*F7,0)</f>
        <v>#DIV/0!</v>
      </c>
      <c r="D7" s="220"/>
      <c r="E7" s="218"/>
      <c r="F7" s="221">
        <f>IF(项目基本情况!B8="出让",0,'数据-取费表'!B48+'数据-取费表'!B49)</f>
        <v>3.0499999999999999E-2</v>
      </c>
      <c r="G7" s="219"/>
    </row>
    <row r="8" spans="1:12" s="223" customFormat="1">
      <c r="A8" s="778" t="s">
        <v>1476</v>
      </c>
      <c r="B8" s="215" t="s">
        <v>1477</v>
      </c>
      <c r="C8" s="220">
        <f ca="1">IF(G8="已包含在土地购买价格中",0,C9+C10)</f>
        <v>128400</v>
      </c>
      <c r="D8" s="222"/>
      <c r="E8" s="220"/>
      <c r="F8" s="221"/>
      <c r="G8" s="1856" t="s">
        <v>3534</v>
      </c>
      <c r="J8" s="3543"/>
      <c r="K8" s="3542"/>
      <c r="L8" s="3542"/>
    </row>
    <row r="9" spans="1:12"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1480</v>
      </c>
      <c r="C10" s="225">
        <f ca="1">ROUND(D10*E10,0)</f>
        <v>128400</v>
      </c>
      <c r="D10" s="845">
        <f ca="1">IF(B1="",'数据-汇总表'!E6,IF(INDIRECT("'数据-取费表'!c"&amp;$G$1)="住宅",INDIRECT("'数据-取费表'!s"&amp;$G$1),INDIRECT("'数据-取费表'!k"&amp;$G$1)+INDIRECT("'数据-取费表'!s"&amp;$G$1)))</f>
        <v>642</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1564</v>
      </c>
      <c r="C12" s="211">
        <v>0</v>
      </c>
      <c r="D12" s="847"/>
      <c r="E12" s="228"/>
      <c r="F12" s="221">
        <v>3.0499999999999999E-2</v>
      </c>
      <c r="G12" s="219"/>
    </row>
    <row r="13" spans="1:12" s="214" customFormat="1" ht="13.5" hidden="1" customHeight="1">
      <c r="A13" s="227" t="s">
        <v>6</v>
      </c>
      <c r="B13" s="215" t="s">
        <v>1565</v>
      </c>
      <c r="C13" s="211"/>
      <c r="D13" s="847"/>
      <c r="E13" s="218"/>
      <c r="F13" s="218"/>
      <c r="G13" s="219"/>
    </row>
    <row r="14" spans="1:12" s="214" customFormat="1" ht="13.5" hidden="1" customHeight="1">
      <c r="A14" s="227" t="s">
        <v>7</v>
      </c>
      <c r="B14" s="215" t="s">
        <v>1477</v>
      </c>
      <c r="C14" s="211"/>
      <c r="D14" s="847"/>
      <c r="E14" s="218"/>
      <c r="F14" s="218"/>
      <c r="G14" s="219" t="s">
        <v>1566</v>
      </c>
    </row>
    <row r="15" spans="1:12" s="214" customFormat="1" ht="13.5" hidden="1" customHeight="1">
      <c r="A15" s="227" t="s">
        <v>8</v>
      </c>
      <c r="B15" s="215" t="s">
        <v>1567</v>
      </c>
      <c r="C15" s="220"/>
      <c r="D15" s="847"/>
      <c r="E15" s="218"/>
      <c r="F15" s="218"/>
      <c r="G15" s="219" t="s">
        <v>1568</v>
      </c>
    </row>
    <row r="16" spans="1:12"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642</v>
      </c>
      <c r="E19" s="211">
        <f>'数据-取费表'!B31</f>
        <v>200</v>
      </c>
      <c r="F19" s="231"/>
      <c r="G19" s="1856" t="s">
        <v>3535</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3147405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2889000</v>
      </c>
      <c r="D34" s="217"/>
      <c r="E34" s="220"/>
      <c r="F34" s="257"/>
      <c r="G34" s="219"/>
    </row>
    <row r="35" spans="1:7" ht="13.5" customHeight="1">
      <c r="A35" s="780" t="s">
        <v>351</v>
      </c>
      <c r="B35" s="215" t="s">
        <v>1527</v>
      </c>
      <c r="C35" s="220">
        <f ca="1">ROUND(C34*F35,0)</f>
        <v>86670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128400</v>
      </c>
      <c r="D37" s="217">
        <f ca="1">D19</f>
        <v>642</v>
      </c>
      <c r="E37" s="249">
        <f>'数据-取费表'!B35</f>
        <v>200</v>
      </c>
      <c r="F37" s="259"/>
      <c r="G37" s="261"/>
    </row>
    <row r="38" spans="1:7" ht="13.5" customHeight="1">
      <c r="A38" s="780" t="s">
        <v>354</v>
      </c>
      <c r="B38" s="215" t="s">
        <v>1533</v>
      </c>
      <c r="C38" s="220">
        <f ca="1">ROUND(C34*F38,0)</f>
        <v>43335</v>
      </c>
      <c r="D38" s="220"/>
      <c r="E38" s="220"/>
      <c r="F38" s="259">
        <f>'数据-取费表'!B36</f>
        <v>1.4999999999999999E-2</v>
      </c>
      <c r="G38" s="219" t="s">
        <v>1528</v>
      </c>
    </row>
    <row r="39" spans="1:7" s="214" customFormat="1" ht="13.5" customHeight="1">
      <c r="A39" s="255" t="s">
        <v>1534</v>
      </c>
      <c r="B39" s="210" t="s">
        <v>1535</v>
      </c>
      <c r="C39" s="232">
        <f ca="1">ROUND(C33*F20,0)</f>
        <v>62948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110757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108585</v>
      </c>
      <c r="D42" s="238"/>
      <c r="E42" s="238"/>
      <c r="F42" s="239"/>
      <c r="G42" s="3796" t="s">
        <v>1591</v>
      </c>
    </row>
    <row r="43" spans="1:7" ht="13.5" customHeight="1">
      <c r="A43" s="780" t="s">
        <v>347</v>
      </c>
      <c r="B43" s="215" t="s">
        <v>1545</v>
      </c>
      <c r="C43" s="238">
        <f ca="1">ROUND(IF('数据-取费表'!B22&lt;=1,C39*F22*'数据-取费表'!B20/2,C39*(POWER((1+F22),'数据-取费表'!B20/2)-1)),0)</f>
        <v>2172</v>
      </c>
      <c r="D43" s="238"/>
      <c r="E43" s="238"/>
      <c r="F43" s="239"/>
      <c r="G43" s="3797"/>
    </row>
    <row r="44" spans="1:7" ht="13.5" customHeight="1">
      <c r="A44" s="780" t="s">
        <v>348</v>
      </c>
      <c r="B44" s="215" t="s">
        <v>1546</v>
      </c>
      <c r="C44" s="238">
        <f ca="1">ROUND(IF('数据-取费表'!B22&lt;=1,C40*F22*'数据-取费表'!B20/2,C40*(POWER((1+F22),'数据-取费表'!B20/2)-1)),4)</f>
        <v>6.9999999999999999E-4</v>
      </c>
      <c r="D44" s="238"/>
      <c r="E44" s="238"/>
      <c r="F44" s="239"/>
      <c r="G44" s="3798"/>
    </row>
    <row r="45" spans="1:7" s="214" customFormat="1" ht="13.5" customHeight="1">
      <c r="A45" s="255" t="s">
        <v>1547</v>
      </c>
      <c r="B45" s="244" t="s">
        <v>1513</v>
      </c>
      <c r="C45" s="245">
        <f ca="1">C46</f>
        <v>642071</v>
      </c>
      <c r="D45" s="235">
        <f ca="1">C47</f>
        <v>4.0000000000000001E-3</v>
      </c>
      <c r="E45" s="236" t="s">
        <v>1539</v>
      </c>
      <c r="F45" s="246">
        <f ca="1">F27</f>
        <v>0.2</v>
      </c>
      <c r="G45" s="247" t="s">
        <v>1548</v>
      </c>
    </row>
    <row r="46" spans="1:7" s="214" customFormat="1" ht="13.5" customHeight="1">
      <c r="A46" s="780" t="s">
        <v>346</v>
      </c>
      <c r="B46" s="248" t="s">
        <v>1549</v>
      </c>
      <c r="C46" s="249">
        <f ca="1">ROUND((C33+C39)*F27,0)</f>
        <v>642071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4298461</v>
      </c>
      <c r="D49" s="232"/>
      <c r="E49" s="232"/>
      <c r="F49" s="264"/>
      <c r="G49" s="234" t="s">
        <v>1554</v>
      </c>
    </row>
    <row r="50" spans="1:7" s="258" customFormat="1">
      <c r="A50" s="255" t="s">
        <v>1555</v>
      </c>
      <c r="B50" s="210" t="s">
        <v>1556</v>
      </c>
      <c r="C50" s="232"/>
      <c r="D50" s="232"/>
      <c r="E50" s="232"/>
      <c r="F50" s="264">
        <f>IF('数据-取费表'!B24=0,'数据-取费表'!N16,1)</f>
        <v>0.77500000000000002</v>
      </c>
      <c r="G50" s="247"/>
    </row>
    <row r="51" spans="1:7" ht="16.5" customHeight="1">
      <c r="A51" s="255" t="s">
        <v>1558</v>
      </c>
      <c r="B51" s="210" t="s">
        <v>1593</v>
      </c>
      <c r="C51" s="232">
        <f ca="1">ROUND(C49*F50,0)</f>
        <v>3331307</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zoomScaleSheetLayoutView="90" workbookViewId="0">
      <selection activeCell="Q11" sqref="Q1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642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9"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t="s">
        <v>2438</v>
      </c>
      <c r="F3" s="2004" t="s">
        <v>3529</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4027"/>
      <c r="B4" s="4028"/>
      <c r="C4" s="4028"/>
      <c r="D4" s="4029"/>
      <c r="E4" s="4029"/>
      <c r="F4" s="4029"/>
      <c r="G4" s="4029"/>
      <c r="H4" s="4029"/>
      <c r="I4" s="4029"/>
      <c r="J4" s="403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2.5</v>
      </c>
      <c r="AA7" s="1216"/>
      <c r="AB7" s="1216"/>
      <c r="AC7" s="1217"/>
      <c r="AD7" s="1218"/>
      <c r="AE7" s="1218"/>
      <c r="AF7" s="1218"/>
      <c r="AG7" s="1218"/>
      <c r="AH7" s="1218"/>
      <c r="AI7" s="1218"/>
      <c r="AJ7" s="1219"/>
    </row>
    <row r="8" spans="1:36" ht="25.5">
      <c r="A8" s="3296"/>
      <c r="B8" s="170" t="s">
        <v>1957</v>
      </c>
      <c r="C8" s="2026" t="s">
        <v>3530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4024" t="s">
        <v>1960</v>
      </c>
      <c r="X8" s="402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4026"/>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4026"/>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3251</v>
      </c>
      <c r="E18" s="3326"/>
      <c r="F18" s="3321" t="s">
        <v>3254</v>
      </c>
      <c r="G18" s="3325">
        <f>ROUND(1-(1/(POWER(1+G24,E18))),4)</f>
        <v>0</v>
      </c>
      <c r="H18" s="3321" t="s">
        <v>3256</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4031" t="s">
        <v>3257</v>
      </c>
      <c r="B20" s="167" t="s">
        <v>1994</v>
      </c>
      <c r="C20" s="3322" t="e">
        <f>ROUND(IF(F21="与级别开发程度一致",0,(G21-E21)/C21),0)</f>
        <v>#DIV/0!</v>
      </c>
      <c r="D20" s="3338" t="s">
        <v>1998</v>
      </c>
      <c r="E20" s="3339"/>
      <c r="F20" s="4037" t="s">
        <v>1995</v>
      </c>
      <c r="G20" s="4038"/>
      <c r="H20" s="3323" t="s">
        <v>3515</v>
      </c>
      <c r="I20" s="3323" t="s">
        <v>3516</v>
      </c>
      <c r="J20" s="3324" t="s">
        <v>3517</v>
      </c>
      <c r="K20" s="2047" t="s">
        <v>3518</v>
      </c>
      <c r="L20" s="2047" t="s">
        <v>3519</v>
      </c>
      <c r="M20" s="2047" t="s">
        <v>3571</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403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3531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45426</v>
      </c>
      <c r="H23" s="3340" t="s">
        <v>3259</v>
      </c>
      <c r="I23" s="3341" t="str">
        <f>IF(H23="季度增幅（自定义）",SUMIF(N25:N28,E2,O25:O28),"")</f>
        <v/>
      </c>
      <c r="J23" s="3442" t="s">
        <v>3258</v>
      </c>
      <c r="K23" s="1125"/>
      <c r="L23" s="2055" t="s">
        <v>2004</v>
      </c>
      <c r="M23" s="1328">
        <f>ROUND(SUMIF(地价!B2:G2,E2,地价!B16:G16),0)</f>
        <v>350</v>
      </c>
      <c r="N23" s="2056" t="s">
        <v>2005</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v>
      </c>
      <c r="D24" s="2060" t="s">
        <v>2007</v>
      </c>
      <c r="E24" s="1335">
        <f>存贷款利率!E22/100</f>
        <v>4.3499999999999997E-2</v>
      </c>
      <c r="F24" s="2060" t="s">
        <v>1999</v>
      </c>
      <c r="G24" s="768">
        <f>SUMIF(M30:Q30,E2,M33:Q33)</f>
        <v>5.5E-2</v>
      </c>
      <c r="H24" s="2060" t="s">
        <v>2008</v>
      </c>
      <c r="I24" s="769">
        <f>SUMIF('数据-取费表'!C6:C15,E2,'数据-取费表'!F6:F15)/COUNTIF('数据-取费表'!C6:C15,E2)</f>
        <v>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3594</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1.0478000000000001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642</v>
      </c>
      <c r="E33" s="773" t="e">
        <f>ROUND(C33*D33/10000,0)</f>
        <v>#DIV/0!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3">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03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3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4036"/>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3500</v>
      </c>
      <c r="D50" s="1065">
        <f t="shared" ref="D50:D58" si="7">SUMIF($J$49:$N$49,C50,J50:N50)</f>
        <v>1.44E-2</v>
      </c>
      <c r="E50" s="744">
        <f>ROUND(SUM(D50:D58),4)</f>
        <v>4.7800000000000002E-2</v>
      </c>
      <c r="F50" s="1814">
        <f>IF(E2="商业",SUMIF(L1:L12,G2,N1:N12),"——")</f>
        <v>0</v>
      </c>
      <c r="G50" s="1063">
        <v>1.44E-2</v>
      </c>
      <c r="H50" s="1066">
        <f t="shared" ref="H50:H58" si="8">IFERROR(ROUNDDOWN($F$50*I50/2,4),"——")</f>
        <v>0</v>
      </c>
      <c r="I50" s="3364">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3500</v>
      </c>
      <c r="D51" s="1065">
        <f t="shared" si="7"/>
        <v>1.0500000000000001E-2</v>
      </c>
      <c r="E51" s="745"/>
      <c r="F51" s="1814"/>
      <c r="G51" s="1063">
        <v>1.0500000000000001E-2</v>
      </c>
      <c r="H51" s="1066">
        <f t="shared" si="8"/>
        <v>0</v>
      </c>
      <c r="I51" s="3364">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t="s">
        <v>3500</v>
      </c>
      <c r="D52" s="1065">
        <f t="shared" si="7"/>
        <v>5.7000000000000002E-3</v>
      </c>
      <c r="E52" s="745"/>
      <c r="F52" s="1814"/>
      <c r="G52" s="1063">
        <v>5.7000000000000002E-3</v>
      </c>
      <c r="H52" s="1066">
        <f t="shared" si="8"/>
        <v>0</v>
      </c>
      <c r="I52" s="3364">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3500</v>
      </c>
      <c r="D53" s="1065">
        <f t="shared" si="7"/>
        <v>2.3999999999999998E-3</v>
      </c>
      <c r="E53" s="745"/>
      <c r="F53" s="1814"/>
      <c r="G53" s="1063">
        <v>2.3999999999999998E-3</v>
      </c>
      <c r="H53" s="1066">
        <f t="shared" si="8"/>
        <v>0</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3532</v>
      </c>
      <c r="D54" s="1065">
        <f t="shared" si="7"/>
        <v>0</v>
      </c>
      <c r="E54" s="745"/>
      <c r="F54" s="1814"/>
      <c r="G54" s="1063">
        <v>3.8E-3</v>
      </c>
      <c r="H54" s="1066">
        <f t="shared" si="8"/>
        <v>0</v>
      </c>
      <c r="I54" s="3364">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3500</v>
      </c>
      <c r="D55" s="1065">
        <f t="shared" si="7"/>
        <v>2.3999999999999998E-3</v>
      </c>
      <c r="E55" s="745"/>
      <c r="F55" s="1814"/>
      <c r="G55" s="1063">
        <v>2.3999999999999998E-3</v>
      </c>
      <c r="H55" s="1066">
        <f t="shared" si="8"/>
        <v>0</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3500</v>
      </c>
      <c r="D56" s="1065">
        <f t="shared" si="7"/>
        <v>2.3999999999999998E-3</v>
      </c>
      <c r="E56" s="745"/>
      <c r="F56" s="1814"/>
      <c r="G56" s="1063">
        <v>2.3999999999999998E-3</v>
      </c>
      <c r="H56" s="1066">
        <f t="shared" si="8"/>
        <v>0</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3533</v>
      </c>
      <c r="D57" s="1065">
        <f t="shared" si="7"/>
        <v>7.6E-3</v>
      </c>
      <c r="E57" s="745"/>
      <c r="F57" s="1814"/>
      <c r="G57" s="1063">
        <v>3.8E-3</v>
      </c>
      <c r="H57" s="1066">
        <f t="shared" si="8"/>
        <v>0</v>
      </c>
      <c r="I57" s="3364">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3500</v>
      </c>
      <c r="D58" s="1065">
        <f t="shared" si="7"/>
        <v>2.3999999999999998E-3</v>
      </c>
      <c r="E58" s="746"/>
      <c r="F58" s="1814"/>
      <c r="G58" s="1063">
        <v>2.3999999999999998E-3</v>
      </c>
      <c r="H58" s="1066">
        <f t="shared" si="8"/>
        <v>0</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2611</v>
      </c>
      <c r="B91" s="3375">
        <f>1+E93</f>
        <v>1.0369999999999999</v>
      </c>
      <c r="C91" s="3368"/>
      <c r="D91" s="3369"/>
      <c r="E91" s="1814"/>
      <c r="F91" s="1814"/>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t="s">
        <v>3532</v>
      </c>
      <c r="D93" s="3363">
        <f>SUMIF($J$92:$N$92,C93,J93:N93)</f>
        <v>0</v>
      </c>
      <c r="E93" s="3379">
        <f>ROUND(SUM(D93:D101),4)</f>
        <v>3.6999999999999998E-2</v>
      </c>
      <c r="F93" s="1814" t="str">
        <f>IF(E2="公共服务",SUMIF(L1:L12,G2,N1:N12),"——")</f>
        <v>——</v>
      </c>
      <c r="G93" s="3370">
        <v>1.2500000000000001E-2</v>
      </c>
      <c r="H93" s="3418" t="str">
        <f>IFERROR(ROUNDDOWN($F$93*I93/2,4),"——")</f>
        <v>——</v>
      </c>
      <c r="I93" s="3364">
        <v>0.25</v>
      </c>
      <c r="J93" s="3342">
        <f t="shared" ref="J93:J101" si="27">K93+$G93</f>
        <v>2.5000000000000001E-2</v>
      </c>
      <c r="K93" s="3342">
        <f t="shared" ref="K93:K101" si="28">$L93+$G93</f>
        <v>1.2500000000000001E-2</v>
      </c>
      <c r="L93" s="3342">
        <v>0</v>
      </c>
      <c r="M93" s="3342">
        <f t="shared" ref="M93:N101" si="29">L93-$G93</f>
        <v>-1.2500000000000001E-2</v>
      </c>
      <c r="N93" s="3342">
        <f t="shared" si="29"/>
        <v>-2.5000000000000001E-2</v>
      </c>
    </row>
    <row r="94" spans="1:37" ht="14.25">
      <c r="A94" s="3376" t="s">
        <v>3276</v>
      </c>
      <c r="B94" s="3367" t="str">
        <f>估价对象房地状况!C18</f>
        <v>较好</v>
      </c>
      <c r="C94" s="2044" t="s">
        <v>3500</v>
      </c>
      <c r="D94" s="3363">
        <f t="shared" ref="D94:D101" si="30">SUMIF($J$60:$N$60,C94,J94:N94)</f>
        <v>1.2999999999999999E-2</v>
      </c>
      <c r="E94" s="3380"/>
      <c r="F94" s="1814"/>
      <c r="G94" s="3370">
        <v>1.2999999999999999E-2</v>
      </c>
      <c r="H94" s="3418" t="str">
        <f>IFERROR(ROUNDDOWN($F$93*I94/2,4),"——")</f>
        <v>——</v>
      </c>
      <c r="I94" s="3364">
        <v>0.26</v>
      </c>
      <c r="J94" s="3342">
        <f t="shared" si="27"/>
        <v>2.5999999999999999E-2</v>
      </c>
      <c r="K94" s="3342">
        <f t="shared" si="28"/>
        <v>1.2999999999999999E-2</v>
      </c>
      <c r="L94" s="3342">
        <v>0</v>
      </c>
      <c r="M94" s="3342">
        <f t="shared" si="29"/>
        <v>-1.2999999999999999E-2</v>
      </c>
      <c r="N94" s="3342">
        <f t="shared" si="29"/>
        <v>-2.5999999999999999E-2</v>
      </c>
    </row>
    <row r="95" spans="1:37" ht="36">
      <c r="A95" s="3366" t="s">
        <v>3272</v>
      </c>
      <c r="B95" s="3367">
        <f>估价对象房地状况!C19</f>
        <v>0</v>
      </c>
      <c r="C95" s="2044" t="s">
        <v>3500</v>
      </c>
      <c r="D95" s="3363">
        <f t="shared" si="30"/>
        <v>5.4999999999999997E-3</v>
      </c>
      <c r="E95" s="3380"/>
      <c r="F95" s="1814"/>
      <c r="G95" s="3370">
        <v>5.4999999999999997E-3</v>
      </c>
      <c r="H95" s="3418" t="str">
        <f t="shared" ref="H95:H101" si="31">IFERROR(ROUNDDOWN($F$93*I95/2,4),"——")</f>
        <v>——</v>
      </c>
      <c r="I95" s="3364">
        <v>0.11</v>
      </c>
      <c r="J95" s="3342">
        <f t="shared" si="27"/>
        <v>1.0999999999999999E-2</v>
      </c>
      <c r="K95" s="3342">
        <f t="shared" si="28"/>
        <v>5.4999999999999997E-3</v>
      </c>
      <c r="L95" s="3342">
        <v>0</v>
      </c>
      <c r="M95" s="3342">
        <f t="shared" si="29"/>
        <v>-5.4999999999999997E-3</v>
      </c>
      <c r="N95" s="3342">
        <f t="shared" si="29"/>
        <v>-1.0999999999999999E-2</v>
      </c>
    </row>
    <row r="96" spans="1:37" ht="36.75">
      <c r="A96" s="3376" t="s">
        <v>3277</v>
      </c>
      <c r="B96" s="3382" t="s">
        <v>3288</v>
      </c>
      <c r="C96" s="2044" t="s">
        <v>3532</v>
      </c>
      <c r="D96" s="3363">
        <f t="shared" si="30"/>
        <v>0</v>
      </c>
      <c r="E96" s="3380"/>
      <c r="F96" s="1814"/>
      <c r="G96" s="3370">
        <v>2.5000000000000001E-3</v>
      </c>
      <c r="H96" s="3418" t="str">
        <f t="shared" si="31"/>
        <v>——</v>
      </c>
      <c r="I96" s="3364">
        <v>0.05</v>
      </c>
      <c r="J96" s="3342">
        <f t="shared" si="27"/>
        <v>5.0000000000000001E-3</v>
      </c>
      <c r="K96" s="3342">
        <f t="shared" si="28"/>
        <v>2.5000000000000001E-3</v>
      </c>
      <c r="L96" s="3342">
        <v>0</v>
      </c>
      <c r="M96" s="3342">
        <f t="shared" si="29"/>
        <v>-2.5000000000000001E-3</v>
      </c>
      <c r="N96" s="3342">
        <f t="shared" si="29"/>
        <v>-5.0000000000000001E-3</v>
      </c>
    </row>
    <row r="97" spans="1:14" ht="24">
      <c r="A97" s="3376" t="s">
        <v>3278</v>
      </c>
      <c r="B97" s="3367">
        <f>估价对象房地状况!C24</f>
        <v>0</v>
      </c>
      <c r="C97" s="2044" t="s">
        <v>3532</v>
      </c>
      <c r="D97" s="3363">
        <f t="shared" si="30"/>
        <v>0</v>
      </c>
      <c r="E97" s="3380"/>
      <c r="F97" s="1814"/>
      <c r="G97" s="3370">
        <v>2.5000000000000001E-3</v>
      </c>
      <c r="H97" s="3418" t="str">
        <f t="shared" si="31"/>
        <v>——</v>
      </c>
      <c r="I97" s="3364">
        <v>0.05</v>
      </c>
      <c r="J97" s="3342">
        <f t="shared" si="27"/>
        <v>5.0000000000000001E-3</v>
      </c>
      <c r="K97" s="3342">
        <f t="shared" si="28"/>
        <v>2.5000000000000001E-3</v>
      </c>
      <c r="L97" s="3342">
        <v>0</v>
      </c>
      <c r="M97" s="3342">
        <f t="shared" si="29"/>
        <v>-2.5000000000000001E-3</v>
      </c>
      <c r="N97" s="3342">
        <f t="shared" si="29"/>
        <v>-5.0000000000000001E-3</v>
      </c>
    </row>
    <row r="98" spans="1:14" ht="24">
      <c r="A98" s="3376" t="s">
        <v>3279</v>
      </c>
      <c r="B98" s="3383" t="s">
        <v>3289</v>
      </c>
      <c r="C98" s="2044" t="s">
        <v>3500</v>
      </c>
      <c r="D98" s="3363">
        <f t="shared" si="30"/>
        <v>3.0000000000000001E-3</v>
      </c>
      <c r="E98" s="3380"/>
      <c r="F98" s="1814"/>
      <c r="G98" s="3370">
        <v>3.0000000000000001E-3</v>
      </c>
      <c r="H98" s="3418" t="str">
        <f t="shared" si="31"/>
        <v>——</v>
      </c>
      <c r="I98" s="3364">
        <v>0.06</v>
      </c>
      <c r="J98" s="3342">
        <f t="shared" si="27"/>
        <v>6.0000000000000001E-3</v>
      </c>
      <c r="K98" s="3342">
        <f t="shared" si="28"/>
        <v>3.0000000000000001E-3</v>
      </c>
      <c r="L98" s="3342">
        <v>0</v>
      </c>
      <c r="M98" s="3342">
        <f t="shared" si="29"/>
        <v>-3.0000000000000001E-3</v>
      </c>
      <c r="N98" s="3342">
        <f t="shared" si="29"/>
        <v>-6.0000000000000001E-3</v>
      </c>
    </row>
    <row r="99" spans="1:14" ht="24">
      <c r="A99" s="3376" t="s">
        <v>3280</v>
      </c>
      <c r="B99" s="3367" t="str">
        <f>估价对象房地状况!C21</f>
        <v>较好</v>
      </c>
      <c r="C99" s="2044" t="s">
        <v>3500</v>
      </c>
      <c r="D99" s="3363">
        <f t="shared" si="30"/>
        <v>3.0000000000000001E-3</v>
      </c>
      <c r="E99" s="3380"/>
      <c r="F99" s="1814"/>
      <c r="G99" s="3370">
        <v>3.0000000000000001E-3</v>
      </c>
      <c r="H99" s="3418" t="str">
        <f t="shared" si="31"/>
        <v>——</v>
      </c>
      <c r="I99" s="3364">
        <v>0.06</v>
      </c>
      <c r="J99" s="3342">
        <f t="shared" si="27"/>
        <v>6.0000000000000001E-3</v>
      </c>
      <c r="K99" s="3342">
        <f t="shared" si="28"/>
        <v>3.0000000000000001E-3</v>
      </c>
      <c r="L99" s="3342">
        <v>0</v>
      </c>
      <c r="M99" s="3342">
        <f t="shared" si="29"/>
        <v>-3.0000000000000001E-3</v>
      </c>
      <c r="N99" s="3342">
        <f t="shared" si="29"/>
        <v>-6.0000000000000001E-3</v>
      </c>
    </row>
    <row r="100" spans="1:14" ht="24">
      <c r="A100" s="3376" t="s">
        <v>3281</v>
      </c>
      <c r="B100" s="3367" t="str">
        <f>估价对象房地状况!C22</f>
        <v>七通</v>
      </c>
      <c r="C100" s="2044" t="s">
        <v>3533</v>
      </c>
      <c r="D100" s="3363">
        <f t="shared" si="30"/>
        <v>8.9999999999999993E-3</v>
      </c>
      <c r="E100" s="3380"/>
      <c r="F100" s="1814"/>
      <c r="G100" s="3370">
        <v>4.4999999999999997E-3</v>
      </c>
      <c r="H100" s="3418" t="str">
        <f t="shared" si="31"/>
        <v>——</v>
      </c>
      <c r="I100" s="3364">
        <v>0.09</v>
      </c>
      <c r="J100" s="3342">
        <f t="shared" si="27"/>
        <v>8.9999999999999993E-3</v>
      </c>
      <c r="K100" s="3342">
        <f t="shared" si="28"/>
        <v>4.4999999999999997E-3</v>
      </c>
      <c r="L100" s="3342">
        <v>0</v>
      </c>
      <c r="M100" s="3342">
        <f t="shared" si="29"/>
        <v>-4.4999999999999997E-3</v>
      </c>
      <c r="N100" s="3342">
        <f t="shared" si="29"/>
        <v>-8.9999999999999993E-3</v>
      </c>
    </row>
    <row r="101" spans="1:14" ht="24.75" thickBot="1">
      <c r="A101" s="3377" t="s">
        <v>3282</v>
      </c>
      <c r="B101" s="3384" t="str">
        <f>估价对象房地状况!C20</f>
        <v>较好</v>
      </c>
      <c r="C101" s="2044" t="s">
        <v>3500</v>
      </c>
      <c r="D101" s="3363">
        <f t="shared" si="30"/>
        <v>3.5000000000000001E-3</v>
      </c>
      <c r="E101" s="3381"/>
      <c r="F101" s="1814"/>
      <c r="G101" s="3370">
        <v>3.5000000000000001E-3</v>
      </c>
      <c r="H101" s="3418" t="str">
        <f t="shared" si="31"/>
        <v>——</v>
      </c>
      <c r="I101" s="3365">
        <v>7.0000000000000007E-2</v>
      </c>
      <c r="J101" s="3342">
        <f t="shared" si="27"/>
        <v>7.0000000000000001E-3</v>
      </c>
      <c r="K101" s="3342">
        <f t="shared" si="28"/>
        <v>3.5000000000000001E-3</v>
      </c>
      <c r="L101" s="3342">
        <v>0</v>
      </c>
      <c r="M101" s="3342">
        <f t="shared" si="29"/>
        <v>-3.5000000000000001E-3</v>
      </c>
      <c r="N101" s="3342">
        <f t="shared" si="29"/>
        <v>-7.0000000000000001E-3</v>
      </c>
    </row>
    <row r="103" spans="1:14">
      <c r="A103" s="4033" t="s">
        <v>3297</v>
      </c>
      <c r="B103" s="4033"/>
      <c r="C103" s="4033"/>
      <c r="D103" s="4033"/>
      <c r="E103" s="4033"/>
      <c r="F103" s="4033"/>
      <c r="G103" s="4033"/>
      <c r="H103" s="4033"/>
      <c r="I103" s="4033"/>
      <c r="J103" s="4033"/>
      <c r="K103" s="3387"/>
      <c r="L103" s="3387"/>
      <c r="M103" s="3387"/>
      <c r="N103" s="3387"/>
    </row>
    <row r="104" spans="1:14">
      <c r="A104" s="4034" t="s">
        <v>3298</v>
      </c>
      <c r="B104" s="4034" t="s">
        <v>3299</v>
      </c>
      <c r="C104" s="3388" t="s">
        <v>3300</v>
      </c>
      <c r="D104" s="3389"/>
      <c r="E104" s="3389"/>
      <c r="F104" s="3389"/>
      <c r="G104" s="3389"/>
      <c r="H104" s="3389"/>
      <c r="I104" s="3389"/>
      <c r="J104" s="3390"/>
      <c r="K104" s="3391"/>
      <c r="L104" s="3391"/>
      <c r="M104" s="3391"/>
      <c r="N104" s="3391"/>
    </row>
    <row r="105" spans="1:14">
      <c r="A105" s="4034"/>
      <c r="B105" s="4034"/>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4020"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4021"/>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4021"/>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4021"/>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4021"/>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4021"/>
      <c r="B111" s="3392" t="s">
        <v>3271</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4022"/>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4023" t="s">
        <v>3314</v>
      </c>
      <c r="B113" s="4023"/>
      <c r="C113" s="4023"/>
      <c r="D113" s="4023"/>
      <c r="E113" s="4023"/>
      <c r="F113" s="4023"/>
      <c r="G113" s="4023"/>
      <c r="H113" s="4023"/>
      <c r="I113" s="4023"/>
      <c r="J113" s="4023"/>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2.5</v>
      </c>
      <c r="C116" s="3397" t="s">
        <v>3316</v>
      </c>
      <c r="D116" s="3398">
        <f>SUMPRODUCT((A118:A122=F116)*(B117:M117=H116)*B118:M122)</f>
        <v>0</v>
      </c>
      <c r="E116" s="2000" t="s">
        <v>3317</v>
      </c>
      <c r="F116" s="3399" t="str">
        <f>E2</f>
        <v>商业</v>
      </c>
      <c r="G116" s="2000" t="s">
        <v>3318</v>
      </c>
      <c r="H116" s="3399">
        <f>G2</f>
        <v>0</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3332</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3333</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3334</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7" zoomScale="80" zoomScaleNormal="70" zoomScaleSheetLayoutView="80" workbookViewId="0">
      <selection activeCell="Q11" sqref="Q1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3" t="s">
        <v>3567</v>
      </c>
      <c r="F1" s="1879" t="s">
        <v>3600</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1665</v>
      </c>
      <c r="D3" s="353">
        <f>IF(D1="",'数据-汇总表'!E3,SUMIF('数据-汇总表'!$C19:$C33,D1,'数据-汇总表'!$E19:$E33))</f>
        <v>642</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818" t="s">
        <v>1667</v>
      </c>
      <c r="D4" s="3819"/>
      <c r="E4" s="3820" t="s">
        <v>1668</v>
      </c>
      <c r="F4" s="3821"/>
      <c r="G4" s="3818" t="s">
        <v>1669</v>
      </c>
      <c r="H4" s="3819"/>
      <c r="I4" s="3818" t="s">
        <v>1670</v>
      </c>
      <c r="J4" s="3819"/>
      <c r="K4" s="559" t="s">
        <v>1774</v>
      </c>
      <c r="L4" s="2712"/>
      <c r="M4" s="2713"/>
      <c r="N4" s="2713"/>
      <c r="O4" s="2713"/>
      <c r="P4" s="3822" t="s">
        <v>1672</v>
      </c>
      <c r="Q4" s="3823"/>
      <c r="R4" s="3805" t="s">
        <v>1668</v>
      </c>
      <c r="S4" s="3806"/>
      <c r="T4" s="3805" t="s">
        <v>1669</v>
      </c>
      <c r="U4" s="3806"/>
      <c r="V4" s="3802" t="s">
        <v>1670</v>
      </c>
      <c r="W4" s="3802"/>
      <c r="X4" s="3554"/>
      <c r="Y4" s="3805" t="s">
        <v>1672</v>
      </c>
      <c r="Z4" s="3806"/>
      <c r="AA4" s="3799" t="s">
        <v>1668</v>
      </c>
      <c r="AB4" s="3802" t="s">
        <v>1669</v>
      </c>
      <c r="AC4" s="3799" t="s">
        <v>1670</v>
      </c>
    </row>
    <row r="5" spans="1:29" ht="15">
      <c r="A5" s="358"/>
      <c r="B5" s="359"/>
      <c r="C5" s="3872" t="str">
        <f>'比较法-商业'!C5:D5</f>
        <v>远洋沁山水</v>
      </c>
      <c r="D5" s="3812"/>
      <c r="E5" s="3809" t="s">
        <v>3603</v>
      </c>
      <c r="F5" s="3810"/>
      <c r="G5" s="3809" t="str">
        <f>商业案例!F3</f>
        <v>龙湖唐宁one</v>
      </c>
      <c r="H5" s="3810"/>
      <c r="I5" s="3872" t="str">
        <f>商业案例!F4</f>
        <v>新科祥园</v>
      </c>
      <c r="J5" s="3812"/>
      <c r="K5" s="559"/>
      <c r="L5" s="2712"/>
      <c r="M5" s="2713"/>
      <c r="N5" s="2713"/>
      <c r="O5" s="2713"/>
      <c r="P5" s="3824"/>
      <c r="Q5" s="3825"/>
      <c r="R5" s="3807"/>
      <c r="S5" s="3808"/>
      <c r="T5" s="3807"/>
      <c r="U5" s="3808"/>
      <c r="V5" s="3802"/>
      <c r="W5" s="3802"/>
      <c r="X5" s="3554"/>
      <c r="Y5" s="3807"/>
      <c r="Z5" s="3808"/>
      <c r="AA5" s="3800"/>
      <c r="AB5" s="3802"/>
      <c r="AC5" s="3800"/>
    </row>
    <row r="6" spans="1:29" ht="15.75" thickBot="1">
      <c r="A6" s="360"/>
      <c r="B6" s="361"/>
      <c r="C6" s="3813" t="s">
        <v>1677</v>
      </c>
      <c r="D6" s="3814"/>
      <c r="E6" s="3815" t="s">
        <v>1677</v>
      </c>
      <c r="F6" s="3816"/>
      <c r="G6" s="3813" t="s">
        <v>1677</v>
      </c>
      <c r="H6" s="3814"/>
      <c r="I6" s="3813" t="s">
        <v>1677</v>
      </c>
      <c r="J6" s="3814"/>
      <c r="K6" s="559" t="s">
        <v>1678</v>
      </c>
      <c r="L6" s="2712"/>
      <c r="M6" s="2713"/>
      <c r="N6" s="2713"/>
      <c r="O6" s="2713"/>
      <c r="P6" s="3826"/>
      <c r="Q6" s="3827"/>
      <c r="R6" s="3807"/>
      <c r="S6" s="3808"/>
      <c r="T6" s="3828"/>
      <c r="U6" s="3829"/>
      <c r="V6" s="3802"/>
      <c r="W6" s="3802"/>
      <c r="X6" s="3554"/>
      <c r="Y6" s="3828"/>
      <c r="Z6" s="3829"/>
      <c r="AA6" s="3801"/>
      <c r="AB6" s="3802"/>
      <c r="AC6" s="3801"/>
    </row>
    <row r="7" spans="1:29" s="108" customFormat="1" ht="15.75" thickBot="1">
      <c r="A7" s="362" t="s">
        <v>1679</v>
      </c>
      <c r="B7" s="363"/>
      <c r="C7" s="364">
        <f>'数据-取费表'!B2</f>
        <v>45426</v>
      </c>
      <c r="D7" s="365">
        <v>100</v>
      </c>
      <c r="E7" s="366">
        <v>45231</v>
      </c>
      <c r="F7" s="367">
        <f>SUMIF(58:58,YEAR(E7)&amp;"-"&amp;MONTH(E7),59:59)</f>
        <v>0</v>
      </c>
      <c r="G7" s="366">
        <v>45231</v>
      </c>
      <c r="H7" s="365">
        <f>SUMIF(58:58,YEAR(G7)&amp;"-"&amp;MONTH(G7),59:59)</f>
        <v>0</v>
      </c>
      <c r="I7" s="366">
        <f>G7</f>
        <v>45231</v>
      </c>
      <c r="J7" s="365">
        <f>SUMIF(58:58,YEAR(I7)&amp;"-"&amp;MONTH(I7),59:59)</f>
        <v>0</v>
      </c>
      <c r="K7" s="560"/>
      <c r="L7" s="2714"/>
      <c r="M7" s="2715"/>
      <c r="N7" s="2715"/>
      <c r="O7" s="2715"/>
      <c r="P7" s="3803" t="s">
        <v>1680</v>
      </c>
      <c r="Q7" s="3830"/>
      <c r="R7" s="701" t="s">
        <v>14</v>
      </c>
      <c r="S7" s="702">
        <f t="shared" ref="S7:S15" si="0">F7</f>
        <v>0</v>
      </c>
      <c r="T7" s="701" t="s">
        <v>14</v>
      </c>
      <c r="U7" s="702">
        <f t="shared" ref="U7:U15" si="1">H7</f>
        <v>0</v>
      </c>
      <c r="V7" s="701" t="s">
        <v>14</v>
      </c>
      <c r="W7" s="702">
        <f t="shared" ref="W7:W15" si="2">J7</f>
        <v>0</v>
      </c>
      <c r="X7" s="703"/>
      <c r="Y7" s="3803" t="s">
        <v>1680</v>
      </c>
      <c r="Z7" s="3804"/>
      <c r="AA7" s="704" t="e">
        <f>D7/F7</f>
        <v>#DIV/0!</v>
      </c>
      <c r="AB7" s="704" t="e">
        <f>D7/H7</f>
        <v>#DIV/0!</v>
      </c>
      <c r="AC7" s="704" t="e">
        <f>D7/J7</f>
        <v>#DIV/0!</v>
      </c>
    </row>
    <row r="8" spans="1:29" s="108" customFormat="1" ht="15.75" thickBot="1">
      <c r="A8" s="362" t="s">
        <v>1681</v>
      </c>
      <c r="B8" s="363"/>
      <c r="C8" s="368" t="s">
        <v>3558</v>
      </c>
      <c r="D8" s="365">
        <v>100</v>
      </c>
      <c r="E8" s="368" t="s">
        <v>3601</v>
      </c>
      <c r="F8" s="367">
        <f>SUMIF(61:61,E8,62:62)-SUMIF(61:61,C8,62:62)+100</f>
        <v>105</v>
      </c>
      <c r="G8" s="368" t="s">
        <v>3601</v>
      </c>
      <c r="H8" s="365">
        <f>SUMIF(61:61,G8,62:62)-SUMIF(61:61,C8,62:62)+100</f>
        <v>105</v>
      </c>
      <c r="I8" s="368" t="s">
        <v>3601</v>
      </c>
      <c r="J8" s="365">
        <f>SUMIF(61:61,I8,62:62)-SUMIF(61:61,C8,62:62)+100</f>
        <v>105</v>
      </c>
      <c r="K8" s="560"/>
      <c r="L8" s="2714"/>
      <c r="M8" s="2715"/>
      <c r="N8" s="2715"/>
      <c r="O8" s="2715"/>
      <c r="P8" s="3803" t="s">
        <v>1683</v>
      </c>
      <c r="Q8" s="3804"/>
      <c r="R8" s="701" t="s">
        <v>14</v>
      </c>
      <c r="S8" s="702">
        <f t="shared" si="0"/>
        <v>105</v>
      </c>
      <c r="T8" s="701" t="s">
        <v>14</v>
      </c>
      <c r="U8" s="702">
        <f t="shared" si="1"/>
        <v>105</v>
      </c>
      <c r="V8" s="701" t="s">
        <v>14</v>
      </c>
      <c r="W8" s="702">
        <f t="shared" si="2"/>
        <v>105</v>
      </c>
      <c r="X8" s="703"/>
      <c r="Y8" s="3803" t="s">
        <v>1683</v>
      </c>
      <c r="Z8" s="3804"/>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537" t="s">
        <v>3559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817" t="s">
        <v>1686</v>
      </c>
      <c r="Q9" s="3549" t="str">
        <f t="shared" ref="Q9:Q15" si="6">B9</f>
        <v>用途</v>
      </c>
      <c r="R9" s="701" t="s">
        <v>14</v>
      </c>
      <c r="S9" s="702">
        <f t="shared" si="0"/>
        <v>100</v>
      </c>
      <c r="T9" s="701" t="s">
        <v>14</v>
      </c>
      <c r="U9" s="702">
        <f t="shared" si="1"/>
        <v>100</v>
      </c>
      <c r="V9" s="701" t="s">
        <v>14</v>
      </c>
      <c r="W9" s="702">
        <f t="shared" si="2"/>
        <v>100</v>
      </c>
      <c r="X9" s="703"/>
      <c r="Y9" s="3772" t="s">
        <v>1687</v>
      </c>
      <c r="Z9" s="3548" t="str">
        <f t="shared" ref="Z9:Z15" si="7">Q9</f>
        <v>用途</v>
      </c>
      <c r="AA9" s="704">
        <f t="shared" si="3"/>
        <v>1</v>
      </c>
      <c r="AB9" s="704">
        <f t="shared" si="4"/>
        <v>1</v>
      </c>
      <c r="AC9" s="704">
        <f t="shared" si="5"/>
        <v>1</v>
      </c>
    </row>
    <row r="10" spans="1:29" s="378" customFormat="1" ht="27">
      <c r="A10" s="374"/>
      <c r="B10" s="375" t="s">
        <v>1688</v>
      </c>
      <c r="C10" s="3558" t="s">
        <v>3608</v>
      </c>
      <c r="D10" s="127">
        <v>100</v>
      </c>
      <c r="E10" s="3432" t="s">
        <v>3607</v>
      </c>
      <c r="F10" s="376">
        <f>SUMIF(65:65,E10,66:66)-SUMIF(65:65,C10,66:66)+100</f>
        <v>110</v>
      </c>
      <c r="G10" s="3432" t="s">
        <v>3609</v>
      </c>
      <c r="H10" s="127">
        <f>SUMIF(65:65,G10,66:66)-SUMIF(65:65,C10,66:66)+100</f>
        <v>110</v>
      </c>
      <c r="I10" s="3431" t="s">
        <v>3610</v>
      </c>
      <c r="J10" s="127">
        <f>SUMIF(65:65,I10,66:66)-SUMIF(65:65,C10,66:66)+100</f>
        <v>105</v>
      </c>
      <c r="K10" s="560"/>
      <c r="L10" s="2716"/>
      <c r="M10" s="2717"/>
      <c r="N10" s="2717"/>
      <c r="O10" s="2717"/>
      <c r="P10" s="3817"/>
      <c r="Q10" s="3549" t="str">
        <f t="shared" si="6"/>
        <v>土地使用年限（年）</v>
      </c>
      <c r="R10" s="701" t="s">
        <v>14</v>
      </c>
      <c r="S10" s="702">
        <f t="shared" si="0"/>
        <v>110</v>
      </c>
      <c r="T10" s="701" t="s">
        <v>14</v>
      </c>
      <c r="U10" s="702">
        <f t="shared" si="1"/>
        <v>110</v>
      </c>
      <c r="V10" s="701" t="s">
        <v>14</v>
      </c>
      <c r="W10" s="702">
        <f t="shared" si="2"/>
        <v>105</v>
      </c>
      <c r="X10" s="703"/>
      <c r="Y10" s="3772"/>
      <c r="Z10" s="3548" t="str">
        <f t="shared" si="7"/>
        <v>土地使用年限（年）</v>
      </c>
      <c r="AA10" s="704">
        <f t="shared" si="3"/>
        <v>0.90909090909090906</v>
      </c>
      <c r="AB10" s="704">
        <f t="shared" si="4"/>
        <v>0.90909090909090906</v>
      </c>
      <c r="AC10" s="704">
        <f t="shared" si="5"/>
        <v>0.95238095238095233</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8"/>
      <c r="M11" s="2713"/>
      <c r="N11" s="2713"/>
      <c r="O11" s="2713"/>
      <c r="P11" s="3817"/>
      <c r="Q11" s="3549" t="str">
        <f t="shared" si="6"/>
        <v>容积率</v>
      </c>
      <c r="R11" s="701" t="s">
        <v>14</v>
      </c>
      <c r="S11" s="702">
        <f t="shared" si="0"/>
        <v>100</v>
      </c>
      <c r="T11" s="701" t="s">
        <v>14</v>
      </c>
      <c r="U11" s="702">
        <f t="shared" si="1"/>
        <v>100</v>
      </c>
      <c r="V11" s="701" t="s">
        <v>14</v>
      </c>
      <c r="W11" s="702">
        <f t="shared" si="2"/>
        <v>100</v>
      </c>
      <c r="X11" s="703"/>
      <c r="Y11" s="3772"/>
      <c r="Z11" s="3548"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17"/>
      <c r="Q12" s="3549">
        <f t="shared" si="6"/>
        <v>111</v>
      </c>
      <c r="R12" s="701" t="s">
        <v>14</v>
      </c>
      <c r="S12" s="702">
        <f t="shared" si="0"/>
        <v>100</v>
      </c>
      <c r="T12" s="701" t="s">
        <v>14</v>
      </c>
      <c r="U12" s="702">
        <f t="shared" si="1"/>
        <v>100</v>
      </c>
      <c r="V12" s="701" t="s">
        <v>14</v>
      </c>
      <c r="W12" s="702">
        <f t="shared" si="2"/>
        <v>100</v>
      </c>
      <c r="X12" s="703"/>
      <c r="Y12" s="3772"/>
      <c r="Z12" s="3548">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17"/>
      <c r="Q13" s="3549">
        <f t="shared" si="6"/>
        <v>111</v>
      </c>
      <c r="R13" s="701" t="s">
        <v>14</v>
      </c>
      <c r="S13" s="702">
        <f t="shared" si="0"/>
        <v>100</v>
      </c>
      <c r="T13" s="701" t="s">
        <v>14</v>
      </c>
      <c r="U13" s="702">
        <f t="shared" si="1"/>
        <v>100</v>
      </c>
      <c r="V13" s="701" t="s">
        <v>14</v>
      </c>
      <c r="W13" s="702">
        <f t="shared" si="2"/>
        <v>100</v>
      </c>
      <c r="X13" s="703"/>
      <c r="Y13" s="3772"/>
      <c r="Z13" s="3548">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17"/>
      <c r="Q14" s="3549">
        <f t="shared" si="6"/>
        <v>111</v>
      </c>
      <c r="R14" s="701" t="s">
        <v>14</v>
      </c>
      <c r="S14" s="702">
        <f t="shared" si="0"/>
        <v>100</v>
      </c>
      <c r="T14" s="701" t="s">
        <v>14</v>
      </c>
      <c r="U14" s="702">
        <f t="shared" si="1"/>
        <v>100</v>
      </c>
      <c r="V14" s="701" t="s">
        <v>14</v>
      </c>
      <c r="W14" s="702">
        <f t="shared" si="2"/>
        <v>100</v>
      </c>
      <c r="X14" s="703"/>
      <c r="Y14" s="3772"/>
      <c r="Z14" s="3548">
        <f t="shared" si="7"/>
        <v>111</v>
      </c>
      <c r="AA14" s="704">
        <f t="shared" si="3"/>
        <v>1</v>
      </c>
      <c r="AB14" s="704">
        <f t="shared" si="4"/>
        <v>1</v>
      </c>
      <c r="AC14" s="704">
        <f t="shared" si="5"/>
        <v>1</v>
      </c>
    </row>
    <row r="15" spans="1:29" ht="18.75" customHeight="1">
      <c r="A15" s="391" t="s">
        <v>1690</v>
      </c>
      <c r="B15" s="61" t="s">
        <v>1777</v>
      </c>
      <c r="C15" s="1896" t="str">
        <f>估价对象房地状况!C4</f>
        <v>较好</v>
      </c>
      <c r="D15" s="392">
        <v>100</v>
      </c>
      <c r="E15" s="3557" t="s">
        <v>3604</v>
      </c>
      <c r="F15" s="394">
        <f>SUMIF(76:76,E16,77:77)-SUMIF(76:76,C16,77:77)+100</f>
        <v>95</v>
      </c>
      <c r="G15" s="403" t="s">
        <v>3500</v>
      </c>
      <c r="H15" s="392">
        <f>SUMIF(76:76,G16,77:77)-SUMIF(76:76,C16,77:77)+100</f>
        <v>100</v>
      </c>
      <c r="I15" s="393" t="s">
        <v>3500</v>
      </c>
      <c r="J15" s="392">
        <f>SUMIF(76:76,I16,77:77)-SUMIF(76:76,C16,77:77)+100</f>
        <v>100</v>
      </c>
      <c r="K15" s="563">
        <v>5</v>
      </c>
      <c r="L15" s="2719"/>
      <c r="M15" s="2713"/>
      <c r="N15" s="2713"/>
      <c r="O15" s="2713"/>
      <c r="P15" s="3831" t="s">
        <v>1691</v>
      </c>
      <c r="Q15" s="3550" t="str">
        <f t="shared" si="6"/>
        <v>商业繁华度</v>
      </c>
      <c r="R15" s="705" t="s">
        <v>14</v>
      </c>
      <c r="S15" s="706">
        <f t="shared" si="0"/>
        <v>95</v>
      </c>
      <c r="T15" s="705" t="s">
        <v>14</v>
      </c>
      <c r="U15" s="706">
        <f t="shared" si="1"/>
        <v>100</v>
      </c>
      <c r="V15" s="705" t="s">
        <v>14</v>
      </c>
      <c r="W15" s="706">
        <f t="shared" si="2"/>
        <v>100</v>
      </c>
      <c r="X15" s="3554"/>
      <c r="Y15" s="3833" t="s">
        <v>1691</v>
      </c>
      <c r="Z15" s="3553" t="str">
        <f t="shared" si="7"/>
        <v>商业繁华度</v>
      </c>
      <c r="AA15" s="3551">
        <f t="shared" si="3"/>
        <v>1.0526315789473684</v>
      </c>
      <c r="AB15" s="3551">
        <f t="shared" si="4"/>
        <v>1</v>
      </c>
      <c r="AC15" s="3551">
        <f t="shared" si="5"/>
        <v>1</v>
      </c>
    </row>
    <row r="16" spans="1:29" ht="18.75" customHeight="1">
      <c r="A16" s="379"/>
      <c r="B16" s="397"/>
      <c r="C16" s="398" t="s">
        <v>3500</v>
      </c>
      <c r="D16" s="399"/>
      <c r="E16" s="1903" t="s">
        <v>3532</v>
      </c>
      <c r="F16" s="400"/>
      <c r="G16" s="1903" t="s">
        <v>3500</v>
      </c>
      <c r="H16" s="401"/>
      <c r="I16" s="398" t="s">
        <v>3500</v>
      </c>
      <c r="J16" s="399"/>
      <c r="K16" s="564"/>
      <c r="L16" s="2719"/>
      <c r="M16" s="2713"/>
      <c r="N16" s="2713"/>
      <c r="O16" s="2713"/>
      <c r="P16" s="3832"/>
      <c r="Q16" s="3550"/>
      <c r="R16" s="705"/>
      <c r="S16" s="706"/>
      <c r="T16" s="705"/>
      <c r="U16" s="706"/>
      <c r="V16" s="705"/>
      <c r="W16" s="706"/>
      <c r="X16" s="3554"/>
      <c r="Y16" s="3834"/>
      <c r="Z16" s="3553"/>
      <c r="AA16" s="3551">
        <v>1</v>
      </c>
      <c r="AB16" s="3551">
        <v>1</v>
      </c>
      <c r="AC16" s="3551">
        <v>1</v>
      </c>
    </row>
    <row r="17" spans="1:29" ht="18.75" customHeight="1">
      <c r="A17" s="379"/>
      <c r="B17" s="402" t="s">
        <v>1259</v>
      </c>
      <c r="C17" s="1900" t="str">
        <f>估价对象房地状况!C6</f>
        <v>较好</v>
      </c>
      <c r="D17" s="401">
        <v>100</v>
      </c>
      <c r="E17" s="403" t="s">
        <v>3500</v>
      </c>
      <c r="F17" s="404">
        <f>SUMIF(78:78,E18,79:79)-SUMIF(78:78,C18,79:79)+100</f>
        <v>100</v>
      </c>
      <c r="G17" s="3557" t="s">
        <v>3604</v>
      </c>
      <c r="H17" s="406">
        <f>SUMIF(78:78,G18,79:79)-SUMIF(78:78,C18,79:79)+100</f>
        <v>98</v>
      </c>
      <c r="I17" s="403" t="s">
        <v>3500</v>
      </c>
      <c r="J17" s="406">
        <f>SUMIF(78:78,I18,79:79)-SUMIF(78:78,C18,79:79)+100</f>
        <v>100</v>
      </c>
      <c r="K17" s="563">
        <v>2</v>
      </c>
      <c r="L17" s="2719"/>
      <c r="M17" s="2713"/>
      <c r="N17" s="2713"/>
      <c r="O17" s="2713"/>
      <c r="P17" s="3832"/>
      <c r="Q17" s="3550" t="str">
        <f>B17</f>
        <v>交通便捷度</v>
      </c>
      <c r="R17" s="705" t="s">
        <v>14</v>
      </c>
      <c r="S17" s="706">
        <f>F17</f>
        <v>100</v>
      </c>
      <c r="T17" s="705" t="s">
        <v>14</v>
      </c>
      <c r="U17" s="706">
        <f>H17</f>
        <v>98</v>
      </c>
      <c r="V17" s="705" t="s">
        <v>14</v>
      </c>
      <c r="W17" s="706">
        <f>J17</f>
        <v>100</v>
      </c>
      <c r="X17" s="3554"/>
      <c r="Y17" s="3834"/>
      <c r="Z17" s="3553" t="str">
        <f>Q17</f>
        <v>交通便捷度</v>
      </c>
      <c r="AA17" s="3551">
        <f t="shared" si="3"/>
        <v>1</v>
      </c>
      <c r="AB17" s="3551">
        <f t="shared" si="4"/>
        <v>1.0204081632653061</v>
      </c>
      <c r="AC17" s="3551">
        <f t="shared" si="5"/>
        <v>1</v>
      </c>
    </row>
    <row r="18" spans="1:29" ht="18.75" customHeight="1">
      <c r="A18" s="379"/>
      <c r="B18" s="407"/>
      <c r="C18" s="1901" t="s">
        <v>3500</v>
      </c>
      <c r="D18" s="401"/>
      <c r="E18" s="1903" t="s">
        <v>3500</v>
      </c>
      <c r="F18" s="404"/>
      <c r="G18" s="1903" t="s">
        <v>3532</v>
      </c>
      <c r="H18" s="399"/>
      <c r="I18" s="1903" t="s">
        <v>3500</v>
      </c>
      <c r="J18" s="399"/>
      <c r="K18" s="564"/>
      <c r="L18" s="2719"/>
      <c r="M18" s="2713"/>
      <c r="N18" s="2713"/>
      <c r="O18" s="2713"/>
      <c r="P18" s="3832"/>
      <c r="Q18" s="3550"/>
      <c r="R18" s="705"/>
      <c r="S18" s="706"/>
      <c r="T18" s="705"/>
      <c r="U18" s="706"/>
      <c r="V18" s="705"/>
      <c r="W18" s="706"/>
      <c r="X18" s="3554"/>
      <c r="Y18" s="3834"/>
      <c r="Z18" s="3553"/>
      <c r="AA18" s="3551">
        <v>1</v>
      </c>
      <c r="AB18" s="3551">
        <v>1</v>
      </c>
      <c r="AC18" s="3551">
        <v>1</v>
      </c>
    </row>
    <row r="19" spans="1:29" ht="18.75" customHeight="1">
      <c r="A19" s="379"/>
      <c r="B19" s="402" t="s">
        <v>1778</v>
      </c>
      <c r="C19" s="1900" t="str">
        <f>估价对象房地状况!C7</f>
        <v>较好</v>
      </c>
      <c r="D19" s="406">
        <v>100</v>
      </c>
      <c r="E19" s="408" t="s">
        <v>3500</v>
      </c>
      <c r="F19" s="409">
        <f>SUMIF(80:80,E20,81:81)-SUMIF(80:80,C20,81:81)+100</f>
        <v>100</v>
      </c>
      <c r="G19" s="408" t="s">
        <v>3500</v>
      </c>
      <c r="H19" s="401">
        <f>SUMIF(80:80,G20,81:81)-SUMIF(80:80,C20,81:81)+100</f>
        <v>100</v>
      </c>
      <c r="I19" s="408" t="s">
        <v>3500</v>
      </c>
      <c r="J19" s="401">
        <f>SUMIF(80:80,I20,81:81)-SUMIF(80:80,C20,81:81)+100</f>
        <v>100</v>
      </c>
      <c r="K19" s="563">
        <v>2</v>
      </c>
      <c r="L19" s="2719"/>
      <c r="M19" s="2713"/>
      <c r="N19" s="2713"/>
      <c r="O19" s="2713"/>
      <c r="P19" s="3832"/>
      <c r="Q19" s="3550" t="str">
        <f>B19</f>
        <v>公共配套设施</v>
      </c>
      <c r="R19" s="705" t="s">
        <v>14</v>
      </c>
      <c r="S19" s="706">
        <f>F19</f>
        <v>100</v>
      </c>
      <c r="T19" s="705" t="s">
        <v>14</v>
      </c>
      <c r="U19" s="706">
        <f>H19</f>
        <v>100</v>
      </c>
      <c r="V19" s="705" t="s">
        <v>14</v>
      </c>
      <c r="W19" s="706">
        <f>J19</f>
        <v>100</v>
      </c>
      <c r="X19" s="3554"/>
      <c r="Y19" s="3834"/>
      <c r="Z19" s="3553" t="str">
        <f>Q19</f>
        <v>公共配套设施</v>
      </c>
      <c r="AA19" s="3551">
        <f t="shared" si="3"/>
        <v>1</v>
      </c>
      <c r="AB19" s="3551">
        <f t="shared" si="4"/>
        <v>1</v>
      </c>
      <c r="AC19" s="3551">
        <f t="shared" si="5"/>
        <v>1</v>
      </c>
    </row>
    <row r="20" spans="1:29" ht="18.75" customHeight="1">
      <c r="A20" s="379"/>
      <c r="B20" s="407"/>
      <c r="C20" s="398" t="s">
        <v>3500</v>
      </c>
      <c r="D20" s="399"/>
      <c r="E20" s="1898" t="s">
        <v>3500</v>
      </c>
      <c r="F20" s="400"/>
      <c r="G20" s="1898" t="s">
        <v>3500</v>
      </c>
      <c r="H20" s="399"/>
      <c r="I20" s="1898" t="s">
        <v>3500</v>
      </c>
      <c r="J20" s="399"/>
      <c r="K20" s="564"/>
      <c r="L20" s="2719"/>
      <c r="M20" s="2713"/>
      <c r="N20" s="2713"/>
      <c r="O20" s="2713"/>
      <c r="P20" s="3832"/>
      <c r="Q20" s="3550"/>
      <c r="R20" s="705"/>
      <c r="S20" s="706"/>
      <c r="T20" s="705"/>
      <c r="U20" s="706"/>
      <c r="V20" s="705"/>
      <c r="W20" s="706"/>
      <c r="X20" s="3554"/>
      <c r="Y20" s="3834"/>
      <c r="Z20" s="3553"/>
      <c r="AA20" s="3551">
        <v>1</v>
      </c>
      <c r="AB20" s="3551">
        <v>1</v>
      </c>
      <c r="AC20" s="3551">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9"/>
      <c r="M21" s="2713"/>
      <c r="N21" s="2713"/>
      <c r="O21" s="2713"/>
      <c r="P21" s="3832"/>
      <c r="Q21" s="3550" t="str">
        <f>B21</f>
        <v>基础设施水平</v>
      </c>
      <c r="R21" s="705" t="s">
        <v>14</v>
      </c>
      <c r="S21" s="706">
        <f>F21</f>
        <v>100</v>
      </c>
      <c r="T21" s="705" t="s">
        <v>14</v>
      </c>
      <c r="U21" s="706">
        <f>H21</f>
        <v>100</v>
      </c>
      <c r="V21" s="705" t="s">
        <v>14</v>
      </c>
      <c r="W21" s="706">
        <f>J21</f>
        <v>100</v>
      </c>
      <c r="X21" s="3554"/>
      <c r="Y21" s="3834"/>
      <c r="Z21" s="3553" t="str">
        <f>Q21</f>
        <v>基础设施水平</v>
      </c>
      <c r="AA21" s="3551">
        <f t="shared" ref="AA21" si="8">D21/F21</f>
        <v>1</v>
      </c>
      <c r="AB21" s="3551">
        <f t="shared" ref="AB21" si="9">D21/H21</f>
        <v>1</v>
      </c>
      <c r="AC21" s="3551">
        <f t="shared" ref="AC21" si="10">D21/J21</f>
        <v>1</v>
      </c>
    </row>
    <row r="22" spans="1:29" ht="18.75" customHeight="1">
      <c r="A22" s="379"/>
      <c r="B22" s="1131"/>
      <c r="C22" s="1901" t="s">
        <v>3501</v>
      </c>
      <c r="D22" s="399"/>
      <c r="E22" s="398" t="s">
        <v>3501</v>
      </c>
      <c r="F22" s="400"/>
      <c r="G22" s="398" t="s">
        <v>3501</v>
      </c>
      <c r="H22" s="399"/>
      <c r="I22" s="398" t="s">
        <v>3501</v>
      </c>
      <c r="J22" s="399"/>
      <c r="K22" s="1130"/>
      <c r="L22" s="2719"/>
      <c r="M22" s="2713"/>
      <c r="N22" s="2713"/>
      <c r="O22" s="2713"/>
      <c r="P22" s="3832"/>
      <c r="Q22" s="3550"/>
      <c r="R22" s="705"/>
      <c r="S22" s="706"/>
      <c r="T22" s="705"/>
      <c r="U22" s="706"/>
      <c r="V22" s="705"/>
      <c r="W22" s="706"/>
      <c r="X22" s="3554"/>
      <c r="Y22" s="3834"/>
      <c r="Z22" s="3553"/>
      <c r="AA22" s="3551">
        <v>1</v>
      </c>
      <c r="AB22" s="3551">
        <v>1</v>
      </c>
      <c r="AC22" s="3551">
        <v>1</v>
      </c>
    </row>
    <row r="23" spans="1:29" ht="18.75" customHeight="1">
      <c r="A23" s="379"/>
      <c r="B23" s="402" t="s">
        <v>1261</v>
      </c>
      <c r="C23" s="1955" t="str">
        <f>估价对象房地状况!C9</f>
        <v>较好</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19"/>
      <c r="M23" s="2713"/>
      <c r="N23" s="2713"/>
      <c r="O23" s="2713"/>
      <c r="P23" s="3832"/>
      <c r="Q23" s="3550" t="str">
        <f>B23</f>
        <v>自然及人文环境</v>
      </c>
      <c r="R23" s="705" t="s">
        <v>14</v>
      </c>
      <c r="S23" s="706">
        <f>F23</f>
        <v>100</v>
      </c>
      <c r="T23" s="705" t="s">
        <v>14</v>
      </c>
      <c r="U23" s="706">
        <f>H23</f>
        <v>100</v>
      </c>
      <c r="V23" s="705" t="s">
        <v>14</v>
      </c>
      <c r="W23" s="706">
        <f>J23</f>
        <v>100</v>
      </c>
      <c r="X23" s="3554"/>
      <c r="Y23" s="3834"/>
      <c r="Z23" s="3553" t="str">
        <f>Q23</f>
        <v>自然及人文环境</v>
      </c>
      <c r="AA23" s="3551">
        <f t="shared" si="3"/>
        <v>1</v>
      </c>
      <c r="AB23" s="3551">
        <f t="shared" si="4"/>
        <v>1</v>
      </c>
      <c r="AC23" s="3551">
        <f t="shared" si="5"/>
        <v>1</v>
      </c>
    </row>
    <row r="24" spans="1:29" ht="15">
      <c r="A24" s="379"/>
      <c r="B24" s="407"/>
      <c r="C24" s="398" t="s">
        <v>3500</v>
      </c>
      <c r="D24" s="399"/>
      <c r="E24" s="1898" t="s">
        <v>3500</v>
      </c>
      <c r="F24" s="400"/>
      <c r="G24" s="1898" t="s">
        <v>3500</v>
      </c>
      <c r="H24" s="399"/>
      <c r="I24" s="1898" t="s">
        <v>3500</v>
      </c>
      <c r="J24" s="399"/>
      <c r="K24" s="564"/>
      <c r="L24" s="2719"/>
      <c r="M24" s="2713"/>
      <c r="N24" s="2713"/>
      <c r="O24" s="2713"/>
      <c r="P24" s="3832"/>
      <c r="Q24" s="3550"/>
      <c r="R24" s="705"/>
      <c r="S24" s="706"/>
      <c r="T24" s="705"/>
      <c r="U24" s="706"/>
      <c r="V24" s="705"/>
      <c r="W24" s="706"/>
      <c r="X24" s="3554"/>
      <c r="Y24" s="3834"/>
      <c r="Z24" s="3553"/>
      <c r="AA24" s="3551">
        <v>1</v>
      </c>
      <c r="AB24" s="3551">
        <v>1</v>
      </c>
      <c r="AC24" s="3551">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19"/>
      <c r="M25" s="2713"/>
      <c r="N25" s="2713"/>
      <c r="O25" s="2713"/>
      <c r="P25" s="3832"/>
      <c r="Q25" s="3550" t="str">
        <f t="shared" ref="Q25:Q46" si="11">B25</f>
        <v>临街状况</v>
      </c>
      <c r="R25" s="705" t="s">
        <v>14</v>
      </c>
      <c r="S25" s="706">
        <f>F25</f>
        <v>100</v>
      </c>
      <c r="T25" s="705" t="s">
        <v>14</v>
      </c>
      <c r="U25" s="706">
        <f>H25</f>
        <v>100</v>
      </c>
      <c r="V25" s="705" t="s">
        <v>14</v>
      </c>
      <c r="W25" s="706">
        <f>J25</f>
        <v>100</v>
      </c>
      <c r="X25" s="3554"/>
      <c r="Y25" s="3834"/>
      <c r="Z25" s="3553" t="str">
        <f>Q25</f>
        <v>临街状况</v>
      </c>
      <c r="AA25" s="3551">
        <f t="shared" si="3"/>
        <v>1</v>
      </c>
      <c r="AB25" s="3551">
        <f t="shared" si="4"/>
        <v>1</v>
      </c>
      <c r="AC25" s="3551">
        <f t="shared" si="5"/>
        <v>1</v>
      </c>
    </row>
    <row r="26" spans="1:29" ht="15">
      <c r="A26" s="379"/>
      <c r="B26" s="1133" t="s">
        <v>1781</v>
      </c>
      <c r="C26" s="3538" t="s">
        <v>3560</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9"/>
      <c r="M26" s="2713"/>
      <c r="N26" s="2713"/>
      <c r="O26" s="2713"/>
      <c r="P26" s="3832"/>
      <c r="Q26" s="3550" t="str">
        <f t="shared" si="11"/>
        <v>平面位置/可视性</v>
      </c>
      <c r="R26" s="705" t="s">
        <v>14</v>
      </c>
      <c r="S26" s="706">
        <f>F26</f>
        <v>100</v>
      </c>
      <c r="T26" s="705" t="s">
        <v>14</v>
      </c>
      <c r="U26" s="706">
        <f>H26</f>
        <v>100</v>
      </c>
      <c r="V26" s="705" t="s">
        <v>14</v>
      </c>
      <c r="W26" s="706">
        <f>J26</f>
        <v>100</v>
      </c>
      <c r="X26" s="3554"/>
      <c r="Y26" s="3834"/>
      <c r="Z26" s="3553" t="str">
        <f>Q26</f>
        <v>平面位置/可视性</v>
      </c>
      <c r="AA26" s="3551">
        <f t="shared" si="3"/>
        <v>1</v>
      </c>
      <c r="AB26" s="3551">
        <f t="shared" si="4"/>
        <v>1</v>
      </c>
      <c r="AC26" s="3551">
        <f t="shared" si="5"/>
        <v>1</v>
      </c>
    </row>
    <row r="27" spans="1:29" s="108" customFormat="1" ht="15">
      <c r="A27" s="382"/>
      <c r="B27" s="402" t="s">
        <v>1782</v>
      </c>
      <c r="C27" s="1956" t="s">
        <v>3500</v>
      </c>
      <c r="D27" s="413">
        <v>100</v>
      </c>
      <c r="E27" s="1956" t="s">
        <v>3500</v>
      </c>
      <c r="F27" s="415">
        <f>SUMIF(90:90,E27,91:91)-SUMIF(90:90,C27,91:91)+100</f>
        <v>100</v>
      </c>
      <c r="G27" s="1956" t="s">
        <v>3500</v>
      </c>
      <c r="H27" s="413">
        <f>SUMIF(90:90,G27,91:91)-SUMIF(90:90,C27,91:91)+100</f>
        <v>100</v>
      </c>
      <c r="I27" s="1956" t="s">
        <v>3500</v>
      </c>
      <c r="J27" s="413">
        <f>SUMIF(90:90,I27,91:91)-SUMIF(90:90,C27,91:91)+100</f>
        <v>100</v>
      </c>
      <c r="K27" s="561">
        <v>3</v>
      </c>
      <c r="L27" s="2714"/>
      <c r="M27" s="2715"/>
      <c r="N27" s="2715"/>
      <c r="O27" s="2715"/>
      <c r="P27" s="3832"/>
      <c r="Q27" s="3549" t="str">
        <f t="shared" si="11"/>
        <v>人流量</v>
      </c>
      <c r="R27" s="701" t="s">
        <v>14</v>
      </c>
      <c r="S27" s="702">
        <f>F27</f>
        <v>100</v>
      </c>
      <c r="T27" s="701" t="s">
        <v>14</v>
      </c>
      <c r="U27" s="702">
        <f>H27</f>
        <v>100</v>
      </c>
      <c r="V27" s="701" t="s">
        <v>14</v>
      </c>
      <c r="W27" s="702">
        <f>J27</f>
        <v>100</v>
      </c>
      <c r="X27" s="703"/>
      <c r="Y27" s="3834"/>
      <c r="Z27" s="3548" t="str">
        <f>Q27</f>
        <v>人流量</v>
      </c>
      <c r="AA27" s="3551">
        <f>D27/F27</f>
        <v>1</v>
      </c>
      <c r="AB27" s="3551">
        <f>D27/H27</f>
        <v>1</v>
      </c>
      <c r="AC27" s="3551">
        <f>D27/J27</f>
        <v>1</v>
      </c>
    </row>
    <row r="28" spans="1:29" ht="15.75" thickBot="1">
      <c r="A28" s="379"/>
      <c r="B28" s="375" t="s">
        <v>1783</v>
      </c>
      <c r="C28" s="565" t="s">
        <v>3504</v>
      </c>
      <c r="D28" s="386">
        <v>100</v>
      </c>
      <c r="E28" s="565" t="s">
        <v>3504</v>
      </c>
      <c r="F28" s="412">
        <f>SUMIF(92:92,E28,93:93)-SUMIF(92:92,C28,93:93)+100</f>
        <v>100</v>
      </c>
      <c r="G28" s="565" t="s">
        <v>3504</v>
      </c>
      <c r="H28" s="386">
        <f>SUMIF(92:92,G28,93:93)-SUMIF(92:92,C28,93:93)+100</f>
        <v>100</v>
      </c>
      <c r="I28" s="565" t="s">
        <v>3504</v>
      </c>
      <c r="J28" s="386">
        <f>SUMIF(92:92,I28,93:93)-SUMIF(92:92,C28,93:93)+100</f>
        <v>100</v>
      </c>
      <c r="K28" s="562"/>
      <c r="L28" s="2719"/>
      <c r="M28" s="2713"/>
      <c r="N28" s="2713"/>
      <c r="O28" s="2713"/>
      <c r="P28" s="3832"/>
      <c r="Q28" s="3550" t="str">
        <f t="shared" si="11"/>
        <v>楼层</v>
      </c>
      <c r="R28" s="705" t="s">
        <v>14</v>
      </c>
      <c r="S28" s="706">
        <f t="shared" ref="S28:S46" si="12">F28</f>
        <v>100</v>
      </c>
      <c r="T28" s="705" t="s">
        <v>14</v>
      </c>
      <c r="U28" s="706">
        <f t="shared" ref="U28:U46" si="13">H28</f>
        <v>100</v>
      </c>
      <c r="V28" s="705" t="s">
        <v>14</v>
      </c>
      <c r="W28" s="706">
        <f t="shared" ref="W28:W46" si="14">J28</f>
        <v>100</v>
      </c>
      <c r="X28" s="3554"/>
      <c r="Y28" s="3834"/>
      <c r="Z28" s="3553" t="str">
        <f t="shared" ref="Z28:Z46" si="15">Q28</f>
        <v>楼层</v>
      </c>
      <c r="AA28" s="3551">
        <f t="shared" si="3"/>
        <v>1</v>
      </c>
      <c r="AB28" s="3551">
        <f t="shared" si="4"/>
        <v>1</v>
      </c>
      <c r="AC28" s="3551">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32"/>
      <c r="Q29" s="3550">
        <f t="shared" si="11"/>
        <v>111</v>
      </c>
      <c r="R29" s="705" t="s">
        <v>14</v>
      </c>
      <c r="S29" s="706">
        <f t="shared" si="12"/>
        <v>100</v>
      </c>
      <c r="T29" s="705" t="s">
        <v>14</v>
      </c>
      <c r="U29" s="706">
        <f t="shared" si="13"/>
        <v>100</v>
      </c>
      <c r="V29" s="705" t="s">
        <v>14</v>
      </c>
      <c r="W29" s="706">
        <f t="shared" si="14"/>
        <v>100</v>
      </c>
      <c r="X29" s="3554"/>
      <c r="Y29" s="3834"/>
      <c r="Z29" s="3553">
        <f t="shared" si="15"/>
        <v>111</v>
      </c>
      <c r="AA29" s="3551">
        <f t="shared" si="3"/>
        <v>1</v>
      </c>
      <c r="AB29" s="3551">
        <f t="shared" si="4"/>
        <v>1</v>
      </c>
      <c r="AC29" s="3551">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32"/>
      <c r="Q30" s="3550">
        <f t="shared" si="11"/>
        <v>111</v>
      </c>
      <c r="R30" s="705" t="s">
        <v>14</v>
      </c>
      <c r="S30" s="706">
        <f t="shared" si="12"/>
        <v>100</v>
      </c>
      <c r="T30" s="705" t="s">
        <v>14</v>
      </c>
      <c r="U30" s="706">
        <f t="shared" si="13"/>
        <v>100</v>
      </c>
      <c r="V30" s="705" t="s">
        <v>14</v>
      </c>
      <c r="W30" s="706">
        <f t="shared" si="14"/>
        <v>100</v>
      </c>
      <c r="X30" s="3554"/>
      <c r="Y30" s="3834"/>
      <c r="Z30" s="3553">
        <f t="shared" si="15"/>
        <v>111</v>
      </c>
      <c r="AA30" s="3551">
        <f t="shared" si="3"/>
        <v>1</v>
      </c>
      <c r="AB30" s="3551">
        <f t="shared" si="4"/>
        <v>1</v>
      </c>
      <c r="AC30" s="3551">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32"/>
      <c r="Q31" s="3550">
        <f t="shared" si="11"/>
        <v>111</v>
      </c>
      <c r="R31" s="705" t="s">
        <v>14</v>
      </c>
      <c r="S31" s="706">
        <f t="shared" si="12"/>
        <v>100</v>
      </c>
      <c r="T31" s="705" t="s">
        <v>14</v>
      </c>
      <c r="U31" s="706">
        <f t="shared" si="13"/>
        <v>100</v>
      </c>
      <c r="V31" s="705" t="s">
        <v>14</v>
      </c>
      <c r="W31" s="706">
        <f t="shared" si="14"/>
        <v>100</v>
      </c>
      <c r="X31" s="3554"/>
      <c r="Y31" s="3834"/>
      <c r="Z31" s="3553">
        <f t="shared" si="15"/>
        <v>111</v>
      </c>
      <c r="AA31" s="3551">
        <f t="shared" si="3"/>
        <v>1</v>
      </c>
      <c r="AB31" s="3551">
        <f t="shared" si="4"/>
        <v>1</v>
      </c>
      <c r="AC31" s="3551">
        <f t="shared" si="5"/>
        <v>1</v>
      </c>
    </row>
    <row r="32" spans="1:29" ht="15">
      <c r="A32" s="391" t="s">
        <v>1694</v>
      </c>
      <c r="B32" s="63" t="s">
        <v>1784</v>
      </c>
      <c r="C32" s="1910" t="s">
        <v>3561</v>
      </c>
      <c r="D32" s="418">
        <v>100</v>
      </c>
      <c r="E32" s="1910" t="s">
        <v>3561</v>
      </c>
      <c r="F32" s="412">
        <f>SUMIF(100:100,E32,101:101)-SUMIF(100:100,C32,101:101)+100</f>
        <v>100</v>
      </c>
      <c r="G32" s="1910" t="s">
        <v>3505</v>
      </c>
      <c r="H32" s="386">
        <f>SUMIF(100:100,G32,101:101)-SUMIF(100:100,C32,101:101)+100</f>
        <v>95</v>
      </c>
      <c r="I32" s="1910" t="s">
        <v>3505</v>
      </c>
      <c r="J32" s="418">
        <f>SUMIF(100:100,I32,101:101)-SUMIF(100:100,C32,101:101)+100</f>
        <v>95</v>
      </c>
      <c r="K32" s="561">
        <v>5</v>
      </c>
      <c r="L32" s="2719"/>
      <c r="M32" s="2713"/>
      <c r="N32" s="2713"/>
      <c r="O32" s="2713"/>
      <c r="P32" s="3835" t="s">
        <v>1696</v>
      </c>
      <c r="Q32" s="3550" t="str">
        <f t="shared" si="11"/>
        <v>商业类型</v>
      </c>
      <c r="R32" s="705" t="s">
        <v>14</v>
      </c>
      <c r="S32" s="706">
        <f t="shared" si="12"/>
        <v>100</v>
      </c>
      <c r="T32" s="705" t="s">
        <v>14</v>
      </c>
      <c r="U32" s="706">
        <f t="shared" si="13"/>
        <v>95</v>
      </c>
      <c r="V32" s="705" t="s">
        <v>14</v>
      </c>
      <c r="W32" s="706">
        <f t="shared" si="14"/>
        <v>95</v>
      </c>
      <c r="X32" s="3554"/>
      <c r="Y32" s="3838" t="s">
        <v>1696</v>
      </c>
      <c r="Z32" s="3553" t="str">
        <f t="shared" si="15"/>
        <v>商业类型</v>
      </c>
      <c r="AA32" s="3551">
        <f t="shared" si="3"/>
        <v>1</v>
      </c>
      <c r="AB32" s="3551">
        <f t="shared" si="4"/>
        <v>1.0526315789473684</v>
      </c>
      <c r="AC32" s="3551">
        <f t="shared" si="5"/>
        <v>1.0526315789473684</v>
      </c>
    </row>
    <row r="33" spans="1:29" s="422" customFormat="1" ht="15">
      <c r="A33" s="419"/>
      <c r="B33" s="375" t="s">
        <v>1697</v>
      </c>
      <c r="C33" s="420">
        <f>'数据-汇总表'!F19</f>
        <v>642</v>
      </c>
      <c r="D33" s="127">
        <v>100</v>
      </c>
      <c r="E33" s="381">
        <f>商业案例!G2</f>
        <v>265.51</v>
      </c>
      <c r="F33" s="376">
        <f>LOOKUP(E33,103:103,104:104)-LOOKUP(C33,103:103,104:104)+100</f>
        <v>102</v>
      </c>
      <c r="G33" s="380">
        <f>商业案例!G3</f>
        <v>119.3</v>
      </c>
      <c r="H33" s="127">
        <f>LOOKUP(G33,103:103,104:104)-LOOKUP(C33,103:103,104:104)+100</f>
        <v>104</v>
      </c>
      <c r="I33" s="380">
        <f>商业案例!G4</f>
        <v>45.87</v>
      </c>
      <c r="J33" s="127">
        <f>LOOKUP(I33,103:103,104:104)-LOOKUP(C33,103:103,104:104)+100</f>
        <v>108</v>
      </c>
      <c r="K33" s="562"/>
      <c r="L33" s="2718"/>
      <c r="M33" s="2720"/>
      <c r="N33" s="2720"/>
      <c r="O33" s="2720"/>
      <c r="P33" s="3836"/>
      <c r="Q33" s="707" t="str">
        <f t="shared" si="11"/>
        <v>项目建筑规模</v>
      </c>
      <c r="R33" s="708" t="s">
        <v>14</v>
      </c>
      <c r="S33" s="709">
        <f t="shared" si="12"/>
        <v>102</v>
      </c>
      <c r="T33" s="708" t="s">
        <v>14</v>
      </c>
      <c r="U33" s="709">
        <f t="shared" si="13"/>
        <v>104</v>
      </c>
      <c r="V33" s="708" t="s">
        <v>14</v>
      </c>
      <c r="W33" s="709">
        <f t="shared" si="14"/>
        <v>108</v>
      </c>
      <c r="X33" s="710"/>
      <c r="Y33" s="3838"/>
      <c r="Z33" s="711" t="str">
        <f t="shared" si="15"/>
        <v>项目建筑规模</v>
      </c>
      <c r="AA33" s="3551">
        <f t="shared" si="3"/>
        <v>0.98039215686274506</v>
      </c>
      <c r="AB33" s="3551">
        <f t="shared" si="4"/>
        <v>0.96153846153846156</v>
      </c>
      <c r="AC33" s="3551">
        <f t="shared" si="5"/>
        <v>0.92592592592592593</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9"/>
      <c r="M34" s="2713"/>
      <c r="N34" s="2713"/>
      <c r="O34" s="2713"/>
      <c r="P34" s="3836"/>
      <c r="Q34" s="3550" t="str">
        <f t="shared" si="11"/>
        <v>建筑结构</v>
      </c>
      <c r="R34" s="705" t="s">
        <v>14</v>
      </c>
      <c r="S34" s="706">
        <f t="shared" si="12"/>
        <v>100</v>
      </c>
      <c r="T34" s="705" t="s">
        <v>14</v>
      </c>
      <c r="U34" s="706">
        <f t="shared" si="13"/>
        <v>100</v>
      </c>
      <c r="V34" s="705" t="s">
        <v>14</v>
      </c>
      <c r="W34" s="706">
        <f t="shared" si="14"/>
        <v>100</v>
      </c>
      <c r="X34" s="3554"/>
      <c r="Y34" s="3838"/>
      <c r="Z34" s="3553" t="str">
        <f t="shared" si="15"/>
        <v>建筑结构</v>
      </c>
      <c r="AA34" s="3551">
        <f t="shared" si="3"/>
        <v>1</v>
      </c>
      <c r="AB34" s="3551">
        <f t="shared" si="4"/>
        <v>1</v>
      </c>
      <c r="AC34" s="3551">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9"/>
      <c r="M35" s="2713"/>
      <c r="N35" s="2713"/>
      <c r="O35" s="2713"/>
      <c r="P35" s="3836"/>
      <c r="Q35" s="3550" t="str">
        <f t="shared" si="11"/>
        <v>公共部分装修</v>
      </c>
      <c r="R35" s="705" t="s">
        <v>14</v>
      </c>
      <c r="S35" s="706">
        <f t="shared" si="12"/>
        <v>100</v>
      </c>
      <c r="T35" s="705" t="s">
        <v>14</v>
      </c>
      <c r="U35" s="706">
        <f t="shared" si="13"/>
        <v>100</v>
      </c>
      <c r="V35" s="705" t="s">
        <v>14</v>
      </c>
      <c r="W35" s="706">
        <f t="shared" si="14"/>
        <v>100</v>
      </c>
      <c r="X35" s="3554"/>
      <c r="Y35" s="3838"/>
      <c r="Z35" s="3553" t="str">
        <f t="shared" si="15"/>
        <v>公共部分装修</v>
      </c>
      <c r="AA35" s="3551">
        <f t="shared" si="3"/>
        <v>1</v>
      </c>
      <c r="AB35" s="3551">
        <f t="shared" si="4"/>
        <v>1</v>
      </c>
      <c r="AC35" s="3551">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9"/>
      <c r="M36" s="2713"/>
      <c r="N36" s="2713"/>
      <c r="O36" s="2713"/>
      <c r="P36" s="3836"/>
      <c r="Q36" s="3550" t="str">
        <f t="shared" si="11"/>
        <v>成新度</v>
      </c>
      <c r="R36" s="705" t="s">
        <v>14</v>
      </c>
      <c r="S36" s="706">
        <f t="shared" si="12"/>
        <v>100</v>
      </c>
      <c r="T36" s="705" t="s">
        <v>14</v>
      </c>
      <c r="U36" s="706">
        <f t="shared" si="13"/>
        <v>100</v>
      </c>
      <c r="V36" s="705" t="s">
        <v>14</v>
      </c>
      <c r="W36" s="706">
        <f t="shared" si="14"/>
        <v>100</v>
      </c>
      <c r="X36" s="3554"/>
      <c r="Y36" s="3838"/>
      <c r="Z36" s="3553" t="str">
        <f t="shared" si="15"/>
        <v>成新度</v>
      </c>
      <c r="AA36" s="3551">
        <f t="shared" si="3"/>
        <v>1</v>
      </c>
      <c r="AB36" s="3551">
        <f t="shared" si="4"/>
        <v>1</v>
      </c>
      <c r="AC36" s="3551">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4"/>
      <c r="M37" s="2715"/>
      <c r="N37" s="2715"/>
      <c r="O37" s="2715"/>
      <c r="P37" s="3836"/>
      <c r="Q37" s="3549" t="str">
        <f t="shared" si="11"/>
        <v>市政基础设施</v>
      </c>
      <c r="R37" s="701" t="s">
        <v>14</v>
      </c>
      <c r="S37" s="702">
        <f t="shared" si="12"/>
        <v>100</v>
      </c>
      <c r="T37" s="701" t="s">
        <v>14</v>
      </c>
      <c r="U37" s="702">
        <f t="shared" si="13"/>
        <v>100</v>
      </c>
      <c r="V37" s="701" t="s">
        <v>14</v>
      </c>
      <c r="W37" s="702">
        <f t="shared" si="14"/>
        <v>100</v>
      </c>
      <c r="X37" s="703"/>
      <c r="Y37" s="3838"/>
      <c r="Z37" s="3548"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36" t="s">
        <v>1696</v>
      </c>
      <c r="Q38" s="3550" t="str">
        <f t="shared" si="11"/>
        <v>业态</v>
      </c>
      <c r="R38" s="705" t="s">
        <v>14</v>
      </c>
      <c r="S38" s="706">
        <f t="shared" si="12"/>
        <v>100</v>
      </c>
      <c r="T38" s="705" t="s">
        <v>14</v>
      </c>
      <c r="U38" s="706">
        <f t="shared" si="13"/>
        <v>100</v>
      </c>
      <c r="V38" s="705" t="s">
        <v>14</v>
      </c>
      <c r="W38" s="706">
        <f t="shared" si="14"/>
        <v>100</v>
      </c>
      <c r="X38" s="3554"/>
      <c r="Y38" s="3838" t="s">
        <v>1696</v>
      </c>
      <c r="Z38" s="3553" t="str">
        <f t="shared" si="15"/>
        <v>业态</v>
      </c>
      <c r="AA38" s="3551">
        <f t="shared" si="3"/>
        <v>1</v>
      </c>
      <c r="AB38" s="3551">
        <f t="shared" si="4"/>
        <v>1</v>
      </c>
      <c r="AC38" s="3551">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9"/>
      <c r="M39" s="2713"/>
      <c r="N39" s="2713"/>
      <c r="O39" s="2713"/>
      <c r="P39" s="3836"/>
      <c r="Q39" s="3550" t="str">
        <f t="shared" si="11"/>
        <v>层高</v>
      </c>
      <c r="R39" s="705" t="s">
        <v>14</v>
      </c>
      <c r="S39" s="706">
        <f t="shared" si="12"/>
        <v>100</v>
      </c>
      <c r="T39" s="705" t="s">
        <v>14</v>
      </c>
      <c r="U39" s="706">
        <f t="shared" si="13"/>
        <v>100</v>
      </c>
      <c r="V39" s="705" t="s">
        <v>14</v>
      </c>
      <c r="W39" s="706">
        <f t="shared" si="14"/>
        <v>100</v>
      </c>
      <c r="X39" s="3554"/>
      <c r="Y39" s="3838"/>
      <c r="Z39" s="3553" t="str">
        <f t="shared" si="15"/>
        <v>层高</v>
      </c>
      <c r="AA39" s="3551">
        <f t="shared" si="3"/>
        <v>1</v>
      </c>
      <c r="AB39" s="3551">
        <f t="shared" si="4"/>
        <v>1</v>
      </c>
      <c r="AC39" s="3551">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36"/>
      <c r="Q40" s="3550" t="str">
        <f t="shared" si="11"/>
        <v>单套建筑面积</v>
      </c>
      <c r="R40" s="705" t="s">
        <v>14</v>
      </c>
      <c r="S40" s="706">
        <f t="shared" si="12"/>
        <v>100</v>
      </c>
      <c r="T40" s="705" t="s">
        <v>14</v>
      </c>
      <c r="U40" s="706">
        <f t="shared" si="13"/>
        <v>100</v>
      </c>
      <c r="V40" s="705" t="s">
        <v>14</v>
      </c>
      <c r="W40" s="706">
        <f t="shared" si="14"/>
        <v>100</v>
      </c>
      <c r="X40" s="3554"/>
      <c r="Y40" s="3838"/>
      <c r="Z40" s="3553" t="str">
        <f t="shared" si="15"/>
        <v>单套建筑面积</v>
      </c>
      <c r="AA40" s="3551">
        <f t="shared" si="3"/>
        <v>1</v>
      </c>
      <c r="AB40" s="3551">
        <f t="shared" si="4"/>
        <v>1</v>
      </c>
      <c r="AC40" s="3551">
        <f t="shared" si="5"/>
        <v>1</v>
      </c>
    </row>
    <row r="41" spans="1:29" s="422" customFormat="1" ht="15">
      <c r="A41" s="419"/>
      <c r="B41" s="3552"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8"/>
      <c r="M41" s="2720"/>
      <c r="N41" s="2720"/>
      <c r="O41" s="2720"/>
      <c r="P41" s="3836"/>
      <c r="Q41" s="707" t="str">
        <f t="shared" si="11"/>
        <v>进深比</v>
      </c>
      <c r="R41" s="708" t="s">
        <v>14</v>
      </c>
      <c r="S41" s="709">
        <f t="shared" si="12"/>
        <v>100</v>
      </c>
      <c r="T41" s="708" t="s">
        <v>14</v>
      </c>
      <c r="U41" s="709">
        <f t="shared" si="13"/>
        <v>100</v>
      </c>
      <c r="V41" s="708" t="s">
        <v>14</v>
      </c>
      <c r="W41" s="709">
        <f t="shared" si="14"/>
        <v>100</v>
      </c>
      <c r="X41" s="710"/>
      <c r="Y41" s="3838"/>
      <c r="Z41" s="711" t="str">
        <f t="shared" si="15"/>
        <v>进深比</v>
      </c>
      <c r="AA41" s="3551">
        <f t="shared" si="3"/>
        <v>1</v>
      </c>
      <c r="AB41" s="3551">
        <f t="shared" si="4"/>
        <v>1</v>
      </c>
      <c r="AC41" s="3551">
        <f t="shared" si="5"/>
        <v>1</v>
      </c>
    </row>
    <row r="42" spans="1:29" ht="15">
      <c r="A42" s="423"/>
      <c r="B42" s="375" t="s">
        <v>1792</v>
      </c>
      <c r="C42" s="411" t="s">
        <v>3602</v>
      </c>
      <c r="D42" s="386">
        <v>100</v>
      </c>
      <c r="E42" s="411" t="s">
        <v>3602</v>
      </c>
      <c r="F42" s="412">
        <f>SUMIF(122:122,E42,123:123)-SUMIF(122:122,C42,123:123)+100</f>
        <v>100</v>
      </c>
      <c r="G42" s="411" t="s">
        <v>3602</v>
      </c>
      <c r="H42" s="386">
        <f>SUMIF(122:122,G42,123:123)-SUMIF(122:122,C42,123:123)+100</f>
        <v>100</v>
      </c>
      <c r="I42" s="411" t="s">
        <v>3602</v>
      </c>
      <c r="J42" s="386">
        <f>SUMIF(122:122,I42,123:123)-SUMIF(122:122,C42,123:123)+100</f>
        <v>100</v>
      </c>
      <c r="K42" s="561">
        <v>3</v>
      </c>
      <c r="L42" s="2719"/>
      <c r="M42" s="2713"/>
      <c r="N42" s="2713"/>
      <c r="O42" s="2713"/>
      <c r="P42" s="3836"/>
      <c r="Q42" s="3550" t="str">
        <f t="shared" si="11"/>
        <v>内部装修</v>
      </c>
      <c r="R42" s="705" t="s">
        <v>14</v>
      </c>
      <c r="S42" s="706">
        <f t="shared" si="12"/>
        <v>100</v>
      </c>
      <c r="T42" s="705" t="s">
        <v>14</v>
      </c>
      <c r="U42" s="706">
        <f t="shared" si="13"/>
        <v>100</v>
      </c>
      <c r="V42" s="705" t="s">
        <v>14</v>
      </c>
      <c r="W42" s="706">
        <f t="shared" si="14"/>
        <v>100</v>
      </c>
      <c r="X42" s="3554"/>
      <c r="Y42" s="3838"/>
      <c r="Z42" s="3553" t="str">
        <f t="shared" si="15"/>
        <v>内部装修</v>
      </c>
      <c r="AA42" s="3551">
        <f t="shared" si="3"/>
        <v>1</v>
      </c>
      <c r="AB42" s="3551">
        <f t="shared" si="4"/>
        <v>1</v>
      </c>
      <c r="AC42" s="3551">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9"/>
      <c r="M43" s="2713"/>
      <c r="N43" s="2713"/>
      <c r="O43" s="2713"/>
      <c r="P43" s="3836"/>
      <c r="Q43" s="3550" t="str">
        <f t="shared" si="11"/>
        <v>内部装修维护情况</v>
      </c>
      <c r="R43" s="705" t="s">
        <v>14</v>
      </c>
      <c r="S43" s="706">
        <f t="shared" si="12"/>
        <v>100</v>
      </c>
      <c r="T43" s="705" t="s">
        <v>14</v>
      </c>
      <c r="U43" s="706">
        <f t="shared" si="13"/>
        <v>100</v>
      </c>
      <c r="V43" s="705" t="s">
        <v>14</v>
      </c>
      <c r="W43" s="706">
        <f t="shared" si="14"/>
        <v>100</v>
      </c>
      <c r="X43" s="3554"/>
      <c r="Y43" s="3838"/>
      <c r="Z43" s="3553" t="str">
        <f t="shared" si="15"/>
        <v>内部装修维护情况</v>
      </c>
      <c r="AA43" s="3551">
        <f t="shared" si="3"/>
        <v>1</v>
      </c>
      <c r="AB43" s="3551">
        <f t="shared" si="4"/>
        <v>1</v>
      </c>
      <c r="AC43" s="3551">
        <f t="shared" si="5"/>
        <v>1</v>
      </c>
    </row>
    <row r="44" spans="1:29" s="108" customFormat="1" ht="15">
      <c r="A44" s="424"/>
      <c r="B44" s="3555" t="s">
        <v>3606</v>
      </c>
      <c r="C44" s="420">
        <v>1999</v>
      </c>
      <c r="D44" s="127">
        <v>100</v>
      </c>
      <c r="E44" s="385">
        <v>2007</v>
      </c>
      <c r="F44" s="376">
        <f>SUMIF(126:126,E44,127:127)-SUMIF(126:126,C44,127:127)+100</f>
        <v>100</v>
      </c>
      <c r="G44" s="385">
        <v>2010</v>
      </c>
      <c r="H44" s="127">
        <f>SUMIF(126:126,G44,127:127)-SUMIF(126:126,C44,127:127)+100</f>
        <v>100</v>
      </c>
      <c r="I44" s="385">
        <v>2002</v>
      </c>
      <c r="J44" s="127">
        <f>SUMIF(126:126,I44,127:127)-SUMIF(126:126,C44,127:127)+100</f>
        <v>100</v>
      </c>
      <c r="K44" s="562"/>
      <c r="L44" s="2714"/>
      <c r="M44" s="2715"/>
      <c r="N44" s="2715"/>
      <c r="O44" s="2715"/>
      <c r="P44" s="3836"/>
      <c r="Q44" s="3549" t="str">
        <f t="shared" si="11"/>
        <v>建成时间</v>
      </c>
      <c r="R44" s="701" t="s">
        <v>14</v>
      </c>
      <c r="S44" s="702">
        <f t="shared" si="12"/>
        <v>100</v>
      </c>
      <c r="T44" s="701" t="s">
        <v>14</v>
      </c>
      <c r="U44" s="702">
        <f t="shared" si="13"/>
        <v>100</v>
      </c>
      <c r="V44" s="701" t="s">
        <v>14</v>
      </c>
      <c r="W44" s="702">
        <f t="shared" si="14"/>
        <v>100</v>
      </c>
      <c r="X44" s="703"/>
      <c r="Y44" s="3838"/>
      <c r="Z44" s="3548"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36"/>
      <c r="Q45" s="3550">
        <f t="shared" si="11"/>
        <v>111</v>
      </c>
      <c r="R45" s="705" t="s">
        <v>14</v>
      </c>
      <c r="S45" s="706">
        <f t="shared" si="12"/>
        <v>100</v>
      </c>
      <c r="T45" s="705" t="s">
        <v>14</v>
      </c>
      <c r="U45" s="706">
        <f t="shared" si="13"/>
        <v>100</v>
      </c>
      <c r="V45" s="705" t="s">
        <v>14</v>
      </c>
      <c r="W45" s="706">
        <f t="shared" si="14"/>
        <v>100</v>
      </c>
      <c r="X45" s="3554"/>
      <c r="Y45" s="3838"/>
      <c r="Z45" s="3553">
        <f t="shared" si="15"/>
        <v>111</v>
      </c>
      <c r="AA45" s="3551">
        <f t="shared" si="3"/>
        <v>1</v>
      </c>
      <c r="AB45" s="3551">
        <f t="shared" si="4"/>
        <v>1</v>
      </c>
      <c r="AC45" s="3551">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37"/>
      <c r="Q46" s="3550">
        <f t="shared" si="11"/>
        <v>111</v>
      </c>
      <c r="R46" s="705" t="s">
        <v>14</v>
      </c>
      <c r="S46" s="706">
        <f t="shared" si="12"/>
        <v>100</v>
      </c>
      <c r="T46" s="705" t="s">
        <v>14</v>
      </c>
      <c r="U46" s="706">
        <f t="shared" si="13"/>
        <v>100</v>
      </c>
      <c r="V46" s="705" t="s">
        <v>14</v>
      </c>
      <c r="W46" s="706">
        <f t="shared" si="14"/>
        <v>100</v>
      </c>
      <c r="X46" s="3554"/>
      <c r="Y46" s="3839"/>
      <c r="Z46" s="3553">
        <f t="shared" si="15"/>
        <v>111</v>
      </c>
      <c r="AA46" s="3551">
        <f t="shared" si="3"/>
        <v>1</v>
      </c>
      <c r="AB46" s="3551">
        <f t="shared" si="4"/>
        <v>1</v>
      </c>
      <c r="AC46" s="3551">
        <f t="shared" si="5"/>
        <v>1</v>
      </c>
    </row>
    <row r="47" spans="1:29" ht="15">
      <c r="A47" s="430" t="s">
        <v>1708</v>
      </c>
      <c r="B47" s="431"/>
      <c r="C47" s="1154" t="s">
        <v>0</v>
      </c>
      <c r="D47" s="1155"/>
      <c r="E47" s="1156">
        <f>商业案例!I2</f>
        <v>69678</v>
      </c>
      <c r="F47" s="1157"/>
      <c r="G47" s="1158">
        <f>商业案例!I3</f>
        <v>71249</v>
      </c>
      <c r="H47" s="1159"/>
      <c r="I47" s="1156">
        <f>商业案例!I4</f>
        <v>70000</v>
      </c>
      <c r="J47" s="1159"/>
      <c r="K47" s="714"/>
      <c r="L47" s="2721"/>
      <c r="M47" s="2722">
        <f>15*365*0.8/0.05</f>
        <v>87600</v>
      </c>
      <c r="N47" s="2713"/>
      <c r="O47" s="2722"/>
      <c r="P47" s="3840" t="str">
        <f>A47</f>
        <v>成交单价（元/平方米）</v>
      </c>
      <c r="Q47" s="3840"/>
      <c r="R47" s="3802">
        <f>E47</f>
        <v>69678</v>
      </c>
      <c r="S47" s="3802"/>
      <c r="T47" s="3802">
        <f>G47</f>
        <v>71249</v>
      </c>
      <c r="U47" s="3802"/>
      <c r="V47" s="3802">
        <f>I47</f>
        <v>70000</v>
      </c>
      <c r="W47" s="380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840" t="str">
        <f>A48</f>
        <v>比较价值（元/平方米）</v>
      </c>
      <c r="Q48" s="3840"/>
      <c r="R48" s="3841" t="e">
        <f>IF(F1="售价",ROUND(PRODUCT(R47,AA7:AA46),0),ROUND(PRODUCT(R47,AA7:AA46),1))</f>
        <v>#DIV/0!</v>
      </c>
      <c r="S48" s="3841"/>
      <c r="T48" s="3841" t="e">
        <f>IF(F1="售价",ROUND(PRODUCT(T47,AB7:AB46),0),ROUND(PRODUCT(T47,AB7:AB46),1))</f>
        <v>#DIV/0!</v>
      </c>
      <c r="U48" s="3841"/>
      <c r="V48" s="3841" t="e">
        <f>IF(F1="售价",ROUND(PRODUCT(V47,AC7:AC46),0),ROUND(PRODUCT(V47,AC7:AC46),1))</f>
        <v>#DIV/0!</v>
      </c>
      <c r="W48" s="3841"/>
      <c r="X48" s="690"/>
      <c r="Y48" s="690"/>
      <c r="Z48" s="690"/>
      <c r="AA48" s="690"/>
      <c r="AB48" s="690"/>
      <c r="AC48" s="690"/>
    </row>
    <row r="49" spans="1:29" ht="15.75" thickBot="1">
      <c r="A49" s="441" t="s">
        <v>1710</v>
      </c>
      <c r="B49" s="442"/>
      <c r="C49" s="1163" t="e">
        <f>R49</f>
        <v>#DIV/0!</v>
      </c>
      <c r="D49" s="1163"/>
      <c r="E49" s="1163"/>
      <c r="F49" s="1163"/>
      <c r="G49" s="1163"/>
      <c r="H49" s="1163"/>
      <c r="I49" s="1163"/>
      <c r="J49" s="1163"/>
      <c r="K49" s="715"/>
      <c r="L49" s="2721"/>
      <c r="M49" s="2722"/>
      <c r="N49" s="2713"/>
      <c r="O49" s="2722"/>
      <c r="P49" s="3842" t="str">
        <f>A49</f>
        <v>估价对象XX用房的比较价值（楼面单价，元/平方米）</v>
      </c>
      <c r="Q49" s="3843"/>
      <c r="R49" s="3844" t="e">
        <f>IF(F1="售价",ROUND(IF(D48="简单平均",AVERAGE(R48:V48),R48*F48+T48*H48+V48*J48),0),ROUND(IF(D48="简单平均",AVERAGE(R48:V48),R48*F48+T48*H48+V48*J48),1))</f>
        <v>#DIV/0!</v>
      </c>
      <c r="S49" s="3844"/>
      <c r="T49" s="3844"/>
      <c r="U49" s="3844"/>
      <c r="V49" s="3844"/>
      <c r="W49" s="384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1713</v>
      </c>
      <c r="D54" s="450"/>
      <c r="E54" s="448">
        <f>IF(E47&lt;G47,G47/E47-1,E47/G47-1)</f>
        <v>2.2546571371164559E-2</v>
      </c>
      <c r="F54" s="449" t="str">
        <f>IF(OR(E54&gt;=0.3,E54&lt;=-0.3),"超过30%","")</f>
        <v/>
      </c>
      <c r="G54" s="448">
        <f>IF(G47&lt;I47,I47/G47-1,G47/I47-1)</f>
        <v>1.7842857142857049E-2</v>
      </c>
      <c r="H54" s="449" t="str">
        <f>IF(OR(G54&gt;=0.3,G54&lt;=-0.3),"超过30%","")</f>
        <v/>
      </c>
      <c r="I54" s="448">
        <f>IF(I47&lt;E47,E47/I47-1,I47/E47-1)</f>
        <v>4.6212577858146808E-3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1714</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1718</v>
      </c>
      <c r="D61" s="3532" t="s">
        <v>3537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105</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3559" t="s">
        <v>3608</v>
      </c>
      <c r="D65" s="3559" t="s">
        <v>3611</v>
      </c>
      <c r="E65" s="3559" t="s">
        <v>3609</v>
      </c>
      <c r="F65" s="3559" t="s">
        <v>3612</v>
      </c>
      <c r="G65" s="3559"/>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C66+5</f>
        <v>105</v>
      </c>
      <c r="E66" s="485">
        <f>D66+5</f>
        <v>110</v>
      </c>
      <c r="F66" s="485">
        <f>E66+5</f>
        <v>115</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533" t="s">
        <v>3538</v>
      </c>
      <c r="D86" s="3533" t="s">
        <v>3539</v>
      </c>
      <c r="E86" s="3533" t="s">
        <v>3540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3541</v>
      </c>
      <c r="D88" s="503" t="s">
        <v>3542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3533</v>
      </c>
      <c r="D90" s="503" t="s">
        <v>3500</v>
      </c>
      <c r="E90" s="503" t="s">
        <v>3532</v>
      </c>
      <c r="F90" s="503" t="s">
        <v>3543</v>
      </c>
      <c r="G90" s="503" t="s">
        <v>3536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3544</v>
      </c>
      <c r="D92" s="503" t="s">
        <v>3545</v>
      </c>
      <c r="E92" s="3534" t="s">
        <v>3546</v>
      </c>
      <c r="F92" s="3533" t="s">
        <v>3547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105</v>
      </c>
      <c r="D93" s="485">
        <v>100</v>
      </c>
      <c r="E93" s="485">
        <v>102</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534" t="s">
        <v>3548</v>
      </c>
      <c r="D100" s="3535" t="s">
        <v>3549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533"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533" t="s">
        <v>3551</v>
      </c>
      <c r="D107" s="3533" t="s">
        <v>3552</v>
      </c>
      <c r="E107" s="3533" t="s">
        <v>3553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533" t="s">
        <v>3554</v>
      </c>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533" t="s">
        <v>3555</v>
      </c>
      <c r="D116" s="3533" t="s">
        <v>3556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3536" t="s">
        <v>3557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533" t="s">
        <v>3551</v>
      </c>
      <c r="D122" s="3533" t="s">
        <v>3552</v>
      </c>
      <c r="E122" s="3533" t="s">
        <v>3553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建成时间</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disablePrompts="1"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Q11" sqref="Q11"/>
    </sheetView>
  </sheetViews>
  <sheetFormatPr defaultColWidth="8.875" defaultRowHeight="13.5"/>
  <cols>
    <col min="1" max="7" width="8.875" style="3539"/>
    <col min="8" max="8" width="10.5" style="3539" bestFit="1" customWidth="1"/>
    <col min="9" max="16384" width="8.875" style="3539"/>
  </cols>
  <sheetData>
    <row r="1" spans="6:10">
      <c r="G1" s="3539" t="s">
        <v>3562</v>
      </c>
      <c r="H1" s="3539" t="s">
        <v>3563</v>
      </c>
      <c r="I1" s="3539" t="s">
        <v>3564</v>
      </c>
      <c r="J1" s="3539" t="s">
        <v>3565</v>
      </c>
    </row>
    <row r="2" spans="6:10">
      <c r="F2" s="3539" t="s">
        <v>3598</v>
      </c>
      <c r="G2" s="3539">
        <v>265.51</v>
      </c>
      <c r="H2" s="3540">
        <v>45231</v>
      </c>
      <c r="I2" s="3539">
        <v>69678</v>
      </c>
      <c r="J2" s="3539" t="s">
        <v>3566</v>
      </c>
    </row>
    <row r="3" spans="6:10">
      <c r="F3" s="3539" t="s">
        <v>3605</v>
      </c>
      <c r="G3" s="3539">
        <v>119.3</v>
      </c>
      <c r="H3" s="3540">
        <f>H2</f>
        <v>45231</v>
      </c>
      <c r="I3" s="3539">
        <v>71249</v>
      </c>
      <c r="J3" s="3539" t="s">
        <v>3566</v>
      </c>
    </row>
    <row r="4" spans="6:10">
      <c r="F4" s="3539" t="s">
        <v>3599</v>
      </c>
      <c r="G4" s="3539">
        <v>45.87</v>
      </c>
      <c r="H4" s="3541">
        <f>H3</f>
        <v>45231</v>
      </c>
      <c r="I4" s="3539">
        <v>70000</v>
      </c>
      <c r="J4" s="3539" t="s">
        <v>3566</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24" t="str">
        <f>IF(项目基本情况!B9="房地产市场价值","估价结果一览表","结果表-2")</f>
        <v>估价结果一览表</v>
      </c>
      <c r="B1" s="3624"/>
      <c r="C1" s="3624"/>
      <c r="D1" s="3624"/>
      <c r="E1" s="3624"/>
      <c r="F1" s="3624"/>
      <c r="G1" s="3624"/>
      <c r="H1" s="3624"/>
      <c r="I1" s="3624"/>
    </row>
    <row r="2" spans="1:9" ht="30" customHeight="1" thickTop="1">
      <c r="A2" s="3625" t="s">
        <v>928</v>
      </c>
      <c r="B2" s="3625" t="s">
        <v>929</v>
      </c>
      <c r="C2" s="3625" t="s">
        <v>930</v>
      </c>
      <c r="D2" s="3625" t="str">
        <f>结果表!D116</f>
        <v>出让国有建设用地使用权价值</v>
      </c>
      <c r="E2" s="3625"/>
      <c r="F2" s="3625" t="str">
        <f>结果表!F116</f>
        <v>在建建筑物价值</v>
      </c>
      <c r="G2" s="3625"/>
      <c r="H2" s="3625" t="str">
        <f>IF(项目基本情况!B9="房地产市场价值","房地产市场价值","房地产价值")</f>
        <v>房地产市场价值</v>
      </c>
      <c r="I2" s="3625"/>
    </row>
    <row r="3" spans="1:9" ht="15">
      <c r="A3" s="3626"/>
      <c r="B3" s="3626"/>
      <c r="C3" s="3626"/>
      <c r="D3" s="854" t="s">
        <v>925</v>
      </c>
      <c r="E3" s="854" t="s">
        <v>931</v>
      </c>
      <c r="F3" s="854" t="s">
        <v>925</v>
      </c>
      <c r="G3" s="854" t="s">
        <v>926</v>
      </c>
      <c r="H3" s="854" t="s">
        <v>925</v>
      </c>
      <c r="I3" s="854" t="s">
        <v>926</v>
      </c>
    </row>
    <row r="4" spans="1:9" ht="30">
      <c r="A4" s="1505" t="str">
        <f>项目基本情况!S2</f>
        <v>北京市石景山区玉泉西里一区2号楼1层107房地产</v>
      </c>
      <c r="B4" s="854">
        <f>项目基本情况!C17</f>
        <v>642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26" t="s">
        <v>927</v>
      </c>
      <c r="B5" s="3626"/>
      <c r="C5" s="3626"/>
      <c r="D5" s="3626" t="e">
        <f ca="1">结果表!D119</f>
        <v>#REF!</v>
      </c>
      <c r="E5" s="3626"/>
      <c r="F5" s="3626" t="e">
        <f ca="1">结果表!F119</f>
        <v>#REF!</v>
      </c>
      <c r="G5" s="3626"/>
      <c r="H5" s="3626" t="e">
        <f ca="1">结果表!H119</f>
        <v>#REF!</v>
      </c>
      <c r="I5" s="3626"/>
    </row>
    <row r="6" spans="1:9" ht="15.75">
      <c r="A6" s="3627" t="str">
        <f>结果表!A120</f>
        <v/>
      </c>
      <c r="B6" s="3627"/>
      <c r="C6" s="3627"/>
      <c r="D6" s="3627">
        <f>结果表!D120</f>
        <v>0</v>
      </c>
      <c r="E6" s="3627"/>
      <c r="F6" s="3627"/>
      <c r="G6" s="3627"/>
      <c r="H6" s="3627"/>
      <c r="I6" s="3627"/>
    </row>
    <row r="7" spans="1:9" ht="15">
      <c r="A7" s="3626" t="s">
        <v>927</v>
      </c>
      <c r="B7" s="3626"/>
      <c r="C7" s="3626"/>
      <c r="D7" s="3628" t="str">
        <f>结果表!D121</f>
        <v>零元整</v>
      </c>
      <c r="E7" s="3629"/>
      <c r="F7" s="3629"/>
      <c r="G7" s="3629"/>
      <c r="H7" s="3629"/>
      <c r="I7" s="3630"/>
    </row>
    <row r="8" spans="1:9" ht="15.75">
      <c r="A8" s="3627" t="str">
        <f>结果表!A122</f>
        <v/>
      </c>
      <c r="B8" s="3627"/>
      <c r="C8" s="3627"/>
      <c r="D8" s="3627" t="e">
        <f ca="1">结果表!D122</f>
        <v>#REF!</v>
      </c>
      <c r="E8" s="3627"/>
      <c r="F8" s="3627"/>
      <c r="G8" s="3627"/>
      <c r="H8" s="3627"/>
      <c r="I8" s="3627"/>
    </row>
    <row r="9" spans="1:9" ht="15">
      <c r="A9" s="3626" t="s">
        <v>927</v>
      </c>
      <c r="B9" s="3626"/>
      <c r="C9" s="3626"/>
      <c r="D9" s="3626" t="e">
        <f ca="1">结果表!D123</f>
        <v>#REF!</v>
      </c>
      <c r="E9" s="3626"/>
      <c r="F9" s="3626"/>
      <c r="G9" s="3626"/>
      <c r="H9" s="3626"/>
      <c r="I9" s="3626"/>
    </row>
    <row r="10" spans="1:9" ht="15.75">
      <c r="A10" s="3627" t="str">
        <f>结果表!A124</f>
        <v/>
      </c>
      <c r="B10" s="3627"/>
      <c r="C10" s="3627"/>
      <c r="D10" s="3627" t="str">
        <f>结果表!D124</f>
        <v>——</v>
      </c>
      <c r="E10" s="3627"/>
      <c r="F10" s="3627"/>
      <c r="G10" s="3627"/>
      <c r="H10" s="3627"/>
      <c r="I10" s="3627"/>
    </row>
    <row r="11" spans="1:9" ht="15">
      <c r="A11" s="3626" t="s">
        <v>927</v>
      </c>
      <c r="B11" s="3626"/>
      <c r="C11" s="3626"/>
      <c r="D11" s="3626" t="e">
        <f>结果表!D125</f>
        <v>#VALUE!</v>
      </c>
      <c r="E11" s="3626"/>
      <c r="F11" s="3626"/>
      <c r="G11" s="3626"/>
      <c r="H11" s="3626"/>
      <c r="I11" s="3626"/>
    </row>
    <row r="12" spans="1:9" ht="15.75">
      <c r="A12" s="3627" t="str">
        <f>结果表!A126</f>
        <v/>
      </c>
      <c r="B12" s="3627"/>
      <c r="C12" s="3627"/>
      <c r="D12" s="3627" t="str">
        <f>结果表!D126</f>
        <v>——</v>
      </c>
      <c r="E12" s="3627"/>
      <c r="F12" s="3627"/>
      <c r="G12" s="3627"/>
      <c r="H12" s="3627"/>
      <c r="I12" s="3627"/>
    </row>
    <row r="13" spans="1:9" ht="15.75" thickBot="1">
      <c r="A13" s="3631" t="s">
        <v>927</v>
      </c>
      <c r="B13" s="3631"/>
      <c r="C13" s="3631"/>
      <c r="D13" s="3631" t="e">
        <f>结果表!D127</f>
        <v>#VALUE!</v>
      </c>
      <c r="E13" s="3631"/>
      <c r="F13" s="3631"/>
      <c r="G13" s="3631"/>
      <c r="H13" s="3631"/>
      <c r="I13" s="3631"/>
    </row>
    <row r="14" spans="1:9" ht="15" thickTop="1">
      <c r="A14" s="3632" t="s">
        <v>932</v>
      </c>
      <c r="B14" s="3632"/>
      <c r="C14" s="3632"/>
      <c r="D14" s="3632"/>
      <c r="E14" s="3632"/>
      <c r="F14" s="3632"/>
      <c r="G14" s="3632"/>
      <c r="H14" s="3632"/>
      <c r="I14" s="363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33" t="s">
        <v>949</v>
      </c>
      <c r="B1" s="3633"/>
      <c r="C1" s="3633"/>
      <c r="D1" s="3633"/>
    </row>
    <row r="2" spans="1:4" ht="18">
      <c r="A2" s="3634" t="s">
        <v>933</v>
      </c>
      <c r="B2" s="3634"/>
      <c r="C2" s="3634"/>
      <c r="D2" s="363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34" t="s">
        <v>939</v>
      </c>
      <c r="B6" s="3634"/>
      <c r="C6" s="3634"/>
      <c r="D6" s="363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35" t="s">
        <v>942</v>
      </c>
      <c r="B11" s="3636"/>
      <c r="C11" s="3636"/>
      <c r="D11" s="3636"/>
    </row>
    <row r="12" spans="1:4" ht="15.75">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7"/>
      <c r="C12" s="3637"/>
      <c r="D12" s="3637"/>
    </row>
    <row r="13" spans="1:4" ht="30" customHeight="1">
      <c r="A13" s="3636" t="str">
        <f>IF(项目基本情况!B8="抵押","3.抵押双方在办理抵押登记手续时，应使用本公司出具的正式《房地产评估报告》，特提醒报告使用者注意。","——")</f>
        <v>——</v>
      </c>
      <c r="B13" s="3637"/>
      <c r="C13" s="3637"/>
      <c r="D13" s="3637"/>
    </row>
    <row r="14" spans="1:4" ht="15.75" customHeight="1">
      <c r="A14" s="3636" t="str">
        <f>IF(项目基本情况!B8="抵押","4.本次评估估价师所知悉的法定优先受偿款情况说明如下：","——")</f>
        <v>——</v>
      </c>
      <c r="B14" s="3637"/>
      <c r="C14" s="3637"/>
      <c r="D14" s="3637"/>
    </row>
    <row r="15" spans="1:4" ht="42" customHeight="1">
      <c r="A15" s="3636" t="str">
        <f>IF(项目基本情况!B8="抵押","（1）"&amp;CONCATENATE(项目基本情况!L20,项目基本情况!L21,项目基本情况!L22),"——")</f>
        <v>——</v>
      </c>
      <c r="B15" s="3636"/>
      <c r="C15" s="3636"/>
      <c r="D15" s="3636"/>
    </row>
    <row r="16" spans="1:4" ht="30" customHeight="1">
      <c r="A16" s="3639" t="s">
        <v>943</v>
      </c>
      <c r="B16" s="3639"/>
      <c r="C16" s="3639"/>
      <c r="D16" s="3639"/>
    </row>
    <row r="17" spans="1:4" ht="144" customHeight="1">
      <c r="A17" s="3639" t="s">
        <v>944</v>
      </c>
      <c r="B17" s="3639"/>
      <c r="C17" s="3639"/>
      <c r="D17" s="3639"/>
    </row>
    <row r="18" spans="1:4" ht="15.75" customHeight="1">
      <c r="A18" s="3636" t="str">
        <f>IF(项目基本情况!B8="抵押",结果表!K120,"——")</f>
        <v>——</v>
      </c>
      <c r="B18" s="3636"/>
      <c r="C18" s="3636"/>
      <c r="D18" s="3636"/>
    </row>
    <row r="19" spans="1:4" ht="46.5" customHeight="1">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spans="1:4" ht="57.75" customHeight="1">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6"/>
      <c r="C20" s="3636"/>
      <c r="D20" s="3636"/>
    </row>
    <row r="21" spans="1:4" ht="57.75" customHeight="1">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0"/>
      <c r="C21" s="3640"/>
      <c r="D21" s="3640"/>
    </row>
    <row r="22" spans="1:4" ht="18.75" customHeight="1">
      <c r="A22" s="3641" t="s">
        <v>945</v>
      </c>
      <c r="B22" s="3641"/>
      <c r="C22" s="3641"/>
      <c r="D22" s="364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38">
        <v>42551</v>
      </c>
      <c r="D31" s="36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47" t="s">
        <v>956</v>
      </c>
      <c r="B15" s="3642" t="s">
        <v>109</v>
      </c>
      <c r="C15" s="3643"/>
    </row>
    <row r="16" spans="1:7" ht="13.5">
      <c r="A16" s="3648"/>
      <c r="B16" s="3642" t="s">
        <v>42</v>
      </c>
      <c r="C16" s="3643"/>
    </row>
    <row r="17" spans="1:3" ht="13.5">
      <c r="A17" s="3648"/>
      <c r="B17" s="3645" t="s">
        <v>957</v>
      </c>
      <c r="C17" s="1532" t="s">
        <v>956</v>
      </c>
    </row>
    <row r="18" spans="1:3" ht="13.5">
      <c r="A18" s="3648"/>
      <c r="B18" s="3645"/>
      <c r="C18" s="1532" t="s">
        <v>958</v>
      </c>
    </row>
    <row r="19" spans="1:3" ht="13.5">
      <c r="A19" s="3648"/>
      <c r="B19" s="3645"/>
      <c r="C19" s="1532" t="s">
        <v>959</v>
      </c>
    </row>
    <row r="20" spans="1:3" ht="13.5">
      <c r="A20" s="3649"/>
      <c r="B20" s="3644" t="s">
        <v>960</v>
      </c>
      <c r="C20" s="3643"/>
    </row>
    <row r="21" spans="1:3" ht="13.5">
      <c r="A21" s="1533" t="s">
        <v>961</v>
      </c>
      <c r="B21" s="1534"/>
      <c r="C21" s="1535"/>
    </row>
    <row r="22" spans="1:3" ht="13.5">
      <c r="A22" s="3646" t="s">
        <v>962</v>
      </c>
      <c r="B22" s="3644" t="s">
        <v>963</v>
      </c>
      <c r="C22" s="3643"/>
    </row>
    <row r="23" spans="1:3" ht="13.5">
      <c r="A23" s="3646"/>
      <c r="B23" s="3644" t="s">
        <v>964</v>
      </c>
      <c r="C23" s="3643"/>
    </row>
    <row r="24" spans="1:3" ht="13.5">
      <c r="A24" s="3646"/>
      <c r="B24" s="3644" t="s">
        <v>965</v>
      </c>
      <c r="C24" s="3643"/>
    </row>
    <row r="25" spans="1:3" ht="13.5">
      <c r="A25" s="3646"/>
      <c r="B25" s="3645" t="s">
        <v>966</v>
      </c>
      <c r="C25" s="1532" t="s">
        <v>967</v>
      </c>
    </row>
    <row r="26" spans="1:3" ht="13.5">
      <c r="A26" s="3646"/>
      <c r="B26" s="3645"/>
      <c r="C26" s="1532" t="s">
        <v>968</v>
      </c>
    </row>
    <row r="27" spans="1:3" ht="13.5">
      <c r="A27" s="3646"/>
      <c r="B27" s="3645"/>
      <c r="C27" s="1532" t="s">
        <v>969</v>
      </c>
    </row>
    <row r="28" spans="1:3" ht="13.5">
      <c r="A28" s="3646"/>
      <c r="B28" s="3645"/>
      <c r="C28" s="1532" t="s">
        <v>970</v>
      </c>
    </row>
    <row r="29" spans="1:3" ht="13.5">
      <c r="A29" s="3646"/>
      <c r="B29" s="3645"/>
      <c r="C29" s="1532" t="s">
        <v>971</v>
      </c>
    </row>
    <row r="30" spans="1:3" ht="13.5">
      <c r="A30" s="3646"/>
      <c r="B30" s="3645"/>
      <c r="C30" s="1532" t="s">
        <v>972</v>
      </c>
    </row>
    <row r="31" spans="1:3" ht="13.5">
      <c r="A31" s="3646"/>
      <c r="B31" s="3645"/>
      <c r="C31" s="1532" t="s">
        <v>973</v>
      </c>
    </row>
    <row r="32" spans="1:3" ht="13.5">
      <c r="A32" s="3646"/>
      <c r="B32" s="3645"/>
      <c r="C32" s="1532" t="s">
        <v>974</v>
      </c>
    </row>
    <row r="33" spans="1:3" ht="13.5">
      <c r="A33" s="3646"/>
      <c r="B33" s="364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45489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50" t="s">
        <v>2160</v>
      </c>
      <c r="B17" s="3650"/>
      <c r="C17" s="3650"/>
      <c r="D17" s="3650"/>
      <c r="E17" s="3650"/>
      <c r="F17" s="3650"/>
      <c r="G17" s="3650"/>
      <c r="H17" s="3650"/>
    </row>
    <row r="18" spans="1:8" ht="24" customHeight="1">
      <c r="A18" s="3651" t="s">
        <v>2161</v>
      </c>
      <c r="B18" s="3651"/>
      <c r="C18" s="3651"/>
      <c r="D18" s="2343"/>
      <c r="E18" s="3652" t="s">
        <v>2162</v>
      </c>
      <c r="F18" s="3651"/>
      <c r="G18" s="365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169</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2024-07-16T02:38:33Z</dcterms:modified>
</cp:coreProperties>
</file>