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KG\Desktop\司法怀柔酒楼\"/>
    </mc:Choice>
  </mc:AlternateContent>
  <xr:revisionPtr revIDLastSave="0" documentId="13_ncr:1_{67301277-4FDB-4297-947F-7BAA1E8ED60E}" xr6:coauthVersionLast="45" xr6:coauthVersionMax="45" xr10:uidLastSave="{00000000-0000-0000-0000-000000000000}"/>
  <bookViews>
    <workbookView xWindow="-120" yWindow="-120" windowWidth="20730" windowHeight="1116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汇总表" sheetId="80" r:id="rId17"/>
    <sheet name="结果表" sheetId="9" r:id="rId18"/>
    <sheet name="比较法-商业" sheetId="33" r:id="rId19"/>
    <sheet name="商业售价案例" sheetId="82" r:id="rId20"/>
    <sheet name="收益法" sheetId="15" r:id="rId21"/>
    <sheet name="比较法-商业租金" sheetId="83" r:id="rId22"/>
    <sheet name="商业租金 " sheetId="81"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r:id="rId39"/>
    <sheet name="系统读取表" sheetId="74"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8" hidden="1">'比较法-商业'!$A$1:$L$49</definedName>
    <definedName name="_xlnm._FilterDatabase" localSheetId="21" hidden="1">'比较法-商业租金'!$A$1:$L$49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18">'比较法-商业'!$A$1:$K$54,'比较法-商业'!$A$57:$M$131</definedName>
    <definedName name="_xlnm.Print_Area" localSheetId="21">'比较法-商业租金'!$A$1:$K$54,'比较法-商业租金'!$A$57:$M$131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0">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39">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'比较法-商业租金'!$B$116:$M$116</definedName>
    <definedName name="商业层高">'比较法-商业'!$B$116:$M$116</definedName>
    <definedName name="商业成新度" localSheetId="21">'比较法-商业租金'!$B$109:$M$109</definedName>
    <definedName name="商业成新度">'比较法-商业'!$B$109:$M$109</definedName>
    <definedName name="商业繁华度">定义!$L$1:$L$6</definedName>
    <definedName name="商业公共部分装修" localSheetId="21">'比较法-商业租金'!$B$107:$M$107</definedName>
    <definedName name="商业公共部分装修">'比较法-商业'!$B$107:$M$107</definedName>
    <definedName name="商业基础设施水平" localSheetId="21">'比较法-商业租金'!$B$112:$M$112</definedName>
    <definedName name="商业基础设施水平">'比较法-商业'!$B$112:$M$112</definedName>
    <definedName name="商业建筑结构" localSheetId="21">'比较法-商业租金'!$B$105:$M$105</definedName>
    <definedName name="商业建筑结构">'比较法-商业'!$B$105:$M$105</definedName>
    <definedName name="商业交易情况" localSheetId="21">'比较法-商业租金'!$A$61:$M$61</definedName>
    <definedName name="商业交易情况">'比较法-商业'!$A$61:$M$61</definedName>
    <definedName name="商业街名称">修正!$C$71:$C$138</definedName>
    <definedName name="商业进深比" localSheetId="21">'比较法-商业租金'!$B$120:$M$120</definedName>
    <definedName name="商业进深比">'比较法-商业'!$B$120:$M$120</definedName>
    <definedName name="商业类型" localSheetId="21">'比较法-商业租金'!$B$100:$M$100</definedName>
    <definedName name="商业类型">'比较法-商业'!$B$100:$M$100</definedName>
    <definedName name="商业临街状况" localSheetId="21">'比较法-商业租金'!$B$86:$M$86</definedName>
    <definedName name="商业临街状况">'比较法-商业'!$B$86:$M$86</definedName>
    <definedName name="商业楼层" localSheetId="21">'比较法-商业租金'!$B$92:$M$92</definedName>
    <definedName name="商业楼层">'比较法-商业'!$B$92:$M$92</definedName>
    <definedName name="商业内部装修" localSheetId="21">'比较法-商业租金'!$B$122:$M$122</definedName>
    <definedName name="商业内部装修">'比较法-商业'!$B$122:$M$122</definedName>
    <definedName name="商业人流量" localSheetId="21">'比较法-商业租金'!$B$90:$M$90</definedName>
    <definedName name="商业人流量">'比较法-商业'!$B$90:$M$90</definedName>
    <definedName name="商业业态" localSheetId="21">'比较法-商业租金'!$B$114:$M$114</definedName>
    <definedName name="商业业态">'比较法-商业'!$B$114:$M$114</definedName>
    <definedName name="商业用途" localSheetId="21">'比较法-商业租金'!$B$63:$M$63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83" l="1"/>
  <c r="I7" i="83"/>
  <c r="G7" i="83"/>
  <c r="E7" i="83"/>
  <c r="I33" i="33"/>
  <c r="G33" i="33"/>
  <c r="E33" i="33"/>
  <c r="C33" i="33"/>
  <c r="B130" i="83"/>
  <c r="B128" i="83"/>
  <c r="H45" i="83" s="1"/>
  <c r="B126" i="83"/>
  <c r="G125" i="83"/>
  <c r="E125" i="83"/>
  <c r="F125" i="83" s="1"/>
  <c r="D125" i="83"/>
  <c r="G123" i="83"/>
  <c r="H123" i="83" s="1"/>
  <c r="I123" i="83" s="1"/>
  <c r="J123" i="83" s="1"/>
  <c r="K123" i="83" s="1"/>
  <c r="L123" i="83" s="1"/>
  <c r="M123" i="83" s="1"/>
  <c r="E123" i="83"/>
  <c r="F123" i="83" s="1"/>
  <c r="D123" i="83"/>
  <c r="G121" i="83"/>
  <c r="H121" i="83" s="1"/>
  <c r="I121" i="83" s="1"/>
  <c r="J121" i="83" s="1"/>
  <c r="K121" i="83" s="1"/>
  <c r="L121" i="83" s="1"/>
  <c r="M121" i="83" s="1"/>
  <c r="E121" i="83"/>
  <c r="F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G111" i="83" s="1"/>
  <c r="H111" i="83" s="1"/>
  <c r="I111" i="83" s="1"/>
  <c r="J111" i="83" s="1"/>
  <c r="K111" i="83" s="1"/>
  <c r="L111" i="83" s="1"/>
  <c r="M111" i="83" s="1"/>
  <c r="D111" i="83"/>
  <c r="G109" i="83"/>
  <c r="F109" i="83"/>
  <c r="E109" i="83"/>
  <c r="D109" i="83"/>
  <c r="C109" i="83"/>
  <c r="F108" i="83"/>
  <c r="G108" i="83" s="1"/>
  <c r="H108" i="83" s="1"/>
  <c r="I108" i="83" s="1"/>
  <c r="J108" i="83" s="1"/>
  <c r="K108" i="83" s="1"/>
  <c r="L108" i="83" s="1"/>
  <c r="M108" i="83" s="1"/>
  <c r="D108" i="83"/>
  <c r="E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E101" i="83"/>
  <c r="F101" i="83" s="1"/>
  <c r="G101" i="83" s="1"/>
  <c r="H101" i="83" s="1"/>
  <c r="I101" i="83" s="1"/>
  <c r="J101" i="83" s="1"/>
  <c r="K101" i="83" s="1"/>
  <c r="L101" i="83" s="1"/>
  <c r="M101" i="83" s="1"/>
  <c r="D101" i="83"/>
  <c r="B98" i="83"/>
  <c r="B96" i="83"/>
  <c r="B94" i="83"/>
  <c r="B92" i="83"/>
  <c r="E91" i="83"/>
  <c r="F91" i="83" s="1"/>
  <c r="G91" i="83" s="1"/>
  <c r="H91" i="83" s="1"/>
  <c r="I91" i="83" s="1"/>
  <c r="J91" i="83" s="1"/>
  <c r="K91" i="83" s="1"/>
  <c r="L91" i="83" s="1"/>
  <c r="M91" i="83" s="1"/>
  <c r="D91" i="83"/>
  <c r="B90" i="83"/>
  <c r="B88" i="83"/>
  <c r="D87" i="83"/>
  <c r="E87" i="83" s="1"/>
  <c r="F87" i="83" s="1"/>
  <c r="G85" i="83"/>
  <c r="E85" i="83"/>
  <c r="F85" i="83" s="1"/>
  <c r="D85" i="83"/>
  <c r="E83" i="83"/>
  <c r="F83" i="83" s="1"/>
  <c r="G83" i="83" s="1"/>
  <c r="D83" i="83"/>
  <c r="G81" i="83"/>
  <c r="E81" i="83"/>
  <c r="F81" i="83" s="1"/>
  <c r="D81" i="83"/>
  <c r="E79" i="83"/>
  <c r="F79" i="83" s="1"/>
  <c r="G79" i="83" s="1"/>
  <c r="D79" i="83"/>
  <c r="G77" i="83"/>
  <c r="E77" i="83"/>
  <c r="F77" i="83" s="1"/>
  <c r="D77" i="83"/>
  <c r="B74" i="83"/>
  <c r="B72" i="83"/>
  <c r="B70" i="83"/>
  <c r="D69" i="83"/>
  <c r="E69" i="83" s="1"/>
  <c r="F69" i="83" s="1"/>
  <c r="G69" i="83" s="1"/>
  <c r="H69" i="83" s="1"/>
  <c r="I69" i="83" s="1"/>
  <c r="J69" i="83" s="1"/>
  <c r="K69" i="83" s="1"/>
  <c r="L69" i="83" s="1"/>
  <c r="M69" i="83" s="1"/>
  <c r="M67" i="83"/>
  <c r="L67" i="83"/>
  <c r="K67" i="83"/>
  <c r="J67" i="83"/>
  <c r="I67" i="83"/>
  <c r="H67" i="83"/>
  <c r="G67" i="83"/>
  <c r="F67" i="83"/>
  <c r="E67" i="83"/>
  <c r="D67" i="83"/>
  <c r="C67" i="83"/>
  <c r="C63" i="83"/>
  <c r="P49" i="83"/>
  <c r="P48" i="83"/>
  <c r="K48" i="83"/>
  <c r="V47" i="83"/>
  <c r="P47" i="83"/>
  <c r="G54" i="83"/>
  <c r="H54" i="83" s="1"/>
  <c r="AB46" i="83"/>
  <c r="U46" i="83"/>
  <c r="Q46" i="83"/>
  <c r="Z46" i="83" s="1"/>
  <c r="J46" i="83"/>
  <c r="AC46" i="83" s="1"/>
  <c r="H46" i="83"/>
  <c r="F46" i="83"/>
  <c r="AA46" i="83" s="1"/>
  <c r="AA45" i="83"/>
  <c r="S45" i="83"/>
  <c r="Q45" i="83"/>
  <c r="Z45" i="83" s="1"/>
  <c r="J45" i="83"/>
  <c r="AC45" i="83" s="1"/>
  <c r="F45" i="83"/>
  <c r="AB44" i="83"/>
  <c r="Q44" i="83"/>
  <c r="Z44" i="83" s="1"/>
  <c r="J44" i="83"/>
  <c r="AC44" i="83" s="1"/>
  <c r="H44" i="83"/>
  <c r="U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J36" i="83"/>
  <c r="AC36" i="83" s="1"/>
  <c r="F36" i="83"/>
  <c r="AA36" i="83" s="1"/>
  <c r="C36" i="83"/>
  <c r="H36" i="83" s="1"/>
  <c r="Q35" i="83"/>
  <c r="Z35" i="83" s="1"/>
  <c r="J35" i="83"/>
  <c r="AC35" i="83" s="1"/>
  <c r="H35" i="83"/>
  <c r="AB35" i="83" s="1"/>
  <c r="F35" i="83"/>
  <c r="AA35" i="83" s="1"/>
  <c r="Q34" i="83"/>
  <c r="Z34" i="83" s="1"/>
  <c r="J34" i="83"/>
  <c r="AC34" i="83" s="1"/>
  <c r="H34" i="83"/>
  <c r="F34" i="83"/>
  <c r="AA34" i="83" s="1"/>
  <c r="Q33" i="83"/>
  <c r="Z33" i="83" s="1"/>
  <c r="J33" i="83"/>
  <c r="AC33" i="83" s="1"/>
  <c r="H33" i="83"/>
  <c r="AB33" i="83" s="1"/>
  <c r="F33" i="83"/>
  <c r="AA33" i="83" s="1"/>
  <c r="Q32" i="83"/>
  <c r="Z32" i="83" s="1"/>
  <c r="J32" i="83"/>
  <c r="AC32" i="83" s="1"/>
  <c r="H32" i="83"/>
  <c r="AB32" i="83" s="1"/>
  <c r="F32" i="83"/>
  <c r="AA32" i="83" s="1"/>
  <c r="AC31" i="83"/>
  <c r="W31" i="83"/>
  <c r="Q31" i="83"/>
  <c r="Z31" i="83" s="1"/>
  <c r="J31" i="83"/>
  <c r="H31" i="83"/>
  <c r="AB31" i="83" s="1"/>
  <c r="F31" i="83"/>
  <c r="AA31" i="83" s="1"/>
  <c r="AB30" i="83"/>
  <c r="U30" i="83"/>
  <c r="Q30" i="83"/>
  <c r="Z30" i="83" s="1"/>
  <c r="J30" i="83"/>
  <c r="AC30" i="83" s="1"/>
  <c r="H30" i="83"/>
  <c r="F30" i="83"/>
  <c r="AA30" i="83" s="1"/>
  <c r="Q29" i="83"/>
  <c r="Z29" i="83" s="1"/>
  <c r="J29" i="83"/>
  <c r="AC29" i="83" s="1"/>
  <c r="H29" i="83"/>
  <c r="AB29" i="83" s="1"/>
  <c r="F29" i="83"/>
  <c r="AA29" i="83" s="1"/>
  <c r="Q28" i="83"/>
  <c r="Z28" i="83" s="1"/>
  <c r="J28" i="83"/>
  <c r="AC28" i="83" s="1"/>
  <c r="H28" i="83"/>
  <c r="AB28" i="83" s="1"/>
  <c r="F28" i="83"/>
  <c r="AA28" i="83" s="1"/>
  <c r="AC27" i="83"/>
  <c r="W27" i="83"/>
  <c r="Q27" i="83"/>
  <c r="Z27" i="83" s="1"/>
  <c r="J27" i="83"/>
  <c r="H27" i="83"/>
  <c r="AB27" i="83" s="1"/>
  <c r="F27" i="83"/>
  <c r="AA27" i="83" s="1"/>
  <c r="U26" i="83"/>
  <c r="Q26" i="83"/>
  <c r="Z26" i="83" s="1"/>
  <c r="J26" i="83"/>
  <c r="AC26" i="83" s="1"/>
  <c r="H26" i="83"/>
  <c r="AB26" i="83" s="1"/>
  <c r="F26" i="83"/>
  <c r="AA26" i="83" s="1"/>
  <c r="Q25" i="83"/>
  <c r="Z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AC13" i="83"/>
  <c r="W13" i="83"/>
  <c r="Q13" i="83"/>
  <c r="Z13" i="83" s="1"/>
  <c r="J13" i="83"/>
  <c r="H13" i="83"/>
  <c r="AB13" i="83" s="1"/>
  <c r="F13" i="83"/>
  <c r="AA13" i="83" s="1"/>
  <c r="AB12" i="83"/>
  <c r="U12" i="83"/>
  <c r="Q12" i="83"/>
  <c r="Z12" i="83" s="1"/>
  <c r="J12" i="83"/>
  <c r="AC12" i="83" s="1"/>
  <c r="H12" i="83"/>
  <c r="F12" i="83"/>
  <c r="AA12" i="83" s="1"/>
  <c r="Q11" i="83"/>
  <c r="Z11" i="83" s="1"/>
  <c r="J11" i="83"/>
  <c r="AC11" i="83" s="1"/>
  <c r="H11" i="83"/>
  <c r="AB11" i="83" s="1"/>
  <c r="F11" i="83"/>
  <c r="AA11" i="83" s="1"/>
  <c r="Q10" i="83"/>
  <c r="Z10" i="83" s="1"/>
  <c r="J10" i="83"/>
  <c r="AC10" i="83" s="1"/>
  <c r="H10" i="83"/>
  <c r="AB10" i="83" s="1"/>
  <c r="F10" i="83"/>
  <c r="AA10" i="83" s="1"/>
  <c r="AC9" i="83"/>
  <c r="W9" i="83"/>
  <c r="Q9" i="83"/>
  <c r="Z9" i="83" s="1"/>
  <c r="J9" i="83"/>
  <c r="H9" i="83"/>
  <c r="AB9" i="83" s="1"/>
  <c r="F9" i="83"/>
  <c r="AA9" i="83" s="1"/>
  <c r="W8" i="83"/>
  <c r="S8" i="83"/>
  <c r="J8" i="83"/>
  <c r="AC8" i="83" s="1"/>
  <c r="H8" i="83"/>
  <c r="U8" i="83" s="1"/>
  <c r="F8" i="83"/>
  <c r="AA8" i="83" s="1"/>
  <c r="C7" i="83"/>
  <c r="C58" i="83" s="1"/>
  <c r="D58" i="83" s="1"/>
  <c r="E58" i="83" s="1"/>
  <c r="F58" i="83" s="1"/>
  <c r="G58" i="83" s="1"/>
  <c r="H58" i="83" s="1"/>
  <c r="I58" i="83" s="1"/>
  <c r="J58" i="83" s="1"/>
  <c r="K58" i="83" s="1"/>
  <c r="L58" i="83" s="1"/>
  <c r="M58" i="83" s="1"/>
  <c r="N58" i="83" s="1"/>
  <c r="O58" i="83" s="1"/>
  <c r="D3" i="83"/>
  <c r="B2" i="83"/>
  <c r="D2" i="83"/>
  <c r="G87" i="83" l="1"/>
  <c r="H87" i="83" s="1"/>
  <c r="I87" i="83" s="1"/>
  <c r="J87" i="83" s="1"/>
  <c r="K87" i="83" s="1"/>
  <c r="L87" i="83" s="1"/>
  <c r="M87" i="83" s="1"/>
  <c r="H25" i="83"/>
  <c r="AB25" i="83" s="1"/>
  <c r="J25" i="83"/>
  <c r="AC25" i="83" s="1"/>
  <c r="V48" i="83" s="1"/>
  <c r="F25" i="83"/>
  <c r="AA25" i="83" s="1"/>
  <c r="AB8" i="83"/>
  <c r="S11" i="83"/>
  <c r="S25" i="83"/>
  <c r="S29" i="83"/>
  <c r="S33" i="83"/>
  <c r="AB36" i="83"/>
  <c r="U36" i="83"/>
  <c r="F7" i="83"/>
  <c r="H7" i="83"/>
  <c r="J7" i="83"/>
  <c r="S9" i="83"/>
  <c r="U10" i="83"/>
  <c r="W11" i="83"/>
  <c r="S13" i="83"/>
  <c r="U14" i="83"/>
  <c r="U15" i="83"/>
  <c r="U17" i="83"/>
  <c r="U19" i="83"/>
  <c r="U21" i="83"/>
  <c r="U23" i="83"/>
  <c r="W25" i="83"/>
  <c r="S27" i="83"/>
  <c r="U28" i="83"/>
  <c r="W29" i="83"/>
  <c r="S31" i="83"/>
  <c r="U32" i="83"/>
  <c r="W33" i="83"/>
  <c r="AB34" i="83"/>
  <c r="U34" i="83"/>
  <c r="U37" i="83"/>
  <c r="S38" i="83"/>
  <c r="W38" i="83"/>
  <c r="S40" i="83"/>
  <c r="W40" i="83"/>
  <c r="U41" i="83"/>
  <c r="S42" i="83"/>
  <c r="W42" i="83"/>
  <c r="U43" i="83"/>
  <c r="S44" i="83"/>
  <c r="W44" i="83"/>
  <c r="AB45" i="83"/>
  <c r="U45" i="83"/>
  <c r="S35" i="83"/>
  <c r="W35" i="83"/>
  <c r="S36" i="83"/>
  <c r="W36" i="83"/>
  <c r="U39" i="83"/>
  <c r="U9" i="83"/>
  <c r="S10" i="83"/>
  <c r="W10" i="83"/>
  <c r="U11" i="83"/>
  <c r="S12" i="83"/>
  <c r="W12" i="83"/>
  <c r="U13" i="83"/>
  <c r="S14" i="83"/>
  <c r="W14" i="83"/>
  <c r="S15" i="83"/>
  <c r="W15" i="83"/>
  <c r="S17" i="83"/>
  <c r="W17" i="83"/>
  <c r="S19" i="83"/>
  <c r="W19" i="83"/>
  <c r="S21" i="83"/>
  <c r="W21" i="83"/>
  <c r="S23" i="83"/>
  <c r="W23" i="83"/>
  <c r="U25" i="83"/>
  <c r="S26" i="83"/>
  <c r="W26" i="83"/>
  <c r="U27" i="83"/>
  <c r="S28" i="83"/>
  <c r="W28" i="83"/>
  <c r="U29" i="83"/>
  <c r="S30" i="83"/>
  <c r="W30" i="83"/>
  <c r="U31" i="83"/>
  <c r="S32" i="83"/>
  <c r="W32" i="83"/>
  <c r="U33" i="83"/>
  <c r="S34" i="83"/>
  <c r="W34" i="83"/>
  <c r="U35" i="83"/>
  <c r="S37" i="83"/>
  <c r="W37" i="83"/>
  <c r="U38" i="83"/>
  <c r="S39" i="83"/>
  <c r="W39" i="83"/>
  <c r="U40" i="83"/>
  <c r="S41" i="83"/>
  <c r="W41" i="83"/>
  <c r="U42" i="83"/>
  <c r="S43" i="83"/>
  <c r="W43" i="83"/>
  <c r="W45" i="83"/>
  <c r="E54" i="83"/>
  <c r="F54" i="83" s="1"/>
  <c r="I54" i="83"/>
  <c r="J54" i="83" s="1"/>
  <c r="R47" i="83"/>
  <c r="R48" i="83" s="1"/>
  <c r="R49" i="83" s="1"/>
  <c r="S46" i="83"/>
  <c r="W46" i="83"/>
  <c r="T47" i="83"/>
  <c r="T48" i="83" s="1"/>
  <c r="B14" i="74"/>
  <c r="C14" i="74"/>
  <c r="W7" i="83" l="1"/>
  <c r="AC7" i="83"/>
  <c r="I48" i="83" s="1"/>
  <c r="S7" i="83"/>
  <c r="AA7" i="83"/>
  <c r="G48" i="83"/>
  <c r="AB7" i="83"/>
  <c r="U7" i="83"/>
  <c r="E7" i="80"/>
  <c r="D5" i="9"/>
  <c r="I47" i="33"/>
  <c r="G47" i="33"/>
  <c r="E47" i="33"/>
  <c r="C36" i="33"/>
  <c r="I7" i="33"/>
  <c r="G7" i="33"/>
  <c r="E7" i="33"/>
  <c r="I5" i="33"/>
  <c r="G5" i="33"/>
  <c r="E5" i="33"/>
  <c r="E48" i="83" l="1"/>
  <c r="I53" i="83" s="1"/>
  <c r="J53" i="83" s="1"/>
  <c r="G53" i="83"/>
  <c r="H53" i="83" s="1"/>
  <c r="G52" i="83"/>
  <c r="H52" i="83" s="1"/>
  <c r="I52" i="83"/>
  <c r="J52" i="83" s="1"/>
  <c r="C4" i="80"/>
  <c r="B4" i="80"/>
  <c r="C48" i="83" l="1"/>
  <c r="U6" i="1" s="1"/>
  <c r="C49" i="83"/>
  <c r="B3" i="83" s="1"/>
  <c r="E53" i="83"/>
  <c r="F53" i="83" s="1"/>
  <c r="E52" i="83"/>
  <c r="F52" i="83" s="1"/>
  <c r="AF6" i="1"/>
  <c r="G58" i="43"/>
  <c r="G51" i="43"/>
  <c r="G52" i="43"/>
  <c r="G53" i="43"/>
  <c r="G54" i="43"/>
  <c r="G55" i="43"/>
  <c r="G56" i="43"/>
  <c r="G57" i="43"/>
  <c r="G50" i="43"/>
  <c r="Y6" i="1"/>
  <c r="B59" i="1"/>
  <c r="F5" i="80"/>
  <c r="D4" i="80"/>
  <c r="B5" i="80" s="1"/>
  <c r="C5" i="80" l="1"/>
  <c r="F19" i="6"/>
  <c r="D33" i="43"/>
  <c r="I13" i="3"/>
  <c r="G14" i="73"/>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I25" i="79"/>
  <c r="AD25" i="79" s="1"/>
  <c r="AA23" i="79"/>
  <c r="AD23" i="79" s="1"/>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AD30" i="79" l="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AB29"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51" i="71"/>
  <c r="D51" i="71" s="1"/>
  <c r="D50" i="71"/>
  <c r="P28" i="71"/>
  <c r="AA3" i="71" s="1"/>
  <c r="E59" i="71"/>
  <c r="E60" i="71" s="1"/>
  <c r="U60" i="71" s="1"/>
  <c r="E63" i="71"/>
  <c r="E64" i="71"/>
  <c r="U64" i="71" s="1"/>
  <c r="Q65" i="71"/>
  <c r="U68" i="71"/>
  <c r="E67" i="71"/>
  <c r="E66" i="71" s="1"/>
  <c r="Q28" i="71"/>
  <c r="C55" i="71"/>
  <c r="D55" i="71" s="1"/>
  <c r="D54" i="71"/>
  <c r="C59" i="71"/>
  <c r="D59" i="71" s="1"/>
  <c r="D58" i="71"/>
  <c r="C63" i="71"/>
  <c r="C64" i="71" s="1"/>
  <c r="Q67" i="71"/>
  <c r="T68" i="71"/>
  <c r="O68" i="71"/>
  <c r="D68" i="71"/>
  <c r="C67" i="71"/>
  <c r="O67" i="71" s="1"/>
  <c r="Q68" i="71"/>
  <c r="C71" i="71"/>
  <c r="D71" i="71" s="1"/>
  <c r="E71" i="71"/>
  <c r="E70" i="71"/>
  <c r="C75" i="71"/>
  <c r="C74" i="71" s="1"/>
  <c r="D74" i="71" s="1"/>
  <c r="E75" i="71"/>
  <c r="E74" i="71"/>
  <c r="D76" i="71"/>
  <c r="C79" i="71"/>
  <c r="C78" i="71" s="1"/>
  <c r="D78" i="71" s="1"/>
  <c r="E79" i="71"/>
  <c r="E78" i="71"/>
  <c r="C83" i="71"/>
  <c r="D83" i="71" s="1"/>
  <c r="C87" i="71"/>
  <c r="T28"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32" i="71"/>
  <c r="T32" i="71" s="1"/>
  <c r="O66" i="71"/>
  <c r="O65" i="71"/>
  <c r="D32"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U18" i="36"/>
  <c r="S21" i="34"/>
  <c r="F94" i="40"/>
  <c r="H25" i="40"/>
  <c r="AB25" i="40" s="1"/>
  <c r="G94" i="40"/>
  <c r="J25" i="40"/>
  <c r="AC25" i="40" s="1"/>
  <c r="H29" i="39"/>
  <c r="AB29" i="39" s="1"/>
  <c r="J29" i="39"/>
  <c r="AC29" i="39" s="1"/>
  <c r="J18" i="36"/>
  <c r="AC18" i="36" s="1"/>
  <c r="F68" i="35"/>
  <c r="H18" i="35"/>
  <c r="AB18" i="35" s="1"/>
  <c r="S18" i="35"/>
  <c r="G68" i="35"/>
  <c r="J18" i="35"/>
  <c r="F77" i="37"/>
  <c r="G77" i="37" s="1"/>
  <c r="H21" i="37"/>
  <c r="F21" i="37"/>
  <c r="AA21" i="37" s="1"/>
  <c r="F84" i="34"/>
  <c r="H21" i="34"/>
  <c r="AB21" i="34" s="1"/>
  <c r="H21" i="33"/>
  <c r="U21" i="33" s="1"/>
  <c r="F21" i="33"/>
  <c r="S21" i="33" s="1"/>
  <c r="E83" i="21"/>
  <c r="S21" i="21"/>
  <c r="H1" i="69"/>
  <c r="W25" i="40"/>
  <c r="U25" i="40"/>
  <c r="U29" i="39"/>
  <c r="W29" i="39"/>
  <c r="W18" i="36"/>
  <c r="AB21" i="37"/>
  <c r="U21" i="37"/>
  <c r="S21" i="37"/>
  <c r="U21" i="34"/>
  <c r="AB21" i="33"/>
  <c r="AA21" i="33"/>
  <c r="U18" i="35"/>
  <c r="AC18" i="35"/>
  <c r="W18" i="35"/>
  <c r="J21" i="37"/>
  <c r="G84" i="34"/>
  <c r="J21" i="34"/>
  <c r="J21" i="33"/>
  <c r="W21" i="33" s="1"/>
  <c r="F83" i="21"/>
  <c r="H21" i="21"/>
  <c r="U21" i="21" s="1"/>
  <c r="F38" i="69"/>
  <c r="E37" i="69"/>
  <c r="F36" i="69"/>
  <c r="F35" i="69"/>
  <c r="F21" i="69"/>
  <c r="F40" i="69" s="1"/>
  <c r="F20" i="69"/>
  <c r="F39" i="69" s="1"/>
  <c r="E10" i="69"/>
  <c r="E9" i="69"/>
  <c r="C7" i="69"/>
  <c r="AC21" i="37"/>
  <c r="W21" i="37"/>
  <c r="AC21" i="34"/>
  <c r="W21" i="34"/>
  <c r="AC21" i="33"/>
  <c r="AB21" i="21"/>
  <c r="G83" i="21"/>
  <c r="J21" i="21"/>
  <c r="AC21" i="21" s="1"/>
  <c r="C40" i="69"/>
  <c r="F38" i="68"/>
  <c r="E37" i="68"/>
  <c r="F36" i="68"/>
  <c r="F35" i="68"/>
  <c r="F21" i="68"/>
  <c r="F40" i="68" s="1"/>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5" i="6" s="1"/>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AC5" i="3" s="1"/>
  <c r="BB493" i="3"/>
  <c r="BC493" i="3"/>
  <c r="BC5" i="3" s="1"/>
  <c r="BD493" i="3"/>
  <c r="BE493" i="3"/>
  <c r="BF493" i="3"/>
  <c r="BG493" i="3"/>
  <c r="BG5" i="3" s="1"/>
  <c r="BH493" i="3"/>
  <c r="BI493" i="3"/>
  <c r="BJ493" i="3"/>
  <c r="BK493" i="3"/>
  <c r="BK5" i="3" s="1"/>
  <c r="BM493" i="3"/>
  <c r="BN493" i="3"/>
  <c r="BN5" i="3" s="1"/>
  <c r="BO493" i="3"/>
  <c r="BP493" i="3"/>
  <c r="BR493" i="3"/>
  <c r="BS493" i="3"/>
  <c r="BS5" i="3" s="1"/>
  <c r="BT493" i="3"/>
  <c r="H494" i="3"/>
  <c r="AC494" i="3"/>
  <c r="BB494" i="3"/>
  <c r="BA494" i="3" s="1"/>
  <c r="AZ494" i="3" s="1"/>
  <c r="BC494" i="3"/>
  <c r="BD494" i="3"/>
  <c r="BE494" i="3"/>
  <c r="BF494" i="3"/>
  <c r="BF5" i="3" s="1"/>
  <c r="BG494" i="3"/>
  <c r="BH494" i="3"/>
  <c r="BI494" i="3"/>
  <c r="BJ494" i="3"/>
  <c r="BJ5" i="3" s="1"/>
  <c r="BK494" i="3"/>
  <c r="BM494" i="3"/>
  <c r="BN494" i="3"/>
  <c r="BO494" i="3"/>
  <c r="BO5" i="3" s="1"/>
  <c r="BP494" i="3"/>
  <c r="BQ494" i="3"/>
  <c r="BR494" i="3"/>
  <c r="BS494" i="3"/>
  <c r="BT494" i="3"/>
  <c r="H495" i="3"/>
  <c r="G495" i="3" s="1"/>
  <c r="AC495" i="3"/>
  <c r="BB495" i="3"/>
  <c r="BC495" i="3"/>
  <c r="BD495" i="3"/>
  <c r="BE495" i="3"/>
  <c r="BF495" i="3"/>
  <c r="BG495" i="3"/>
  <c r="BH495" i="3"/>
  <c r="BI495" i="3"/>
  <c r="BJ495" i="3"/>
  <c r="BK495" i="3"/>
  <c r="BM495" i="3"/>
  <c r="BL495" i="3" s="1"/>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L497" i="3" s="1"/>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A499" i="3" s="1"/>
  <c r="BC499" i="3"/>
  <c r="BD499" i="3"/>
  <c r="BE499" i="3"/>
  <c r="BF499" i="3"/>
  <c r="BG499" i="3"/>
  <c r="BH499" i="3"/>
  <c r="BI499" i="3"/>
  <c r="BJ499" i="3"/>
  <c r="BK499" i="3"/>
  <c r="BM499" i="3"/>
  <c r="BL499" i="3" s="1"/>
  <c r="BN499" i="3"/>
  <c r="BO499" i="3"/>
  <c r="BP499" i="3"/>
  <c r="BR499" i="3"/>
  <c r="BS499" i="3"/>
  <c r="BT499" i="3"/>
  <c r="H500" i="3"/>
  <c r="AC500" i="3"/>
  <c r="G500" i="3" s="1"/>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J501" i="3"/>
  <c r="BK501" i="3"/>
  <c r="BM501" i="3"/>
  <c r="BN501" i="3"/>
  <c r="BL501" i="3" s="1"/>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L505" i="3" s="1"/>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G507" i="3" s="1"/>
  <c r="AC507" i="3"/>
  <c r="BB507" i="3"/>
  <c r="BA507" i="3" s="1"/>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A517" i="3" s="1"/>
  <c r="AZ517" i="3" s="1"/>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L521" i="3" s="1"/>
  <c r="BO521" i="3"/>
  <c r="BP521" i="3"/>
  <c r="BR521" i="3"/>
  <c r="BS521" i="3"/>
  <c r="BT521" i="3"/>
  <c r="H522" i="3"/>
  <c r="G522" i="3" s="1"/>
  <c r="AC522" i="3"/>
  <c r="BB522" i="3"/>
  <c r="BA522" i="3" s="1"/>
  <c r="BC522" i="3"/>
  <c r="BD522" i="3"/>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L540" i="3" s="1"/>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J42" i="34"/>
  <c r="W42" i="34"/>
  <c r="F42" i="34"/>
  <c r="J38" i="34"/>
  <c r="W38" i="34" s="1"/>
  <c r="D114" i="34"/>
  <c r="F38" i="34"/>
  <c r="S38" i="34"/>
  <c r="D112" i="34"/>
  <c r="E112" i="34"/>
  <c r="F112" i="34" s="1"/>
  <c r="G112" i="34"/>
  <c r="H112" i="34" s="1"/>
  <c r="I112" i="34" s="1"/>
  <c r="J112" i="34" s="1"/>
  <c r="K112" i="34"/>
  <c r="L112" i="34" s="1"/>
  <c r="M112" i="34" s="1"/>
  <c r="F40" i="33"/>
  <c r="J41" i="33"/>
  <c r="D113"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H40" i="37" s="1"/>
  <c r="D107" i="37"/>
  <c r="E107" i="37"/>
  <c r="F107" i="37" s="1"/>
  <c r="G107" i="37" s="1"/>
  <c r="H107" i="37" s="1"/>
  <c r="I107" i="37" s="1"/>
  <c r="J107" i="37" s="1"/>
  <c r="K107" i="37" s="1"/>
  <c r="L107" i="37" s="1"/>
  <c r="M107" i="37" s="1"/>
  <c r="D105" i="37"/>
  <c r="E105" i="37"/>
  <c r="D103" i="37"/>
  <c r="J35" i="37"/>
  <c r="W35" i="37" s="1"/>
  <c r="F97" i="37"/>
  <c r="E97" i="37"/>
  <c r="D97" i="37"/>
  <c r="C97" i="37"/>
  <c r="D96" i="37"/>
  <c r="E96" i="37" s="1"/>
  <c r="D94" i="37"/>
  <c r="E94" i="37" s="1"/>
  <c r="F94" i="37" s="1"/>
  <c r="M90" i="37"/>
  <c r="L90" i="37"/>
  <c r="K90" i="37"/>
  <c r="J90" i="37"/>
  <c r="I90" i="37"/>
  <c r="H90" i="37"/>
  <c r="G90" i="37"/>
  <c r="F90" i="37"/>
  <c r="E90" i="37"/>
  <c r="D90" i="37"/>
  <c r="C90" i="37"/>
  <c r="D89" i="37"/>
  <c r="E89" i="37" s="1"/>
  <c r="B86" i="37"/>
  <c r="B84" i="37"/>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c r="I81" i="36" s="1"/>
  <c r="J81" i="36" s="1"/>
  <c r="K81" i="36" s="1"/>
  <c r="L81" i="36" s="1"/>
  <c r="M81" i="36" s="1"/>
  <c r="F79" i="36"/>
  <c r="E79" i="36"/>
  <c r="D79" i="36"/>
  <c r="C79" i="36"/>
  <c r="B93" i="36"/>
  <c r="H33" i="36" s="1"/>
  <c r="B91" i="36"/>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B73" i="35"/>
  <c r="H23" i="35"/>
  <c r="U23" i="35" s="1"/>
  <c r="B57" i="35"/>
  <c r="B61" i="35"/>
  <c r="B59" i="35"/>
  <c r="H12" i="35" s="1"/>
  <c r="U12" i="35" s="1"/>
  <c r="B131" i="34"/>
  <c r="B129" i="34"/>
  <c r="J46" i="34" s="1"/>
  <c r="B127" i="34"/>
  <c r="B99" i="34"/>
  <c r="F32" i="34" s="1"/>
  <c r="B97" i="34"/>
  <c r="B95" i="34"/>
  <c r="H30" i="34" s="1"/>
  <c r="B93" i="34"/>
  <c r="B75" i="34"/>
  <c r="J14" i="34" s="1"/>
  <c r="B73" i="34"/>
  <c r="B71" i="34"/>
  <c r="H12" i="34" s="1"/>
  <c r="B130" i="33"/>
  <c r="B128" i="33"/>
  <c r="J45" i="33" s="1"/>
  <c r="B126" i="33"/>
  <c r="B98" i="33"/>
  <c r="F31" i="33" s="1"/>
  <c r="B96" i="33"/>
  <c r="B94" i="33"/>
  <c r="J29" i="33" s="1"/>
  <c r="B74" i="33"/>
  <c r="B72" i="33"/>
  <c r="H13" i="33" s="1"/>
  <c r="U13" i="33" s="1"/>
  <c r="B70" i="33"/>
  <c r="J12" i="33"/>
  <c r="W12" i="33" s="1"/>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J28" i="34" s="1"/>
  <c r="AC28" i="34" s="1"/>
  <c r="B89" i="34"/>
  <c r="J27" i="34"/>
  <c r="AC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F70" i="34" s="1"/>
  <c r="G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A40" i="33"/>
  <c r="Q39" i="33"/>
  <c r="Z39" i="33"/>
  <c r="J39" i="33"/>
  <c r="AC39" i="33" s="1"/>
  <c r="Q38" i="33"/>
  <c r="Z38" i="33"/>
  <c r="J38" i="33"/>
  <c r="AC38" i="33"/>
  <c r="H38" i="33"/>
  <c r="AB38" i="33"/>
  <c r="F38" i="33"/>
  <c r="AA38" i="33"/>
  <c r="Q37" i="33"/>
  <c r="Z37" i="33"/>
  <c r="Q36" i="33"/>
  <c r="Z36" i="33"/>
  <c r="Q35" i="33"/>
  <c r="Z35" i="33"/>
  <c r="H35" i="33"/>
  <c r="AB35" i="33" s="1"/>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E54" i="21"/>
  <c r="F54" i="21" s="1"/>
  <c r="I54" i="21"/>
  <c r="J54" i="21" s="1"/>
  <c r="G54" i="21"/>
  <c r="H54" i="21" s="1"/>
  <c r="D125" i="21"/>
  <c r="E125" i="21"/>
  <c r="F125" i="21" s="1"/>
  <c r="G125" i="21"/>
  <c r="D123" i="21"/>
  <c r="E123" i="21"/>
  <c r="F123" i="21" s="1"/>
  <c r="F42" i="21"/>
  <c r="D119" i="21"/>
  <c r="F40" i="21"/>
  <c r="AA40"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s="1"/>
  <c r="F85" i="21" s="1"/>
  <c r="F19" i="21"/>
  <c r="AA19" i="21"/>
  <c r="E81" i="21"/>
  <c r="F81" i="21"/>
  <c r="G81" i="21" s="1"/>
  <c r="D77" i="21"/>
  <c r="E77" i="21" s="1"/>
  <c r="B130" i="21"/>
  <c r="H46" i="21" s="1"/>
  <c r="B128" i="21"/>
  <c r="J45" i="21"/>
  <c r="W45" i="21" s="1"/>
  <c r="B126" i="21"/>
  <c r="B98" i="21"/>
  <c r="H31" i="21"/>
  <c r="B96" i="21"/>
  <c r="B94" i="21"/>
  <c r="J29" i="21" s="1"/>
  <c r="AC29" i="21"/>
  <c r="B92" i="21"/>
  <c r="B90" i="21"/>
  <c r="J27" i="21" s="1"/>
  <c r="W27" i="21" s="1"/>
  <c r="B74" i="21"/>
  <c r="B72" i="21"/>
  <c r="H13" i="21" s="1"/>
  <c r="B70" i="21"/>
  <c r="H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19" i="21"/>
  <c r="J19" i="21"/>
  <c r="W19" i="21"/>
  <c r="J26" i="21"/>
  <c r="W26" i="21"/>
  <c r="F26" i="21"/>
  <c r="S26" i="21"/>
  <c r="AB41" i="21"/>
  <c r="S41" i="21"/>
  <c r="F45" i="39"/>
  <c r="S45" i="39" s="1"/>
  <c r="J45" i="39"/>
  <c r="J44" i="39"/>
  <c r="AC44" i="39" s="1"/>
  <c r="F36" i="39"/>
  <c r="S36" i="39" s="1"/>
  <c r="H36" i="39"/>
  <c r="J35" i="39"/>
  <c r="AC35" i="39" s="1"/>
  <c r="F35" i="39"/>
  <c r="AA35" i="39" s="1"/>
  <c r="J36" i="39"/>
  <c r="U9" i="39"/>
  <c r="W40" i="39"/>
  <c r="W25" i="37"/>
  <c r="W31" i="37"/>
  <c r="E103" i="37"/>
  <c r="F103" i="37"/>
  <c r="G103" i="37" s="1"/>
  <c r="H103" i="37"/>
  <c r="I103" i="37" s="1"/>
  <c r="J103" i="37" s="1"/>
  <c r="K103" i="37" s="1"/>
  <c r="L103" i="37" s="1"/>
  <c r="M103" i="37" s="1"/>
  <c r="F39" i="37"/>
  <c r="U14" i="37"/>
  <c r="F29" i="36"/>
  <c r="AA29" i="36" s="1"/>
  <c r="F16" i="36"/>
  <c r="AA16" i="36" s="1"/>
  <c r="U9" i="36"/>
  <c r="U31" i="36"/>
  <c r="J33" i="36"/>
  <c r="AC33" i="36" s="1"/>
  <c r="H22" i="35"/>
  <c r="AB22" i="35" s="1"/>
  <c r="AC27" i="35"/>
  <c r="U31" i="35"/>
  <c r="W22" i="35"/>
  <c r="S31" i="35"/>
  <c r="F36" i="34"/>
  <c r="J35" i="34"/>
  <c r="H39" i="33"/>
  <c r="AB39" i="33" s="1"/>
  <c r="F26" i="33"/>
  <c r="AA26" i="33" s="1"/>
  <c r="S40" i="33"/>
  <c r="W33"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C25" i="39"/>
  <c r="C21" i="39"/>
  <c r="H11" i="39"/>
  <c r="S40" i="39"/>
  <c r="H32" i="33"/>
  <c r="H11" i="21"/>
  <c r="U11" i="21" s="1"/>
  <c r="J11" i="21"/>
  <c r="W11" i="21" s="1"/>
  <c r="H37" i="40"/>
  <c r="U37" i="40" s="1"/>
  <c r="H36" i="40"/>
  <c r="AB36" i="40" s="1"/>
  <c r="F35" i="40"/>
  <c r="AA35" i="40" s="1"/>
  <c r="H23" i="40"/>
  <c r="H17" i="40"/>
  <c r="U17" i="40" s="1"/>
  <c r="J15" i="40"/>
  <c r="W15" i="40" s="1"/>
  <c r="J11" i="40"/>
  <c r="AB8" i="39"/>
  <c r="AB12" i="35"/>
  <c r="AB12" i="36"/>
  <c r="W32" i="40"/>
  <c r="S44" i="39"/>
  <c r="F37" i="39"/>
  <c r="AA37" i="39" s="1"/>
  <c r="J34" i="36"/>
  <c r="W34" i="36" s="1"/>
  <c r="U30" i="36"/>
  <c r="J30" i="35"/>
  <c r="W30" i="35" s="1"/>
  <c r="H30" i="35"/>
  <c r="AB30" i="35" s="1"/>
  <c r="F22" i="35"/>
  <c r="AA22" i="35" s="1"/>
  <c r="H10" i="35"/>
  <c r="U10" i="35" s="1"/>
  <c r="F33" i="36"/>
  <c r="AA33" i="36" s="1"/>
  <c r="W30" i="36"/>
  <c r="H16" i="36"/>
  <c r="AB16" i="36"/>
  <c r="F85" i="36"/>
  <c r="G85" i="36" s="1"/>
  <c r="H85" i="36"/>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F41" i="33"/>
  <c r="AA41" i="33"/>
  <c r="S38" i="33"/>
  <c r="E113" i="33"/>
  <c r="F37" i="33" s="1"/>
  <c r="F32" i="33"/>
  <c r="AA32" i="33" s="1"/>
  <c r="J19" i="33"/>
  <c r="AC19" i="33" s="1"/>
  <c r="F11" i="33"/>
  <c r="AA11" i="33" s="1"/>
  <c r="W40" i="33"/>
  <c r="F37" i="40"/>
  <c r="AA37" i="40"/>
  <c r="F36" i="40"/>
  <c r="AA36" i="40"/>
  <c r="H28" i="40"/>
  <c r="U28" i="40"/>
  <c r="F23" i="40"/>
  <c r="AA23" i="40"/>
  <c r="F17" i="40"/>
  <c r="AA17" i="40"/>
  <c r="J17" i="40"/>
  <c r="W17" i="40"/>
  <c r="F15" i="40"/>
  <c r="S15" i="40"/>
  <c r="H15" i="40"/>
  <c r="AB15" i="40"/>
  <c r="S12" i="36"/>
  <c r="AA12" i="36"/>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G123" i="21"/>
  <c r="H123" i="21" s="1"/>
  <c r="I123" i="21" s="1"/>
  <c r="J123" i="21" s="1"/>
  <c r="K123" i="21" s="1"/>
  <c r="L123" i="21" s="1"/>
  <c r="M123" i="21" s="1"/>
  <c r="J42" i="21"/>
  <c r="AC42" i="21"/>
  <c r="H42" i="21"/>
  <c r="U42" i="2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J46" i="21"/>
  <c r="W46" i="21" s="1"/>
  <c r="E119" i="21"/>
  <c r="F119" i="21" s="1"/>
  <c r="G119" i="21" s="1"/>
  <c r="H119" i="21" s="1"/>
  <c r="I119" i="21" s="1"/>
  <c r="J119" i="21" s="1"/>
  <c r="K119" i="21" s="1"/>
  <c r="L119" i="21" s="1"/>
  <c r="M119" i="21" s="1"/>
  <c r="H26" i="33"/>
  <c r="U26" i="33" s="1"/>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H29" i="21"/>
  <c r="U29" i="21" s="1"/>
  <c r="J31" i="21"/>
  <c r="AC31" i="21" s="1"/>
  <c r="F31" i="21"/>
  <c r="S31" i="21" s="1"/>
  <c r="F45" i="21"/>
  <c r="AA45" i="21" s="1"/>
  <c r="F13" i="33"/>
  <c r="S13" i="33" s="1"/>
  <c r="H29" i="33"/>
  <c r="U29" i="33" s="1"/>
  <c r="J31" i="33"/>
  <c r="H45" i="33"/>
  <c r="U45" i="33" s="1"/>
  <c r="F45" i="33"/>
  <c r="F14" i="34"/>
  <c r="S14" i="34" s="1"/>
  <c r="F30" i="34"/>
  <c r="S30" i="34" s="1"/>
  <c r="H32" i="34"/>
  <c r="H46" i="34"/>
  <c r="U46" i="34" s="1"/>
  <c r="H11" i="35"/>
  <c r="AB11" i="35" s="1"/>
  <c r="J26" i="36"/>
  <c r="W26" i="36" s="1"/>
  <c r="H28" i="36"/>
  <c r="U28" i="36" s="1"/>
  <c r="J32" i="36"/>
  <c r="W32" i="36" s="1"/>
  <c r="J11" i="36"/>
  <c r="AC11" i="36" s="1"/>
  <c r="H11" i="36"/>
  <c r="U11" i="36" s="1"/>
  <c r="F11" i="36"/>
  <c r="AA11" i="36" s="1"/>
  <c r="H13" i="36"/>
  <c r="AB13" i="36" s="1"/>
  <c r="J13" i="36"/>
  <c r="AC13" i="36" s="1"/>
  <c r="F13" i="36"/>
  <c r="S13" i="36"/>
  <c r="F89" i="37"/>
  <c r="G89" i="37" s="1"/>
  <c r="H89" i="37" s="1"/>
  <c r="I89" i="37" s="1"/>
  <c r="J89" i="37" s="1"/>
  <c r="K89" i="37" s="1"/>
  <c r="L89" i="37" s="1"/>
  <c r="M89" i="37" s="1"/>
  <c r="J29" i="37"/>
  <c r="W29" i="37" s="1"/>
  <c r="F29" i="37"/>
  <c r="S29" i="37" s="1"/>
  <c r="F105" i="37"/>
  <c r="G105" i="37" s="1"/>
  <c r="H36" i="37"/>
  <c r="AB36" i="37"/>
  <c r="J37" i="37"/>
  <c r="AC37" i="37" s="1"/>
  <c r="H37" i="37"/>
  <c r="U37" i="37" s="1"/>
  <c r="J40" i="37"/>
  <c r="AC40" i="37" s="1"/>
  <c r="AC12" i="40"/>
  <c r="H14" i="33"/>
  <c r="U14" i="33" s="1"/>
  <c r="F14" i="33"/>
  <c r="S14" i="33" s="1"/>
  <c r="J14" i="33"/>
  <c r="H30" i="33"/>
  <c r="AB30" i="33" s="1"/>
  <c r="F30" i="33"/>
  <c r="AA30" i="33" s="1"/>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F14" i="37"/>
  <c r="S14" i="37"/>
  <c r="F13" i="39"/>
  <c r="J13" i="39"/>
  <c r="W13" i="39" s="1"/>
  <c r="H13" i="39"/>
  <c r="H14" i="40"/>
  <c r="J14" i="40"/>
  <c r="W14" i="40" s="1"/>
  <c r="F14" i="40"/>
  <c r="AA14" i="40" s="1"/>
  <c r="J14" i="37"/>
  <c r="J27" i="37"/>
  <c r="AC27" i="37" s="1"/>
  <c r="U31" i="34"/>
  <c r="J36" i="37"/>
  <c r="AC36" i="37"/>
  <c r="J10" i="36"/>
  <c r="AC10" i="36" s="1"/>
  <c r="AB30" i="21"/>
  <c r="AA14" i="37"/>
  <c r="W31" i="34"/>
  <c r="W13" i="36"/>
  <c r="S11" i="36"/>
  <c r="AA14" i="34"/>
  <c r="BA586" i="3"/>
  <c r="F17" i="21"/>
  <c r="AA17" i="21" s="1"/>
  <c r="H17" i="21"/>
  <c r="AB17" i="21" s="1"/>
  <c r="F15" i="21"/>
  <c r="S15" i="21" s="1"/>
  <c r="J41" i="39"/>
  <c r="W41" i="39" s="1"/>
  <c r="W35" i="39"/>
  <c r="G544" i="3"/>
  <c r="G535" i="3"/>
  <c r="G527" i="3"/>
  <c r="G510" i="3"/>
  <c r="G496" i="3"/>
  <c r="G584" i="3"/>
  <c r="G580" i="3"/>
  <c r="G572" i="3"/>
  <c r="G568" i="3"/>
  <c r="G564" i="3"/>
  <c r="G554" i="3"/>
  <c r="BL584" i="3"/>
  <c r="AZ584" i="3" s="1"/>
  <c r="BL576" i="3"/>
  <c r="BL572" i="3"/>
  <c r="BL568" i="3"/>
  <c r="BL560" i="3"/>
  <c r="BL554" i="3"/>
  <c r="BL546" i="3"/>
  <c r="BL542" i="3"/>
  <c r="BL530" i="3"/>
  <c r="BL512" i="3"/>
  <c r="BL494" i="3"/>
  <c r="BL582" i="3"/>
  <c r="BL578" i="3"/>
  <c r="BL570" i="3"/>
  <c r="BL566" i="3"/>
  <c r="BL562" i="3"/>
  <c r="BL556" i="3"/>
  <c r="BL552" i="3"/>
  <c r="BL544" i="3"/>
  <c r="G533" i="3"/>
  <c r="G525" i="3"/>
  <c r="BL510" i="3"/>
  <c r="G493" i="3"/>
  <c r="BA584" i="3"/>
  <c r="BA582" i="3"/>
  <c r="AZ582" i="3" s="1"/>
  <c r="BA580" i="3"/>
  <c r="BA578" i="3"/>
  <c r="AZ578" i="3" s="1"/>
  <c r="BA576" i="3"/>
  <c r="BA574" i="3"/>
  <c r="BA572" i="3"/>
  <c r="AZ572" i="3" s="1"/>
  <c r="BA570" i="3"/>
  <c r="AZ570" i="3" s="1"/>
  <c r="BA568" i="3"/>
  <c r="BA566" i="3"/>
  <c r="AZ566" i="3" s="1"/>
  <c r="BA564" i="3"/>
  <c r="BA562" i="3"/>
  <c r="AZ562" i="3" s="1"/>
  <c r="BA560" i="3"/>
  <c r="BA556" i="3"/>
  <c r="AZ556" i="3"/>
  <c r="BA554" i="3"/>
  <c r="AZ554" i="3"/>
  <c r="BA552" i="3"/>
  <c r="AZ552" i="3"/>
  <c r="BA548" i="3"/>
  <c r="BA546" i="3"/>
  <c r="BA544" i="3"/>
  <c r="AZ544" i="3"/>
  <c r="BA542" i="3"/>
  <c r="AZ542" i="3"/>
  <c r="BA528" i="3"/>
  <c r="BA524" i="3"/>
  <c r="BA518" i="3"/>
  <c r="BA514" i="3"/>
  <c r="BA583" i="3"/>
  <c r="BA581" i="3"/>
  <c r="AZ581" i="3" s="1"/>
  <c r="BA579" i="3"/>
  <c r="BA575" i="3"/>
  <c r="AZ575" i="3" s="1"/>
  <c r="BA573" i="3"/>
  <c r="BA571" i="3"/>
  <c r="AZ571" i="3" s="1"/>
  <c r="BA569" i="3"/>
  <c r="BA567" i="3"/>
  <c r="AZ567" i="3" s="1"/>
  <c r="BA563" i="3"/>
  <c r="BA559" i="3"/>
  <c r="BA555" i="3"/>
  <c r="BA553" i="3"/>
  <c r="AZ553" i="3" s="1"/>
  <c r="BA547" i="3"/>
  <c r="BA545" i="3"/>
  <c r="BA543" i="3"/>
  <c r="BA539" i="3"/>
  <c r="BA531" i="3"/>
  <c r="BA523" i="3"/>
  <c r="BA513" i="3"/>
  <c r="BA503" i="3"/>
  <c r="BA495" i="3"/>
  <c r="AZ560" i="3"/>
  <c r="G583" i="3"/>
  <c r="G581" i="3"/>
  <c r="G577" i="3"/>
  <c r="G573" i="3"/>
  <c r="G571" i="3"/>
  <c r="G569" i="3"/>
  <c r="G567" i="3"/>
  <c r="G565" i="3"/>
  <c r="G561" i="3"/>
  <c r="BA557" i="3"/>
  <c r="AC557" i="3"/>
  <c r="G557" i="3" s="1"/>
  <c r="BQ557" i="3"/>
  <c r="BL557" i="3" s="1"/>
  <c r="BQ583" i="3"/>
  <c r="BL583" i="3" s="1"/>
  <c r="AZ583" i="3" s="1"/>
  <c r="BQ581" i="3"/>
  <c r="BL581" i="3"/>
  <c r="BQ579" i="3"/>
  <c r="BL579" i="3"/>
  <c r="BQ577" i="3"/>
  <c r="BQ575" i="3"/>
  <c r="BL575" i="3"/>
  <c r="BQ573" i="3"/>
  <c r="BL573" i="3" s="1"/>
  <c r="AZ573" i="3" s="1"/>
  <c r="BQ571" i="3"/>
  <c r="BL571" i="3"/>
  <c r="BQ569" i="3"/>
  <c r="BL569" i="3" s="1"/>
  <c r="AZ569" i="3" s="1"/>
  <c r="BQ567" i="3"/>
  <c r="BL567" i="3"/>
  <c r="BQ565" i="3"/>
  <c r="BQ563" i="3"/>
  <c r="BL563" i="3"/>
  <c r="BQ561" i="3"/>
  <c r="BL561" i="3"/>
  <c r="BQ559" i="3"/>
  <c r="G555" i="3"/>
  <c r="G553" i="3"/>
  <c r="G549" i="3"/>
  <c r="G547" i="3"/>
  <c r="G545" i="3"/>
  <c r="G543" i="3"/>
  <c r="G541" i="3"/>
  <c r="BQ555" i="3"/>
  <c r="BL555" i="3"/>
  <c r="AZ555" i="3" s="1"/>
  <c r="BQ553" i="3"/>
  <c r="BL553" i="3" s="1"/>
  <c r="BQ551" i="3"/>
  <c r="BL551" i="3"/>
  <c r="BQ549" i="3"/>
  <c r="BQ547" i="3"/>
  <c r="BL547" i="3" s="1"/>
  <c r="AZ547" i="3"/>
  <c r="BQ545" i="3"/>
  <c r="BL545" i="3"/>
  <c r="AZ545" i="3" s="1"/>
  <c r="BQ543" i="3"/>
  <c r="BL543" i="3" s="1"/>
  <c r="AZ543" i="3"/>
  <c r="BQ541" i="3"/>
  <c r="BL541" i="3"/>
  <c r="BQ539" i="3"/>
  <c r="BQ537" i="3"/>
  <c r="BL537" i="3"/>
  <c r="BQ535" i="3"/>
  <c r="BQ533" i="3"/>
  <c r="BL533" i="3"/>
  <c r="BQ531" i="3"/>
  <c r="BQ529" i="3"/>
  <c r="BL529" i="3"/>
  <c r="BQ527" i="3"/>
  <c r="BQ525" i="3"/>
  <c r="BL525" i="3"/>
  <c r="BQ523" i="3"/>
  <c r="AC521" i="3"/>
  <c r="BQ521" i="3"/>
  <c r="G513" i="3"/>
  <c r="BQ519" i="3"/>
  <c r="BQ517" i="3"/>
  <c r="BL517" i="3"/>
  <c r="BQ515" i="3"/>
  <c r="BQ513" i="3"/>
  <c r="BL513" i="3"/>
  <c r="BQ511" i="3"/>
  <c r="AC509" i="3"/>
  <c r="BQ509" i="3"/>
  <c r="G501"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A36" i="39"/>
  <c r="F39" i="33"/>
  <c r="AA39" i="33" s="1"/>
  <c r="E123" i="33"/>
  <c r="F42" i="33"/>
  <c r="AA42" i="33" s="1"/>
  <c r="F14" i="36"/>
  <c r="AA14" i="36" s="1"/>
  <c r="F22" i="36"/>
  <c r="S22" i="36" s="1"/>
  <c r="F26" i="36"/>
  <c r="S26" i="36" s="1"/>
  <c r="H27" i="34"/>
  <c r="AB27" i="34" s="1"/>
  <c r="H35" i="34"/>
  <c r="U35" i="34" s="1"/>
  <c r="F41" i="34"/>
  <c r="H41" i="34"/>
  <c r="U41" i="34" s="1"/>
  <c r="J41" i="34"/>
  <c r="AC41" i="34" s="1"/>
  <c r="F10" i="35"/>
  <c r="S10"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35" i="35"/>
  <c r="W23" i="35"/>
  <c r="AB28" i="37"/>
  <c r="U39" i="37"/>
  <c r="W26" i="37"/>
  <c r="U26" i="37"/>
  <c r="AA13" i="33"/>
  <c r="U19" i="21"/>
  <c r="W44" i="21"/>
  <c r="AB38" i="21"/>
  <c r="F43" i="33"/>
  <c r="AA43" i="33"/>
  <c r="W15" i="34"/>
  <c r="AC15" i="34"/>
  <c r="W16" i="35"/>
  <c r="W40" i="37"/>
  <c r="H37" i="21"/>
  <c r="U37" i="21" s="1"/>
  <c r="H19" i="34"/>
  <c r="AB19" i="34" s="1"/>
  <c r="F36" i="35"/>
  <c r="S36" i="35" s="1"/>
  <c r="J9" i="37"/>
  <c r="W9" i="37" s="1"/>
  <c r="F9" i="37"/>
  <c r="S9" i="37" s="1"/>
  <c r="H12" i="37"/>
  <c r="AB12" i="37" s="1"/>
  <c r="E71" i="37"/>
  <c r="F71" i="37" s="1"/>
  <c r="F15" i="37"/>
  <c r="AA15" i="37"/>
  <c r="F31" i="37"/>
  <c r="S31" i="37" s="1"/>
  <c r="F12" i="39"/>
  <c r="S12" i="39" s="1"/>
  <c r="J42" i="39"/>
  <c r="AC42" i="39" s="1"/>
  <c r="H21" i="40"/>
  <c r="AB21" i="40" s="1"/>
  <c r="G94" i="37"/>
  <c r="H94" i="37" s="1"/>
  <c r="I94" i="37" s="1"/>
  <c r="J94" i="37" s="1"/>
  <c r="K94" i="37" s="1"/>
  <c r="L94" i="37" s="1"/>
  <c r="M94" i="37" s="1"/>
  <c r="H31" i="37"/>
  <c r="U31" i="37"/>
  <c r="G71" i="37"/>
  <c r="J15" i="37"/>
  <c r="W15" i="37"/>
  <c r="AT6"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U40"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BL549"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0" i="3"/>
  <c r="G516" i="3"/>
  <c r="G506"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17" i="3"/>
  <c r="AZ333" i="3"/>
  <c r="BQ5" i="3"/>
  <c r="G548" i="3"/>
  <c r="G538" i="3"/>
  <c r="G502" i="3"/>
  <c r="BP5" i="3"/>
  <c r="AZ343" i="3"/>
  <c r="BI5" i="3"/>
  <c r="BE5" i="3"/>
  <c r="G17" i="3"/>
  <c r="BA17" i="3"/>
  <c r="BT5" i="3"/>
  <c r="AZ350" i="3"/>
  <c r="AZ352" i="3"/>
  <c r="AZ360" i="3"/>
  <c r="AZ368" i="3"/>
  <c r="BA15" i="3"/>
  <c r="AZ15" i="3"/>
  <c r="BR5" i="3"/>
  <c r="AZ384" i="3"/>
  <c r="AZ388" i="3"/>
  <c r="AZ392" i="3"/>
  <c r="AZ396" i="3"/>
  <c r="AZ394" i="3"/>
  <c r="G509" i="3"/>
  <c r="BL493" i="3"/>
  <c r="AZ491" i="3"/>
  <c r="AZ376" i="3"/>
  <c r="AZ382" i="3"/>
  <c r="U36" i="40"/>
  <c r="F83" i="43"/>
  <c r="H85" i="43" s="1"/>
  <c r="F50" i="43"/>
  <c r="H54" i="43" s="1"/>
  <c r="F72" i="43"/>
  <c r="H75" i="43" s="1"/>
  <c r="U17" i="39"/>
  <c r="S14" i="35"/>
  <c r="U43" i="21"/>
  <c r="AC35" i="21"/>
  <c r="G8" i="1"/>
  <c r="G10" i="1"/>
  <c r="AZ563" i="3"/>
  <c r="W37" i="37"/>
  <c r="W44" i="34"/>
  <c r="AC44" i="34"/>
  <c r="S15" i="37"/>
  <c r="U13" i="37"/>
  <c r="U12" i="40"/>
  <c r="AA12" i="40"/>
  <c r="J37" i="33"/>
  <c r="W37"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F20" i="36"/>
  <c r="AA20" i="36" s="1"/>
  <c r="J33" i="34"/>
  <c r="AC33" i="34" s="1"/>
  <c r="H23" i="39"/>
  <c r="U23" i="39" s="1"/>
  <c r="D48" i="9"/>
  <c r="M52" i="9" s="1"/>
  <c r="K9" i="1"/>
  <c r="M9" i="1" s="1"/>
  <c r="D93" i="9"/>
  <c r="K6" i="1"/>
  <c r="AP6" i="1" s="1"/>
  <c r="W27" i="34"/>
  <c r="AB34" i="36"/>
  <c r="U34" i="36"/>
  <c r="AB33" i="36"/>
  <c r="U33" i="36"/>
  <c r="AC12" i="39"/>
  <c r="W12" i="39"/>
  <c r="AC39" i="40"/>
  <c r="W39" i="40"/>
  <c r="AZ401" i="3"/>
  <c r="AZ412" i="3"/>
  <c r="AZ417" i="3"/>
  <c r="AZ428" i="3"/>
  <c r="AZ433" i="3"/>
  <c r="AZ465" i="3"/>
  <c r="AC12" i="33"/>
  <c r="AZ550" i="3"/>
  <c r="AZ408" i="3"/>
  <c r="AZ437" i="3"/>
  <c r="AZ441" i="3"/>
  <c r="AZ457" i="3"/>
  <c r="AZ473" i="3"/>
  <c r="AZ490" i="3"/>
  <c r="BL14" i="3"/>
  <c r="AZ266" i="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A34" i="33"/>
  <c r="AB37" i="40"/>
  <c r="S35" i="40"/>
  <c r="U35" i="40"/>
  <c r="AC36" i="40"/>
  <c r="W38" i="40"/>
  <c r="AA32" i="40"/>
  <c r="S17" i="40"/>
  <c r="S23" i="40"/>
  <c r="AC17" i="40"/>
  <c r="AB27" i="40"/>
  <c r="S30" i="40"/>
  <c r="AA19" i="40"/>
  <c r="S28" i="40"/>
  <c r="AA27" i="40"/>
  <c r="AB19" i="40"/>
  <c r="S43"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U12" i="39"/>
  <c r="U13" i="36"/>
  <c r="U26" i="36"/>
  <c r="S33" i="36"/>
  <c r="AA34" i="36"/>
  <c r="AA22" i="36"/>
  <c r="W14" i="36"/>
  <c r="AB14" i="36"/>
  <c r="U22" i="36"/>
  <c r="S16" i="36"/>
  <c r="AA25" i="36"/>
  <c r="S24" i="36"/>
  <c r="U24" i="36"/>
  <c r="U16" i="36"/>
  <c r="AA25" i="35"/>
  <c r="AB13" i="35"/>
  <c r="U29" i="35"/>
  <c r="U28" i="35"/>
  <c r="AB27" i="35"/>
  <c r="U32" i="35"/>
  <c r="AA33" i="35"/>
  <c r="AC30" i="35"/>
  <c r="S32" i="35"/>
  <c r="AA36" i="35"/>
  <c r="AB16" i="35"/>
  <c r="S20" i="35"/>
  <c r="S22" i="35"/>
  <c r="U14" i="35"/>
  <c r="AC9" i="35"/>
  <c r="W9" i="35"/>
  <c r="W13" i="35"/>
  <c r="F9" i="35"/>
  <c r="S9" i="35" s="1"/>
  <c r="H9" i="35"/>
  <c r="U9" i="35" s="1"/>
  <c r="S25" i="37"/>
  <c r="S26" i="37"/>
  <c r="U29" i="37"/>
  <c r="S32" i="37"/>
  <c r="AB31" i="37"/>
  <c r="W30" i="37"/>
  <c r="S36"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3" i="34"/>
  <c r="W41" i="34"/>
  <c r="AC42" i="34"/>
  <c r="AB35" i="34"/>
  <c r="U39" i="34"/>
  <c r="S43" i="34"/>
  <c r="AA45" i="34"/>
  <c r="S17" i="34"/>
  <c r="AA29" i="34"/>
  <c r="U27" i="34"/>
  <c r="S23" i="34"/>
  <c r="U15" i="34"/>
  <c r="S13" i="34"/>
  <c r="H10" i="34"/>
  <c r="AB10" i="34" s="1"/>
  <c r="F11" i="34"/>
  <c r="S11" i="34" s="1"/>
  <c r="W38" i="33"/>
  <c r="H41" i="33"/>
  <c r="F121" i="33"/>
  <c r="G121" i="33" s="1"/>
  <c r="H121" i="33" s="1"/>
  <c r="I121" i="33" s="1"/>
  <c r="J121" i="33" s="1"/>
  <c r="K121" i="33" s="1"/>
  <c r="L121" i="33" s="1"/>
  <c r="M121" i="33" s="1"/>
  <c r="F36" i="33"/>
  <c r="AA36" i="33" s="1"/>
  <c r="G111" i="33"/>
  <c r="H111" i="33" s="1"/>
  <c r="I111" i="33" s="1"/>
  <c r="J111" i="33" s="1"/>
  <c r="K111" i="33" s="1"/>
  <c r="L111" i="33" s="1"/>
  <c r="M111" i="33" s="1"/>
  <c r="J35" i="33"/>
  <c r="W35" i="33" s="1"/>
  <c r="S39" i="33"/>
  <c r="J32" i="33"/>
  <c r="AC32" i="33" s="1"/>
  <c r="S46" i="33"/>
  <c r="W43" i="33"/>
  <c r="S43" i="33"/>
  <c r="J23" i="33"/>
  <c r="AC23" i="33" s="1"/>
  <c r="H23" i="33"/>
  <c r="U23" i="33" s="1"/>
  <c r="F81" i="33"/>
  <c r="F19" i="33"/>
  <c r="S19" i="33" s="1"/>
  <c r="W19" i="33"/>
  <c r="J17" i="33"/>
  <c r="AC17" i="33" s="1"/>
  <c r="U9" i="33"/>
  <c r="J10" i="33"/>
  <c r="W10" i="33" s="1"/>
  <c r="H10" i="33"/>
  <c r="U10" i="33" s="1"/>
  <c r="AC11" i="33"/>
  <c r="AB14" i="33"/>
  <c r="W43" i="21"/>
  <c r="W41" i="21"/>
  <c r="AB39" i="21"/>
  <c r="AA43" i="21"/>
  <c r="AA38" i="21"/>
  <c r="AA36" i="21"/>
  <c r="AC40" i="21"/>
  <c r="J15" i="21"/>
  <c r="W15" i="21"/>
  <c r="F77" i="21"/>
  <c r="G77" i="21"/>
  <c r="F23" i="21"/>
  <c r="S23" i="21"/>
  <c r="AA14" i="21"/>
  <c r="M20" i="67"/>
  <c r="BA13" i="3"/>
  <c r="BL17" i="3"/>
  <c r="AZ17" i="3"/>
  <c r="BL13" i="3"/>
  <c r="J56" i="9"/>
  <c r="J57" i="9" s="1"/>
  <c r="J59" i="9" s="1"/>
  <c r="J61" i="9" s="1"/>
  <c r="A24" i="51"/>
  <c r="B18" i="72" s="1"/>
  <c r="U29" i="34"/>
  <c r="E32" i="6"/>
  <c r="G1" i="68"/>
  <c r="K1" i="12"/>
  <c r="E19" i="69"/>
  <c r="E19" i="68"/>
  <c r="E19" i="11"/>
  <c r="E1" i="73"/>
  <c r="G22" i="68"/>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33" i="40"/>
  <c r="AA15" i="40"/>
  <c r="U11" i="40"/>
  <c r="S31"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W29" i="36"/>
  <c r="AC20" i="36"/>
  <c r="U25" i="36"/>
  <c r="AB28" i="36"/>
  <c r="AA13" i="36"/>
  <c r="W9" i="36"/>
  <c r="W22" i="36"/>
  <c r="S9" i="36"/>
  <c r="AB20" i="35"/>
  <c r="AC25" i="35"/>
  <c r="U25" i="35"/>
  <c r="S35" i="35"/>
  <c r="W35" i="35"/>
  <c r="AA16" i="35"/>
  <c r="AA35" i="37"/>
  <c r="W36" i="37"/>
  <c r="S28" i="37"/>
  <c r="W32" i="37"/>
  <c r="U36" i="37"/>
  <c r="U38" i="37"/>
  <c r="AB37" i="37"/>
  <c r="AC34" i="37"/>
  <c r="AB35" i="37"/>
  <c r="AA31" i="37"/>
  <c r="U19" i="37"/>
  <c r="AA29" i="37"/>
  <c r="U8" i="37"/>
  <c r="AA40" i="34"/>
  <c r="AB40" i="34"/>
  <c r="U19" i="34"/>
  <c r="W19" i="34"/>
  <c r="AB33" i="34"/>
  <c r="AC45" i="34"/>
  <c r="AA31" i="34"/>
  <c r="AA30" i="34"/>
  <c r="AB45" i="34"/>
  <c r="AB47" i="34"/>
  <c r="U25" i="34"/>
  <c r="AB36" i="34"/>
  <c r="W33" i="34"/>
  <c r="AC29" i="34"/>
  <c r="W29" i="34"/>
  <c r="W46" i="34"/>
  <c r="AC46" i="34"/>
  <c r="S32" i="34"/>
  <c r="AA32" i="34"/>
  <c r="U30" i="34"/>
  <c r="AB30" i="34"/>
  <c r="S37" i="34"/>
  <c r="U38" i="34"/>
  <c r="AC40" i="34"/>
  <c r="W40" i="34"/>
  <c r="AA19" i="34"/>
  <c r="S19" i="34"/>
  <c r="AA36" i="34"/>
  <c r="S36" i="34"/>
  <c r="AA8" i="34"/>
  <c r="S8" i="34"/>
  <c r="U32" i="34"/>
  <c r="AB32" i="34"/>
  <c r="AC43" i="34"/>
  <c r="W43" i="34"/>
  <c r="W23" i="34"/>
  <c r="AC23" i="34"/>
  <c r="AC35" i="34"/>
  <c r="W35" i="34"/>
  <c r="W46" i="33"/>
  <c r="U38" i="33"/>
  <c r="U44" i="33"/>
  <c r="AB44" i="33"/>
  <c r="S30" i="33"/>
  <c r="AC14" i="33"/>
  <c r="W14" i="33"/>
  <c r="AC30" i="33"/>
  <c r="W30" i="33"/>
  <c r="S31" i="33"/>
  <c r="AA31" i="33"/>
  <c r="U15" i="33"/>
  <c r="S11" i="33"/>
  <c r="S44" i="21"/>
  <c r="AB42" i="21"/>
  <c r="U28" i="21"/>
  <c r="S45" i="21"/>
  <c r="F33" i="21"/>
  <c r="AA33" i="21" s="1"/>
  <c r="J33" i="21"/>
  <c r="AC33" i="21" s="1"/>
  <c r="H33" i="21"/>
  <c r="AB33" i="21" s="1"/>
  <c r="F37" i="21"/>
  <c r="AA37" i="21"/>
  <c r="AA26" i="21"/>
  <c r="AB14" i="21"/>
  <c r="U40" i="21"/>
  <c r="AB31" i="21"/>
  <c r="U31" i="21"/>
  <c r="AC15" i="21"/>
  <c r="U13" i="21"/>
  <c r="AB13" i="21"/>
  <c r="S35" i="21"/>
  <c r="J37" i="21"/>
  <c r="W37" i="21" s="1"/>
  <c r="H15" i="21"/>
  <c r="U15" i="21" s="1"/>
  <c r="J17" i="21"/>
  <c r="AC17" i="21" s="1"/>
  <c r="AC19" i="21"/>
  <c r="W39" i="21"/>
  <c r="AC14" i="21"/>
  <c r="W30"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J36" i="33"/>
  <c r="W36" i="33" s="1"/>
  <c r="H36" i="33"/>
  <c r="U36" i="33" s="1"/>
  <c r="S36" i="33"/>
  <c r="AB23" i="33"/>
  <c r="F23" i="33"/>
  <c r="AA23" i="33" s="1"/>
  <c r="W23" i="33"/>
  <c r="AA19" i="33"/>
  <c r="H19" i="33"/>
  <c r="G81" i="33"/>
  <c r="H17" i="33"/>
  <c r="U17" i="33" s="1"/>
  <c r="W17" i="33"/>
  <c r="S37" i="21"/>
  <c r="AA23" i="21"/>
  <c r="AB15" i="21"/>
  <c r="J23" i="21"/>
  <c r="AC23" i="21" s="1"/>
  <c r="G85" i="21"/>
  <c r="H23" i="21"/>
  <c r="S13" i="21"/>
  <c r="AP7" i="1"/>
  <c r="AB45" i="21"/>
  <c r="AB9" i="21"/>
  <c r="U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AB19" i="33"/>
  <c r="U19" i="33"/>
  <c r="U23" i="21"/>
  <c r="AB23" i="21"/>
  <c r="W23" i="21"/>
  <c r="H109" i="9"/>
  <c r="M49" i="9" s="1"/>
  <c r="D16" i="53"/>
  <c r="B34" i="72" s="1"/>
  <c r="H112" i="9"/>
  <c r="D21" i="53"/>
  <c r="B39" i="72" s="1"/>
  <c r="H111" i="9"/>
  <c r="D126" i="9" s="1"/>
  <c r="D19" i="53"/>
  <c r="B38" i="72" s="1"/>
  <c r="AD3" i="71"/>
  <c r="J1" i="7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9" i="71"/>
  <c r="F5" i="73"/>
  <c r="F7" i="15"/>
  <c r="M26" i="15"/>
  <c r="D35" i="9"/>
  <c r="F42" i="15"/>
  <c r="F36" i="67"/>
  <c r="F43" i="15"/>
  <c r="F38" i="67"/>
  <c r="F26" i="67"/>
  <c r="F7" i="67"/>
  <c r="F37" i="67"/>
  <c r="F4" i="73"/>
  <c r="E12" i="76"/>
  <c r="E7" i="76"/>
  <c r="D5" i="73"/>
  <c r="M24" i="15"/>
  <c r="F13" i="67"/>
  <c r="F8" i="67"/>
  <c r="J15" i="67"/>
  <c r="B9" i="76"/>
  <c r="F6" i="73"/>
  <c r="F9" i="15"/>
  <c r="C76" i="15"/>
  <c r="M8" i="67"/>
  <c r="F20" i="31"/>
  <c r="C76" i="67"/>
  <c r="M23" i="67"/>
  <c r="E10" i="76"/>
  <c r="B12" i="76"/>
  <c r="F6" i="67"/>
  <c r="J15" i="15"/>
  <c r="M28" i="67"/>
  <c r="B7" i="76"/>
  <c r="L47" i="15"/>
  <c r="E8" i="76"/>
  <c r="F16" i="67"/>
  <c r="F7" i="73"/>
  <c r="E2" i="68"/>
  <c r="M29" i="67"/>
  <c r="D34" i="9"/>
  <c r="L48" i="15"/>
  <c r="B13" i="76"/>
  <c r="F9" i="67"/>
  <c r="B11" i="76"/>
  <c r="E9" i="76"/>
  <c r="F37" i="15"/>
  <c r="M29" i="15"/>
  <c r="D7" i="73"/>
  <c r="M9" i="67"/>
  <c r="F40" i="15"/>
  <c r="F40" i="67"/>
  <c r="E2" i="69"/>
  <c r="E13" i="76"/>
  <c r="F42" i="67"/>
  <c r="M22" i="67"/>
  <c r="M8" i="15"/>
  <c r="F6" i="15"/>
  <c r="M6" i="67"/>
  <c r="AO13" i="1"/>
  <c r="M23" i="15"/>
  <c r="F16" i="15"/>
  <c r="F8" i="15"/>
  <c r="M22" i="15"/>
  <c r="F36" i="15"/>
  <c r="B10" i="76"/>
  <c r="M24" i="67"/>
  <c r="F38" i="15"/>
  <c r="F3" i="73"/>
  <c r="L47" i="67"/>
  <c r="M28" i="15"/>
  <c r="F13" i="15"/>
  <c r="F26" i="15"/>
  <c r="F43" i="67"/>
  <c r="E11" i="76"/>
  <c r="M9" i="15"/>
  <c r="B8" i="76"/>
  <c r="M26" i="67"/>
  <c r="M6" i="15"/>
  <c r="L48" i="67"/>
  <c r="H25" i="33" l="1"/>
  <c r="AB25" i="33" s="1"/>
  <c r="G87" i="33"/>
  <c r="G13" i="3"/>
  <c r="AA37" i="33"/>
  <c r="S37" i="33"/>
  <c r="U42" i="33"/>
  <c r="W42" i="33"/>
  <c r="AB34" i="33"/>
  <c r="W32" i="33"/>
  <c r="U30" i="33"/>
  <c r="F91" i="33"/>
  <c r="G91" i="33" s="1"/>
  <c r="H91" i="33" s="1"/>
  <c r="I91" i="33" s="1"/>
  <c r="J91" i="33" s="1"/>
  <c r="K91" i="33" s="1"/>
  <c r="L91" i="33" s="1"/>
  <c r="M91" i="33" s="1"/>
  <c r="J27" i="33"/>
  <c r="AC27" i="33" s="1"/>
  <c r="H27" i="33"/>
  <c r="F27" i="33"/>
  <c r="AA27" i="33" s="1"/>
  <c r="AC26" i="33"/>
  <c r="U39" i="33"/>
  <c r="W39" i="33"/>
  <c r="AC37" i="33"/>
  <c r="U37" i="33"/>
  <c r="U35" i="33"/>
  <c r="AC35" i="33"/>
  <c r="S33" i="33"/>
  <c r="S32" i="33"/>
  <c r="W27" i="33"/>
  <c r="S26" i="33"/>
  <c r="AB26" i="33"/>
  <c r="S23" i="33"/>
  <c r="F17" i="33"/>
  <c r="AB17" i="33"/>
  <c r="J15" i="33"/>
  <c r="S15" i="33"/>
  <c r="U11" i="33"/>
  <c r="W9" i="33"/>
  <c r="W8" i="33"/>
  <c r="H67" i="43"/>
  <c r="F34" i="15"/>
  <c r="F62" i="15" s="1"/>
  <c r="F34" i="67"/>
  <c r="F62" i="67" s="1"/>
  <c r="B41" i="1"/>
  <c r="F54" i="9" s="1"/>
  <c r="F28" i="67"/>
  <c r="C28" i="67" s="1"/>
  <c r="G26" i="12"/>
  <c r="G22" i="69"/>
  <c r="F28" i="6"/>
  <c r="G29" i="6"/>
  <c r="H69" i="43"/>
  <c r="D18" i="71"/>
  <c r="E15" i="71"/>
  <c r="E14" i="71" s="1"/>
  <c r="E13" i="71" s="1"/>
  <c r="E12" i="71" s="1"/>
  <c r="V16" i="71"/>
  <c r="U46" i="21"/>
  <c r="AB46" i="21"/>
  <c r="AB9" i="34"/>
  <c r="U9" i="34"/>
  <c r="AC29" i="33"/>
  <c r="W29" i="33"/>
  <c r="W45" i="33"/>
  <c r="AC45" i="33"/>
  <c r="U12" i="34"/>
  <c r="AB12" i="34"/>
  <c r="W14" i="34"/>
  <c r="AC14" i="34"/>
  <c r="U40" i="37"/>
  <c r="AB40" i="37"/>
  <c r="D17" i="71"/>
  <c r="C16" i="71"/>
  <c r="D20" i="71"/>
  <c r="U20" i="71" s="1"/>
  <c r="T20" i="71"/>
  <c r="V20" i="71"/>
  <c r="AB12" i="21"/>
  <c r="U12" i="21"/>
  <c r="AZ522" i="3"/>
  <c r="AZ500" i="3"/>
  <c r="AZ499" i="3"/>
  <c r="D120" i="9"/>
  <c r="S39" i="21"/>
  <c r="W36" i="21"/>
  <c r="S42" i="33"/>
  <c r="AB29" i="33"/>
  <c r="AA35" i="33"/>
  <c r="AA25" i="34"/>
  <c r="AB41" i="34"/>
  <c r="AC39" i="34"/>
  <c r="U44" i="34"/>
  <c r="AA38" i="37"/>
  <c r="AC29" i="37"/>
  <c r="W27" i="37"/>
  <c r="AC20" i="35"/>
  <c r="U22" i="35"/>
  <c r="S28" i="35"/>
  <c r="S23" i="35"/>
  <c r="S14" i="36"/>
  <c r="AB20" i="36"/>
  <c r="AC26" i="36"/>
  <c r="AA26" i="36"/>
  <c r="AC13" i="39"/>
  <c r="S15" i="39"/>
  <c r="U31" i="39"/>
  <c r="U25" i="39"/>
  <c r="S37" i="39"/>
  <c r="U37" i="39"/>
  <c r="U21" i="40"/>
  <c r="AC15" i="40"/>
  <c r="AC34" i="33"/>
  <c r="S19" i="39"/>
  <c r="AA39" i="34"/>
  <c r="AC17" i="34"/>
  <c r="AC11" i="39"/>
  <c r="U35" i="21"/>
  <c r="BB5" i="3"/>
  <c r="E14" i="6" s="1"/>
  <c r="S42" i="39"/>
  <c r="AB34" i="39"/>
  <c r="AC46" i="21"/>
  <c r="AB13" i="34"/>
  <c r="S41" i="34"/>
  <c r="AA41" i="34"/>
  <c r="H28" i="34"/>
  <c r="AB43" i="33"/>
  <c r="U43" i="33"/>
  <c r="AZ557" i="3"/>
  <c r="AZ579" i="3"/>
  <c r="AZ568" i="3"/>
  <c r="AZ576" i="3"/>
  <c r="S35" i="39"/>
  <c r="W44" i="39"/>
  <c r="AC28" i="21"/>
  <c r="AB45" i="33"/>
  <c r="AB46" i="34"/>
  <c r="AA14" i="33"/>
  <c r="AA44" i="33"/>
  <c r="AC14" i="37"/>
  <c r="W14" i="37"/>
  <c r="S13" i="35"/>
  <c r="AA13" i="35"/>
  <c r="AB46" i="33"/>
  <c r="U46" i="33"/>
  <c r="AC44" i="33"/>
  <c r="W44" i="33"/>
  <c r="F40" i="37"/>
  <c r="F46" i="34"/>
  <c r="J32" i="34"/>
  <c r="J30" i="34"/>
  <c r="H14" i="34"/>
  <c r="H31" i="33"/>
  <c r="F29" i="33"/>
  <c r="J13" i="33"/>
  <c r="F27" i="21"/>
  <c r="F46" i="21"/>
  <c r="AA44" i="34"/>
  <c r="S44" i="34"/>
  <c r="S28" i="34"/>
  <c r="AB17" i="34"/>
  <c r="W36" i="34"/>
  <c r="AC36" i="34"/>
  <c r="W28" i="34"/>
  <c r="U23" i="34"/>
  <c r="AB23" i="34"/>
  <c r="AB33" i="35"/>
  <c r="U33" i="35"/>
  <c r="W11" i="40"/>
  <c r="AC11" i="40"/>
  <c r="U34" i="21"/>
  <c r="U34" i="34"/>
  <c r="S39" i="37"/>
  <c r="AA39" i="37"/>
  <c r="AC36" i="39"/>
  <c r="W36" i="39"/>
  <c r="W45" i="39"/>
  <c r="AC45" i="39"/>
  <c r="AB26" i="21"/>
  <c r="U26" i="21"/>
  <c r="AA34" i="21"/>
  <c r="S34" i="21"/>
  <c r="BA585" i="3"/>
  <c r="AZ585" i="3" s="1"/>
  <c r="AA42" i="21"/>
  <c r="S42" i="21"/>
  <c r="B94" i="43"/>
  <c r="B73" i="43"/>
  <c r="B99" i="43"/>
  <c r="B76" i="43"/>
  <c r="C27" i="39"/>
  <c r="U12" i="33"/>
  <c r="AB12" i="33"/>
  <c r="AB33" i="33"/>
  <c r="U33" i="33"/>
  <c r="H28" i="33"/>
  <c r="F28" i="33"/>
  <c r="J28" i="33"/>
  <c r="J12" i="35"/>
  <c r="J24" i="35"/>
  <c r="F24" i="35"/>
  <c r="H24" i="35"/>
  <c r="J34" i="35"/>
  <c r="H34" i="35"/>
  <c r="F34" i="35"/>
  <c r="AC28" i="36"/>
  <c r="W28" i="36"/>
  <c r="W16" i="36"/>
  <c r="AC16" i="36"/>
  <c r="F32" i="36"/>
  <c r="H32" i="36"/>
  <c r="AB30" i="37"/>
  <c r="U30" i="37"/>
  <c r="J12" i="37"/>
  <c r="F12" i="37"/>
  <c r="S12" i="37" s="1"/>
  <c r="AC8" i="40"/>
  <c r="W8" i="40"/>
  <c r="AB34" i="40"/>
  <c r="U34" i="40"/>
  <c r="AB40" i="40"/>
  <c r="U40" i="40"/>
  <c r="H13" i="40"/>
  <c r="J13" i="40"/>
  <c r="F13" i="40"/>
  <c r="BL580" i="3"/>
  <c r="AZ580" i="3" s="1"/>
  <c r="BL577" i="3"/>
  <c r="BA577" i="3"/>
  <c r="BL574" i="3"/>
  <c r="BL565" i="3"/>
  <c r="BA565" i="3"/>
  <c r="AZ565" i="3" s="1"/>
  <c r="BL564" i="3"/>
  <c r="AZ564" i="3" s="1"/>
  <c r="BA561" i="3"/>
  <c r="AZ561" i="3" s="1"/>
  <c r="BL559" i="3"/>
  <c r="AZ559" i="3" s="1"/>
  <c r="BL558" i="3"/>
  <c r="BA558" i="3"/>
  <c r="W17" i="21"/>
  <c r="G28" i="6"/>
  <c r="F29" i="6"/>
  <c r="S25" i="21"/>
  <c r="AA25" i="21"/>
  <c r="AZ495" i="3"/>
  <c r="AZ513" i="3"/>
  <c r="AZ518" i="3"/>
  <c r="AZ574" i="3"/>
  <c r="AB14" i="40"/>
  <c r="U14" i="40"/>
  <c r="AC47" i="34"/>
  <c r="W47" i="34"/>
  <c r="AA45" i="33"/>
  <c r="S45" i="33"/>
  <c r="W31" i="33"/>
  <c r="AC31" i="33"/>
  <c r="AB33" i="37"/>
  <c r="U33" i="37"/>
  <c r="S29" i="35"/>
  <c r="AA29" i="35"/>
  <c r="AB23" i="40"/>
  <c r="U23" i="40"/>
  <c r="AB32" i="33"/>
  <c r="U32" i="33"/>
  <c r="AB36" i="39"/>
  <c r="U36" i="39"/>
  <c r="BL587" i="3"/>
  <c r="BA587" i="3"/>
  <c r="AZ587" i="3" s="1"/>
  <c r="F12" i="21"/>
  <c r="J12" i="21"/>
  <c r="B72" i="43"/>
  <c r="C15" i="39"/>
  <c r="B101" i="43"/>
  <c r="B79" i="43"/>
  <c r="B97" i="43"/>
  <c r="B75" i="43"/>
  <c r="AB40" i="33"/>
  <c r="U40" i="33"/>
  <c r="J9" i="34"/>
  <c r="F9" i="34"/>
  <c r="AA9" i="34" s="1"/>
  <c r="S12" i="35"/>
  <c r="AA12" i="35"/>
  <c r="AC28" i="35"/>
  <c r="W28" i="35"/>
  <c r="J12" i="34"/>
  <c r="F12" i="34"/>
  <c r="J11" i="35"/>
  <c r="F11" i="35"/>
  <c r="H27" i="37"/>
  <c r="F27" i="37"/>
  <c r="BA549" i="3"/>
  <c r="AZ549" i="3" s="1"/>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A525" i="3"/>
  <c r="AZ525" i="3" s="1"/>
  <c r="BL524" i="3"/>
  <c r="AZ524" i="3" s="1"/>
  <c r="BL523" i="3"/>
  <c r="AZ523" i="3" s="1"/>
  <c r="BA521" i="3"/>
  <c r="AZ521" i="3" s="1"/>
  <c r="BL520" i="3"/>
  <c r="BA520" i="3"/>
  <c r="AZ520" i="3" s="1"/>
  <c r="BL519" i="3"/>
  <c r="BA519" i="3"/>
  <c r="AZ519" i="3" s="1"/>
  <c r="BL516" i="3"/>
  <c r="AZ516" i="3" s="1"/>
  <c r="BL515" i="3"/>
  <c r="BA515" i="3"/>
  <c r="BL514" i="3"/>
  <c r="AZ514" i="3" s="1"/>
  <c r="BA512" i="3"/>
  <c r="AZ512" i="3" s="1"/>
  <c r="BL511" i="3"/>
  <c r="BA511" i="3"/>
  <c r="BA510" i="3"/>
  <c r="AZ510" i="3" s="1"/>
  <c r="BA509" i="3"/>
  <c r="AZ509" i="3" s="1"/>
  <c r="BL508" i="3"/>
  <c r="BA508" i="3"/>
  <c r="AZ508" i="3" s="1"/>
  <c r="BL507" i="3"/>
  <c r="AZ507" i="3" s="1"/>
  <c r="BL506" i="3"/>
  <c r="AZ506" i="3" s="1"/>
  <c r="BA505" i="3"/>
  <c r="AZ505" i="3" s="1"/>
  <c r="BL504" i="3"/>
  <c r="BA504" i="3"/>
  <c r="AZ504" i="3" s="1"/>
  <c r="BL503" i="3"/>
  <c r="AZ503" i="3" s="1"/>
  <c r="BA502" i="3"/>
  <c r="AZ502" i="3" s="1"/>
  <c r="BA501" i="3"/>
  <c r="AZ501" i="3" s="1"/>
  <c r="BL498" i="3"/>
  <c r="BA498" i="3"/>
  <c r="BA497" i="3"/>
  <c r="AZ497" i="3" s="1"/>
  <c r="BL496" i="3"/>
  <c r="BL5" i="3" s="1"/>
  <c r="BA496" i="3"/>
  <c r="AZ496" i="3" s="1"/>
  <c r="BA493" i="3"/>
  <c r="AZ493" i="3" s="1"/>
  <c r="H36" i="35"/>
  <c r="J36" i="35"/>
  <c r="J23" i="36"/>
  <c r="H23" i="36"/>
  <c r="F23" i="36"/>
  <c r="G551" i="3"/>
  <c r="G5" i="3" s="1"/>
  <c r="B3" i="3" s="1"/>
  <c r="BL548" i="3"/>
  <c r="AZ548" i="3" s="1"/>
  <c r="AZ472" i="3"/>
  <c r="AZ475" i="3"/>
  <c r="AZ489" i="3"/>
  <c r="AZ316" i="3"/>
  <c r="AZ332" i="3"/>
  <c r="AZ216" i="3"/>
  <c r="AZ230" i="3"/>
  <c r="AZ398" i="3"/>
  <c r="AZ405" i="3"/>
  <c r="AZ407" i="3"/>
  <c r="AZ410" i="3"/>
  <c r="AZ415" i="3"/>
  <c r="AZ420" i="3"/>
  <c r="AZ426" i="3"/>
  <c r="AZ431" i="3"/>
  <c r="AZ448" i="3"/>
  <c r="AZ452" i="3"/>
  <c r="AZ461" i="3"/>
  <c r="AZ463" i="3"/>
  <c r="AZ468" i="3"/>
  <c r="AZ470" i="3"/>
  <c r="AZ479" i="3"/>
  <c r="AZ485" i="3"/>
  <c r="AZ211" i="3"/>
  <c r="AZ219" i="3"/>
  <c r="AZ18" i="3"/>
  <c r="AZ23" i="3"/>
  <c r="AZ27" i="3"/>
  <c r="AZ244" i="3"/>
  <c r="AZ247" i="3"/>
  <c r="AZ260" i="3"/>
  <c r="AZ264" i="3"/>
  <c r="AZ282" i="3"/>
  <c r="AZ285" i="3"/>
  <c r="AZ290" i="3"/>
  <c r="AZ293" i="3"/>
  <c r="AZ161" i="3"/>
  <c r="AZ177" i="3"/>
  <c r="AZ193" i="3"/>
  <c r="AZ49" i="3"/>
  <c r="AZ62" i="3"/>
  <c r="AZ65" i="3"/>
  <c r="AZ76" i="3"/>
  <c r="AZ81" i="3"/>
  <c r="AZ90" i="3"/>
  <c r="AZ96" i="3"/>
  <c r="AZ99" i="3"/>
  <c r="AZ106" i="3"/>
  <c r="AZ112" i="3"/>
  <c r="AZ36" i="3"/>
  <c r="T64" i="71"/>
  <c r="D64" i="71"/>
  <c r="P66" i="71"/>
  <c r="P65" i="71"/>
  <c r="D35" i="71"/>
  <c r="C36" i="71"/>
  <c r="B27" i="71"/>
  <c r="B26" i="71" s="1"/>
  <c r="S28" i="71"/>
  <c r="C39" i="71"/>
  <c r="D38" i="71"/>
  <c r="C43" i="71"/>
  <c r="D42" i="71"/>
  <c r="C47" i="71"/>
  <c r="D47" i="71" s="1"/>
  <c r="D46" i="71"/>
  <c r="C21" i="68"/>
  <c r="C26" i="71"/>
  <c r="D26" i="71" s="1"/>
  <c r="D27" i="71"/>
  <c r="F30" i="71"/>
  <c r="F31" i="71" s="1"/>
  <c r="F32" i="71" s="1"/>
  <c r="V32" i="71" s="1"/>
  <c r="Y9" i="71"/>
  <c r="Z9" i="71" s="1"/>
  <c r="Y10" i="71"/>
  <c r="Z10" i="71" s="1"/>
  <c r="AA9" i="71"/>
  <c r="AA10" i="71"/>
  <c r="S68" i="71"/>
  <c r="B67" i="71"/>
  <c r="AB24" i="71"/>
  <c r="Y21" i="71"/>
  <c r="Z21" i="71" s="1"/>
  <c r="AB23" i="71"/>
  <c r="AB21" i="71"/>
  <c r="Y18" i="71"/>
  <c r="Z18" i="71" s="1"/>
  <c r="Y14" i="71"/>
  <c r="Z14" i="71" s="1"/>
  <c r="AA17" i="71"/>
  <c r="V28" i="71"/>
  <c r="AA28" i="71"/>
  <c r="AA26" i="71"/>
  <c r="AB28" i="71"/>
  <c r="AB26" i="71"/>
  <c r="D80" i="71"/>
  <c r="D72" i="71"/>
  <c r="X28" i="71"/>
  <c r="X26" i="71"/>
  <c r="Y28" i="71"/>
  <c r="Z28" i="71" s="1"/>
  <c r="Y27" i="71"/>
  <c r="Z27" i="71" s="1"/>
  <c r="Y26" i="71"/>
  <c r="Z26" i="71" s="1"/>
  <c r="Y25" i="71"/>
  <c r="Z25" i="71" s="1"/>
  <c r="X35" i="71"/>
  <c r="X34" i="71"/>
  <c r="AA32" i="71"/>
  <c r="AA31" i="71"/>
  <c r="AA37" i="71"/>
  <c r="X9" i="71"/>
  <c r="X10" i="71"/>
  <c r="Y39" i="71"/>
  <c r="Z39" i="71" s="1"/>
  <c r="AA39" i="71"/>
  <c r="AB9" i="71"/>
  <c r="AB10" i="71"/>
  <c r="X22" i="71"/>
  <c r="AA24" i="71"/>
  <c r="AA22" i="71"/>
  <c r="X21" i="71"/>
  <c r="AA21" i="71"/>
  <c r="X18" i="71"/>
  <c r="AA18" i="71"/>
  <c r="X17" i="71"/>
  <c r="AB18" i="71"/>
  <c r="X14" i="71"/>
  <c r="AA13" i="71"/>
  <c r="Y17" i="71"/>
  <c r="Z17" i="71" s="1"/>
  <c r="AB17" i="71"/>
  <c r="X24" i="71"/>
  <c r="Y24" i="71"/>
  <c r="Z24" i="71" s="1"/>
  <c r="AB15" i="71"/>
  <c r="AA12" i="71"/>
  <c r="X11" i="71"/>
  <c r="AB11" i="71"/>
  <c r="AB14" i="71"/>
  <c r="Y12" i="71"/>
  <c r="Z12" i="71" s="1"/>
  <c r="Y13" i="71"/>
  <c r="Z13" i="71" s="1"/>
  <c r="Y23" i="71"/>
  <c r="Z23" i="71" s="1"/>
  <c r="Y22" i="71"/>
  <c r="Z22" i="71" s="1"/>
  <c r="AA23" i="71"/>
  <c r="X15" i="71"/>
  <c r="AA15" i="71"/>
  <c r="AA11" i="71"/>
  <c r="AA14" i="71"/>
  <c r="X13" i="71"/>
  <c r="X12" i="71"/>
  <c r="AB12" i="71"/>
  <c r="AB13" i="7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5" i="6"/>
  <c r="E64" i="39" s="1"/>
  <c r="E10" i="6"/>
  <c r="H16" i="1"/>
  <c r="P6" i="1"/>
  <c r="C13" i="12" s="1"/>
  <c r="P11" i="1"/>
  <c r="K14" i="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6" i="73"/>
  <c r="C16" i="15"/>
  <c r="D3" i="73"/>
  <c r="C36" i="68"/>
  <c r="D9" i="68"/>
  <c r="C16" i="67"/>
  <c r="D4" i="73"/>
  <c r="U25" i="33" l="1"/>
  <c r="H87" i="33"/>
  <c r="I87" i="33" s="1"/>
  <c r="J87" i="33" s="1"/>
  <c r="K87" i="33" s="1"/>
  <c r="L87" i="33" s="1"/>
  <c r="M87" i="33" s="1"/>
  <c r="F25" i="33"/>
  <c r="J25" i="33"/>
  <c r="E63" i="39"/>
  <c r="E59" i="40"/>
  <c r="N94" i="46"/>
  <c r="E26" i="43"/>
  <c r="J26" i="43"/>
  <c r="E13" i="6"/>
  <c r="E11" i="6"/>
  <c r="E60" i="39" s="1"/>
  <c r="E12" i="6"/>
  <c r="E57" i="40" s="1"/>
  <c r="S27" i="33"/>
  <c r="U27" i="33"/>
  <c r="AB27" i="33"/>
  <c r="AA17" i="33"/>
  <c r="S17" i="33"/>
  <c r="AC15" i="33"/>
  <c r="W15" i="33"/>
  <c r="F32" i="67"/>
  <c r="F60" i="67" s="1"/>
  <c r="F28" i="15"/>
  <c r="C28" i="15" s="1"/>
  <c r="F30" i="68"/>
  <c r="F52" i="9"/>
  <c r="F32" i="15"/>
  <c r="F60" i="15" s="1"/>
  <c r="F48" i="9"/>
  <c r="O52" i="9" s="1"/>
  <c r="M18" i="67"/>
  <c r="F31" i="12"/>
  <c r="C31" i="12" s="1"/>
  <c r="F30" i="69"/>
  <c r="D68" i="9"/>
  <c r="F30" i="11"/>
  <c r="M18" i="15"/>
  <c r="K16" i="1"/>
  <c r="K1" i="7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413" i="3"/>
  <c r="E435" i="3"/>
  <c r="E460" i="3"/>
  <c r="E491"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62" i="3"/>
  <c r="E113" i="3"/>
  <c r="E176" i="3"/>
  <c r="E158" i="3"/>
  <c r="E218" i="3"/>
  <c r="E287" i="3"/>
  <c r="E265" i="3"/>
  <c r="E308" i="3"/>
  <c r="E365" i="3"/>
  <c r="E326" i="3"/>
  <c r="E524" i="3"/>
  <c r="E22" i="3"/>
  <c r="E101" i="3"/>
  <c r="E83" i="3"/>
  <c r="E340" i="3"/>
  <c r="E81" i="3"/>
  <c r="E179" i="3"/>
  <c r="E222" i="3"/>
  <c r="E323" i="3"/>
  <c r="E373" i="3"/>
  <c r="E513"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64" i="3"/>
  <c r="E50" i="3"/>
  <c r="E20" i="3"/>
  <c r="E19" i="3"/>
  <c r="E154" i="3"/>
  <c r="E118" i="3"/>
  <c r="E264" i="3"/>
  <c r="E283" i="3"/>
  <c r="E309" i="3"/>
  <c r="E82" i="3"/>
  <c r="E521" i="3"/>
  <c r="E517" i="3"/>
  <c r="E504"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520"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S7" i="36" s="1"/>
  <c r="J7" i="37"/>
  <c r="H7" i="36"/>
  <c r="AB7" i="36" s="1"/>
  <c r="T36" i="36" s="1"/>
  <c r="G36" i="36" s="1"/>
  <c r="B66" i="71"/>
  <c r="N67" i="71"/>
  <c r="T36" i="71"/>
  <c r="D36" i="71"/>
  <c r="AA23" i="36"/>
  <c r="S23" i="36"/>
  <c r="AC23" i="36"/>
  <c r="W23" i="36"/>
  <c r="AB36" i="35"/>
  <c r="U36" i="35"/>
  <c r="AA27" i="37"/>
  <c r="S27" i="37"/>
  <c r="S11" i="35"/>
  <c r="AA11" i="35"/>
  <c r="S12" i="34"/>
  <c r="AA12" i="34"/>
  <c r="AC12" i="21"/>
  <c r="W12" i="21"/>
  <c r="BA5" i="3"/>
  <c r="E27" i="6" s="1"/>
  <c r="K26" i="6" s="1"/>
  <c r="M26" i="6" s="1"/>
  <c r="I26" i="6" s="1"/>
  <c r="S26" i="6" s="1"/>
  <c r="AZ558" i="3"/>
  <c r="AZ577" i="3"/>
  <c r="AC13" i="40"/>
  <c r="W13" i="40"/>
  <c r="AB32" i="36"/>
  <c r="U32" i="36"/>
  <c r="S34" i="35"/>
  <c r="AA34" i="35"/>
  <c r="AC34" i="35"/>
  <c r="W34" i="35"/>
  <c r="AA24" i="35"/>
  <c r="S24" i="35"/>
  <c r="W12" i="35"/>
  <c r="AC12" i="35"/>
  <c r="AA28" i="33"/>
  <c r="S28" i="33"/>
  <c r="AA27" i="21"/>
  <c r="S27" i="21"/>
  <c r="S29" i="33"/>
  <c r="AA29" i="33"/>
  <c r="U14" i="34"/>
  <c r="AB14" i="34"/>
  <c r="W32" i="34"/>
  <c r="AC32" i="34"/>
  <c r="AA40" i="37"/>
  <c r="S40" i="37"/>
  <c r="AB28" i="34"/>
  <c r="U28" i="34"/>
  <c r="D121" i="9"/>
  <c r="D7" i="52" s="1"/>
  <c r="D6" i="52"/>
  <c r="E11" i="71"/>
  <c r="E10" i="71" s="1"/>
  <c r="E9" i="71" s="1"/>
  <c r="E8" i="71" s="1"/>
  <c r="E7" i="71" s="1"/>
  <c r="E6" i="71" s="1"/>
  <c r="E5" i="71" s="1"/>
  <c r="V12" i="71"/>
  <c r="D43" i="71"/>
  <c r="C44" i="71"/>
  <c r="D39" i="71"/>
  <c r="C40" i="71"/>
  <c r="AB23" i="36"/>
  <c r="U23" i="36"/>
  <c r="W36" i="35"/>
  <c r="AC36" i="35"/>
  <c r="AZ498" i="3"/>
  <c r="AZ5" i="3" s="1"/>
  <c r="AZ511" i="3"/>
  <c r="AZ515" i="3"/>
  <c r="AZ534" i="3"/>
  <c r="U27" i="37"/>
  <c r="AB27" i="37"/>
  <c r="W11" i="35"/>
  <c r="AC11" i="35"/>
  <c r="W12" i="34"/>
  <c r="AC12" i="34"/>
  <c r="AC9" i="34"/>
  <c r="W9" i="34"/>
  <c r="S12" i="21"/>
  <c r="AA12" i="21"/>
  <c r="S13" i="40"/>
  <c r="AA13" i="40"/>
  <c r="U13" i="40"/>
  <c r="AB13" i="40"/>
  <c r="W12" i="37"/>
  <c r="AC12" i="37"/>
  <c r="S32" i="36"/>
  <c r="AA32" i="36"/>
  <c r="AB34" i="35"/>
  <c r="U34" i="35"/>
  <c r="AB24" i="35"/>
  <c r="U24" i="35"/>
  <c r="AC24" i="35"/>
  <c r="W24" i="35"/>
  <c r="AC28" i="33"/>
  <c r="W28" i="33"/>
  <c r="AB28" i="33"/>
  <c r="U28" i="33"/>
  <c r="AA46" i="21"/>
  <c r="S46" i="21"/>
  <c r="AC13" i="33"/>
  <c r="W13" i="33"/>
  <c r="AB31" i="33"/>
  <c r="U31" i="33"/>
  <c r="W30" i="34"/>
  <c r="AC30" i="34"/>
  <c r="S46" i="34"/>
  <c r="AA46" i="34"/>
  <c r="C15" i="71"/>
  <c r="T16" i="7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E69" i="39"/>
  <c r="F59" i="67"/>
  <c r="H7" i="37"/>
  <c r="AB7" i="37" s="1"/>
  <c r="T42" i="37" s="1"/>
  <c r="G42" i="37" s="1"/>
  <c r="S10" i="39"/>
  <c r="AA10" i="39"/>
  <c r="H7" i="33"/>
  <c r="J7" i="33"/>
  <c r="D65" i="40"/>
  <c r="E63" i="40"/>
  <c r="F48" i="35"/>
  <c r="AA7" i="36"/>
  <c r="R36" i="36" s="1"/>
  <c r="AC7" i="37"/>
  <c r="W7" i="37"/>
  <c r="F7" i="33"/>
  <c r="E58" i="21"/>
  <c r="AC7" i="36"/>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G1" i="73"/>
  <c r="F41" i="67"/>
  <c r="AE6" i="1"/>
  <c r="F27" i="68"/>
  <c r="AA25" i="33" l="1"/>
  <c r="S25" i="33"/>
  <c r="AC25" i="33"/>
  <c r="W25" i="33"/>
  <c r="H6" i="3"/>
  <c r="E65" i="39"/>
  <c r="AC6" i="3"/>
  <c r="E6" i="3" s="1"/>
  <c r="C48" i="11"/>
  <c r="C30" i="11"/>
  <c r="F48" i="69"/>
  <c r="C48" i="69"/>
  <c r="C30" i="69"/>
  <c r="F48" i="68"/>
  <c r="C48" i="68"/>
  <c r="C30" i="68"/>
  <c r="U7" i="36"/>
  <c r="B40" i="1"/>
  <c r="L36" i="43" s="1"/>
  <c r="L37" i="43" s="1"/>
  <c r="AY6" i="3"/>
  <c r="E3" i="6"/>
  <c r="T40" i="71"/>
  <c r="D40" i="71"/>
  <c r="T44" i="71"/>
  <c r="D44" i="71"/>
  <c r="N65" i="71"/>
  <c r="N66" i="71"/>
  <c r="B11" i="71"/>
  <c r="B10" i="71" s="1"/>
  <c r="B9" i="71" s="1"/>
  <c r="B8" i="71" s="1"/>
  <c r="B7" i="71" s="1"/>
  <c r="B6" i="71" s="1"/>
  <c r="B5" i="71" s="1"/>
  <c r="S12" i="71"/>
  <c r="V36" i="36"/>
  <c r="I36" i="36" s="1"/>
  <c r="V42" i="37"/>
  <c r="I42" i="37" s="1"/>
  <c r="I46" i="37" s="1"/>
  <c r="J46" i="37" s="1"/>
  <c r="C14" i="71"/>
  <c r="D15"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G48" i="35"/>
  <c r="U7" i="33"/>
  <c r="AB7" i="33"/>
  <c r="T48" i="33" s="1"/>
  <c r="G48" i="33" s="1"/>
  <c r="J24" i="67"/>
  <c r="C53" i="67"/>
  <c r="C48" i="67" s="1"/>
  <c r="C10" i="67"/>
  <c r="C5" i="67" s="1"/>
  <c r="C38" i="67" s="1"/>
  <c r="C53" i="15"/>
  <c r="C48" i="15" s="1"/>
  <c r="C66" i="15" s="1"/>
  <c r="C10" i="15"/>
  <c r="C5" i="15" s="1"/>
  <c r="C38" i="15" s="1"/>
  <c r="M27" i="67"/>
  <c r="M27" i="15"/>
  <c r="F41" i="15"/>
  <c r="F24" i="67" l="1"/>
  <c r="C24" i="67" s="1"/>
  <c r="F22" i="68"/>
  <c r="F25" i="12"/>
  <c r="C26" i="12" s="1"/>
  <c r="D25" i="12" s="1"/>
  <c r="F24" i="15"/>
  <c r="C24" i="15" s="1"/>
  <c r="F22" i="11"/>
  <c r="C44" i="11" s="1"/>
  <c r="D41" i="11" s="1"/>
  <c r="F22" i="69"/>
  <c r="F41" i="69" s="1"/>
  <c r="Q36" i="43"/>
  <c r="M36" i="43"/>
  <c r="P36" i="43"/>
  <c r="O36" i="43"/>
  <c r="N36" i="43"/>
  <c r="C13" i="71"/>
  <c r="D14" i="71"/>
  <c r="P37" i="43"/>
  <c r="M37" i="43"/>
  <c r="Q37" i="43"/>
  <c r="O37" i="43"/>
  <c r="N37" i="43"/>
  <c r="M21" i="6"/>
  <c r="I21" i="6" s="1"/>
  <c r="S21" i="6" s="1"/>
  <c r="E6" i="70"/>
  <c r="C34" i="43"/>
  <c r="E34" i="43" s="1"/>
  <c r="F69" i="15"/>
  <c r="E33" i="43"/>
  <c r="C6" i="68" s="1"/>
  <c r="C7" i="68" s="1"/>
  <c r="C5"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C23" i="68" l="1"/>
  <c r="H24" i="6"/>
  <c r="H22" i="6"/>
  <c r="C44" i="68"/>
  <c r="D41" i="68" s="1"/>
  <c r="C26" i="68"/>
  <c r="D22" i="68" s="1"/>
  <c r="C26" i="69"/>
  <c r="D22" i="69" s="1"/>
  <c r="F41" i="68"/>
  <c r="H25" i="6"/>
  <c r="C25" i="11"/>
  <c r="C44" i="69"/>
  <c r="D41" i="69" s="1"/>
  <c r="C23" i="11"/>
  <c r="C26" i="11"/>
  <c r="D22" i="11" s="1"/>
  <c r="C24" i="1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C34" i="68"/>
  <c r="E6" i="76"/>
  <c r="C14" i="15"/>
  <c r="C22" i="11" l="1"/>
  <c r="C31" i="11" s="1"/>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F35" i="67"/>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B3" i="68"/>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M24" i="43"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6"/>
  <c r="L51" i="15"/>
  <c r="C19" i="9"/>
  <c r="D2" i="34"/>
  <c r="D2" i="35"/>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AO7" i="1"/>
  <c r="AO8" i="1"/>
  <c r="AO11" i="1"/>
  <c r="AO12" i="1"/>
  <c r="AO10" i="1"/>
  <c r="AO9" i="1"/>
  <c r="C103" i="9" l="1"/>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20" i="9"/>
  <c r="D19" i="9"/>
  <c r="D21" i="9" l="1"/>
  <c r="D22" i="9"/>
  <c r="D102" i="9"/>
  <c r="G19" i="9"/>
  <c r="G21" i="9" s="1"/>
  <c r="B6" i="70"/>
  <c r="B2" i="70" s="1"/>
  <c r="B3" i="70" s="1"/>
  <c r="D103" i="9"/>
  <c r="G20"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B7" i="80"/>
  <c r="C42" i="40"/>
  <c r="C43" i="40"/>
  <c r="E47" i="40"/>
  <c r="F47" i="40" s="1"/>
  <c r="E46" i="40"/>
  <c r="F46" i="40" s="1"/>
  <c r="I47" i="40"/>
  <c r="J47" i="40" s="1"/>
  <c r="C7" i="80" l="1"/>
  <c r="B8" i="80" s="1"/>
  <c r="B9" i="80" s="1"/>
  <c r="D14" i="74"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86" i="9" l="1"/>
  <c r="C93" i="9"/>
  <c r="B53" i="72"/>
  <c r="F5" i="52"/>
  <c r="F119" i="9"/>
  <c r="N61" i="9"/>
  <c r="N59" i="9"/>
  <c r="N60" i="9"/>
  <c r="C5" i="74"/>
  <c r="B22" i="72"/>
  <c r="D6" i="53"/>
  <c r="M48" i="9"/>
  <c r="D54" i="9"/>
  <c r="C68" i="9"/>
  <c r="B47" i="72"/>
  <c r="D4" i="52"/>
  <c r="H5" i="52"/>
  <c r="H119" i="9"/>
  <c r="C73" i="9"/>
  <c r="C78" i="9"/>
  <c r="B31" i="72"/>
  <c r="D15" i="53"/>
  <c r="M54" i="9"/>
  <c r="C97" i="9"/>
  <c r="D58" i="9"/>
  <c r="D56" i="9"/>
  <c r="E81" i="9"/>
  <c r="E80" i="9"/>
  <c r="C80" i="9"/>
  <c r="B51" i="72"/>
  <c r="F4" i="52"/>
  <c r="C85" i="9"/>
  <c r="C95" i="9"/>
  <c r="C96" i="9"/>
  <c r="E96" i="9"/>
  <c r="E97" i="9"/>
  <c r="P57" i="9"/>
  <c r="D55" i="9"/>
  <c r="M53" i="9"/>
  <c r="N57" i="9"/>
  <c r="N58" i="9"/>
  <c r="B32" i="72"/>
  <c r="D14" i="53"/>
  <c r="D8" i="52"/>
  <c r="C72" i="9"/>
  <c r="C79" i="9"/>
  <c r="C81" i="9"/>
  <c r="H102" i="9"/>
  <c r="D7" i="53"/>
  <c r="B21" i="72"/>
  <c r="D5" i="53"/>
  <c r="B20" i="72"/>
  <c r="C105" i="9"/>
  <c r="I4" i="52"/>
  <c r="C104" i="9"/>
  <c r="H4" i="52"/>
  <c r="D52" i="9"/>
  <c r="D53" i="9"/>
  <c r="H108" i="9"/>
  <c r="C6" i="74"/>
  <c r="D13" i="53"/>
  <c r="B30" i="72"/>
  <c r="E4" i="52"/>
  <c r="B48" i="72"/>
  <c r="F118" i="9"/>
  <c r="G118" i="9"/>
  <c r="G4" i="52"/>
  <c r="B52" i="72"/>
  <c r="H107" i="9"/>
  <c r="D122" i="9"/>
  <c r="D123" i="9"/>
  <c r="D9" i="52"/>
  <c r="E118" i="9"/>
  <c r="D118" i="9"/>
  <c r="D119" i="9"/>
  <c r="D5" i="52"/>
  <c r="B49" i="72"/>
  <c r="I118" i="9"/>
  <c r="H118" i="9"/>
  <c r="H101" i="9"/>
  <c r="D45" i="9"/>
  <c r="C64" i="9"/>
  <c r="C63" i="9"/>
  <c r="C67" i="9"/>
  <c r="D59" i="9"/>
  <c r="M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6B65ED06-9105-4663-B40C-95A11339A05A}">
      <text>
        <r>
          <rPr>
            <b/>
            <sz val="9"/>
            <color indexed="81"/>
            <rFont val="宋体"/>
            <family val="3"/>
            <charset val="134"/>
          </rPr>
          <t>权重验证</t>
        </r>
        <r>
          <rPr>
            <sz val="9"/>
            <color indexed="81"/>
            <rFont val="宋体"/>
            <family val="3"/>
            <charset val="134"/>
          </rPr>
          <t xml:space="preserve">
</t>
        </r>
      </text>
    </comment>
    <comment ref="C58" authorId="1" shapeId="0" xr:uid="{C74BDD20-F72F-4CCD-AD74-F37C711F1437}">
      <text>
        <r>
          <rPr>
            <b/>
            <sz val="12"/>
            <color indexed="81"/>
            <rFont val="宋体"/>
            <family val="3"/>
            <charset val="134"/>
          </rPr>
          <t>价值时点所在月度</t>
        </r>
        <r>
          <rPr>
            <sz val="12"/>
            <color indexed="81"/>
            <rFont val="宋体"/>
            <family val="3"/>
            <charset val="134"/>
          </rPr>
          <t xml:space="preserve">
</t>
        </r>
      </text>
    </comment>
    <comment ref="B102" authorId="1" shapeId="0" xr:uid="{2C574D8D-E224-4027-9FCE-5941DD44F94C}">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<sst xmlns="http://schemas.openxmlformats.org/spreadsheetml/2006/main" count="8290" uniqueCount="3478">
  <si>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</si>
  <si>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</si>
  <si>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</si>
  <si>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</si>
  <si>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</si>
  <si>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</si>
  <si>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</si>
  <si>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</si>
  <si>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</si>
  <si>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</si>
  <si>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</si>
  <si>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</si>
  <si>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</si>
  <si>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</si>
  <si>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</si>
  <si>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</si>
  <si>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</si>
  <si>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</si>
  <si>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</si>
  <si>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</si>
  <si>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</si>
  <si>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</si>
  <si>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</si>
  <si>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</si>
  <si>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</si>
  <si>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</si>
  <si>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</si>
  <si>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</si>
  <si>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</si>
  <si>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</si>
  <si>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</si>
  <si>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</si>
  <si>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</si>
  <si>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</si>
  <si>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</si>
  <si>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</si>
  <si>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</si>
  <si>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</si>
  <si>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</si>
  <si>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</si>
  <si>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</si>
  <si>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</si>
  <si>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</si>
  <si>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</si>
  <si>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</si>
  <si>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</si>
  <si>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</si>
  <si>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</si>
  <si>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</si>
  <si>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</si>
  <si>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</si>
  <si>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</si>
  <si>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</si>
  <si>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</si>
  <si>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</si>
  <si>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</si>
  <si>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</si>
  <si>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</si>
  <si>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</si>
  <si>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</si>
  <si>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</si>
  <si>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</si>
  <si>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</si>
  <si>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</si>
  <si>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</si>
  <si>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</si>
  <si>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</si>
  <si>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</si>
  <si>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</si>
  <si>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</si>
  <si>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</si>
  <si>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</si>
  <si>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</si>
  <si>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</si>
  <si>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</si>
  <si>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</si>
  <si>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</si>
  <si>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</si>
  <si>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</si>
  <si>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</si>
  <si>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</si>
  <si>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</si>
  <si>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</si>
  <si>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</si>
  <si>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</si>
  <si>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</si>
  <si>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</si>
  <si>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</si>
  <si>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</si>
  <si>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</si>
  <si>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</si>
  <si>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</si>
  <si>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</si>
  <si>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</si>
  <si>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</si>
  <si>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</si>
  <si>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</si>
  <si>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</si>
  <si>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</si>
  <si>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</si>
  <si>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</si>
  <si>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</si>
  <si>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</si>
  <si>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</si>
  <si>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</si>
  <si>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</si>
  <si>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</si>
  <si>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</si>
  <si>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</si>
  <si>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</si>
  <si>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</si>
  <si>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</si>
  <si>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</si>
  <si>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</si>
  <si>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</si>
  <si>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</si>
  <si>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</si>
  <si>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</si>
  <si>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</si>
  <si>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</si>
  <si>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</si>
  <si>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</si>
  <si>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</si>
  <si>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</si>
  <si>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</si>
  <si>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</si>
  <si>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</si>
  <si>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</si>
  <si>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</si>
  <si>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</si>
  <si>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</si>
  <si>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</si>
  <si>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</si>
  <si>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</si>
  <si>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</si>
  <si>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</si>
  <si>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</si>
  <si>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</si>
  <si>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</si>
  <si>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</si>
  <si>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</si>
  <si>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</si>
  <si>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</si>
  <si>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</si>
  <si>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</si>
  <si>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</si>
  <si>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</si>
  <si>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</si>
  <si>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</si>
  <si>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</si>
  <si>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</si>
  <si>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</si>
  <si>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</si>
  <si>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</si>
  <si>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</si>
  <si>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</si>
  <si>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</si>
  <si>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</si>
  <si>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</si>
  <si>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</si>
  <si>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</si>
  <si>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</si>
  <si>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</si>
  <si>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</si>
  <si>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</si>
  <si>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</si>
  <si>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</si>
  <si>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</si>
  <si>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</si>
  <si>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</si>
  <si>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</si>
  <si>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</si>
  <si>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</si>
  <si>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</si>
  <si>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</si>
  <si>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</si>
  <si>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</si>
  <si>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</si>
  <si>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</si>
  <si>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</si>
  <si>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</si>
  <si>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</si>
  <si>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</si>
  <si>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</si>
  <si>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</si>
  <si>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</si>
  <si>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</si>
  <si>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</si>
  <si>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</si>
  <si>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</si>
  <si>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</si>
  <si>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</si>
  <si>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</si>
  <si>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</si>
  <si>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</si>
  <si>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</si>
  <si>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</si>
  <si>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</si>
  <si>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</si>
  <si>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</si>
  <si>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</si>
  <si>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</si>
  <si>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</si>
  <si>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</si>
  <si>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</si>
  <si>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</si>
  <si>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</si>
  <si>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</si>
  <si>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</si>
  <si>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</si>
  <si>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</si>
  <si>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</si>
  <si>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</si>
  <si>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</si>
  <si>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</si>
  <si>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</si>
  <si>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</si>
  <si>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</si>
  <si>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</si>
  <si>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</si>
  <si>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</si>
  <si>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</si>
  <si>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</si>
  <si>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</si>
  <si>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</si>
  <si>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</si>
  <si>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</si>
  <si>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</si>
  <si>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</si>
  <si>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</si>
  <si>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</si>
  <si>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</si>
  <si>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</si>
  <si>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</si>
  <si>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</si>
  <si>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</si>
  <si>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</si>
  <si>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</si>
  <si>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</si>
  <si>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</si>
  <si>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</si>
  <si>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</si>
  <si>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</si>
  <si>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</si>
  <si>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</si>
  <si>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</si>
  <si>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</si>
  <si>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</si>
  <si>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</si>
  <si>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</si>
  <si>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</si>
  <si>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</si>
  <si>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</si>
  <si>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</si>
  <si>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</si>
  <si>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</si>
  <si>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</si>
  <si>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</si>
  <si>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</si>
  <si>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</si>
  <si>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</si>
  <si>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</si>
  <si>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</si>
  <si>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</si>
  <si>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</si>
  <si>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</si>
  <si>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</si>
  <si>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</si>
  <si>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</si>
  <si>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</si>
  <si>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</si>
  <si>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</si>
  <si>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</si>
  <si>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</si>
  <si>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</si>
  <si>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</si>
  <si>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</si>
  <si>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</si>
  <si>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</si>
  <si>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</si>
  <si>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</si>
  <si>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</si>
  <si>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</si>
  <si>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</si>
  <si>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</si>
  <si>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</si>
  <si>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</si>
  <si>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</si>
  <si>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</si>
  <si>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</si>
  <si>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</si>
  <si>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</si>
  <si>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</si>
  <si>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</si>
  <si>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</si>
  <si>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</si>
  <si>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</si>
  <si>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</si>
  <si>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</si>
  <si>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</si>
  <si>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</si>
  <si>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</si>
  <si>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</si>
  <si>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</si>
  <si>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</si>
  <si>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</si>
  <si>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</si>
  <si>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</si>
  <si>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</si>
  <si>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</si>
  <si>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</si>
  <si>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</si>
  <si>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</si>
  <si>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</si>
  <si>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</si>
  <si>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</si>
  <si>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</si>
  <si>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</si>
  <si>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</si>
  <si>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</si>
  <si>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</si>
  <si>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</si>
  <si>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</si>
  <si>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</si>
  <si>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</si>
  <si>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</si>
  <si>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</si>
  <si>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</si>
  <si>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</si>
  <si>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</si>
  <si>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</si>
  <si>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</si>
  <si>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</si>
  <si>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</si>
  <si>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</si>
  <si>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</si>
  <si>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</si>
  <si>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</si>
  <si>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</si>
  <si>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</si>
  <si>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</si>
  <si>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</si>
  <si>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</si>
  <si>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</si>
  <si>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</si>
  <si>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</si>
  <si>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</si>
  <si>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</si>
  <si>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</si>
  <si>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</si>
  <si>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</si>
  <si>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</si>
  <si>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</si>
  <si>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</si>
  <si>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</si>
  <si>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</si>
  <si>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</si>
  <si>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</si>
  <si>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</si>
  <si>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</si>
  <si>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</si>
  <si>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</si>
  <si>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</si>
  <si>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</si>
  <si>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</si>
  <si>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</si>
  <si>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</si>
  <si>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</si>
  <si>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</si>
  <si>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</si>
  <si>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</si>
  <si>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</si>
  <si>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</si>
  <si>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</si>
  <si>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</si>
  <si>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</si>
  <si>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</si>
  <si>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</si>
  <si>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</si>
  <si>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</si>
  <si>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</si>
  <si>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</si>
  <si>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</si>
  <si>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</si>
  <si>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</si>
  <si>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</si>
  <si>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</si>
  <si>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</si>
  <si>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</si>
  <si>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</si>
  <si>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</si>
  <si>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</si>
  <si>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</si>
  <si>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</si>
  <si>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</si>
  <si>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</si>
  <si>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</si>
  <si>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</si>
  <si>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</si>
  <si>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</si>
  <si>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</si>
  <si>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</si>
  <si>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</si>
  <si>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</si>
  <si>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</si>
  <si>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</si>
  <si>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</si>
  <si>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</si>
  <si>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</si>
  <si>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</si>
  <si>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</si>
  <si>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</si>
  <si>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</si>
  <si>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</si>
  <si>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</si>
  <si>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</si>
  <si>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</si>
  <si>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</si>
  <si>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</si>
  <si>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</si>
  <si>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</si>
  <si>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</si>
  <si>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</si>
  <si>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</si>
  <si>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</si>
  <si>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</si>
  <si>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</si>
  <si>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</si>
  <si>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</si>
  <si>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</si>
  <si>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</si>
  <si>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</si>
  <si>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</si>
  <si>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</si>
  <si>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</si>
  <si>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</si>
  <si>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</si>
  <si>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</si>
  <si>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</si>
  <si>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</si>
  <si>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</si>
  <si>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</si>
  <si>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</si>
  <si>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</si>
  <si>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</si>
  <si>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</si>
  <si>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</si>
  <si>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</si>
  <si>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</si>
  <si>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</si>
  <si>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</si>
  <si>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</si>
  <si>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</si>
  <si>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</si>
  <si>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</si>
  <si>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</si>
  <si>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</si>
  <si>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</si>
  <si>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</si>
  <si>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</si>
  <si>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</si>
  <si>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</si>
  <si>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</si>
  <si>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</si>
  <si>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</si>
  <si>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</si>
  <si>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</si>
  <si>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</si>
  <si>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</si>
  <si>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</si>
  <si>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</si>
  <si>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</si>
  <si>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</si>
  <si>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</si>
  <si>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</si>
  <si>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</si>
  <si>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</si>
  <si>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</si>
  <si>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</si>
  <si>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</si>
  <si>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</si>
  <si>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</si>
  <si>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</si>
  <si>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</si>
  <si>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</si>
  <si>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</si>
  <si>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</si>
  <si>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</si>
  <si>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</si>
  <si>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</si>
  <si>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</si>
  <si>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</si>
  <si>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</si>
  <si>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</si>
  <si>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</si>
  <si>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</si>
  <si>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</si>
  <si>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</si>
  <si>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</si>
  <si>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</si>
  <si>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</si>
  <si>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</si>
  <si>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</si>
  <si>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</si>
  <si>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</si>
  <si>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</si>
  <si>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</si>
  <si>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</si>
  <si>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</si>
  <si>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</si>
  <si>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</si>
  <si>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</si>
  <si>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</si>
  <si>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</si>
  <si>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</si>
  <si>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</si>
  <si>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</si>
  <si>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</si>
  <si>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</si>
  <si>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</si>
  <si>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</si>
  <si>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</si>
  <si>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</si>
  <si>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</si>
  <si>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</si>
  <si>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</si>
  <si>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</si>
  <si>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</si>
  <si>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</si>
  <si>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</si>
  <si>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</si>
  <si>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</si>
  <si>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</si>
  <si>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</si>
  <si>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</si>
  <si>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</si>
  <si>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</si>
  <si>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</si>
  <si>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</si>
  <si>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</si>
  <si>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</si>
  <si>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</si>
  <si>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</si>
  <si>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</si>
  <si>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</si>
  <si>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</si>
  <si>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</si>
  <si>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</si>
  <si>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</si>
  <si>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</si>
  <si>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</si>
  <si>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</si>
  <si>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</si>
  <si>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</si>
  <si>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</si>
  <si>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</si>
  <si>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</si>
  <si>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</si>
  <si>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</si>
  <si>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</si>
  <si>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</si>
  <si>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</si>
  <si>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</si>
  <si>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</si>
  <si>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</si>
  <si>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</si>
  <si>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</si>
  <si>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</si>
  <si>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</si>
  <si>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</si>
  <si>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</si>
  <si>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</si>
  <si>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</si>
  <si>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</si>
  <si>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</si>
  <si>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</si>
  <si>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</si>
  <si>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</si>
  <si>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</si>
  <si>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</si>
  <si>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</si>
  <si>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</si>
  <si>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</si>
  <si>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</si>
  <si>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</si>
  <si>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</si>
  <si>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</si>
  <si>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</si>
  <si>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</si>
  <si>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</si>
  <si>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</si>
  <si>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</si>
  <si>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</si>
  <si>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</si>
  <si>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</si>
  <si>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</si>
  <si>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</si>
  <si>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</si>
  <si>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</si>
  <si>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</si>
  <si>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</si>
  <si>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</si>
  <si>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</si>
  <si>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</si>
  <si>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</si>
  <si>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</si>
  <si>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</si>
  <si>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</si>
  <si>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</si>
  <si>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</si>
  <si>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</si>
  <si>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</si>
  <si>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</si>
  <si>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</si>
  <si>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</si>
  <si>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</si>
  <si>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</si>
  <si>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</si>
  <si>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</si>
  <si>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</si>
  <si>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</si>
  <si>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</si>
  <si>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</si>
  <si>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</si>
  <si>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</si>
  <si>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</si>
  <si>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</si>
  <si>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</si>
  <si>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</si>
  <si>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</si>
  <si>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</si>
  <si>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</si>
  <si>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</si>
  <si>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</si>
  <si>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</si>
  <si>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</si>
  <si>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</si>
  <si>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</si>
  <si>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</si>
  <si>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</si>
  <si>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</si>
  <si>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</si>
  <si>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</si>
  <si>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</si>
  <si>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</si>
  <si>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</si>
  <si>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</si>
  <si>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</si>
  <si>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</si>
  <si>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</si>
  <si>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</si>
  <si>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</si>
  <si>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</si>
  <si>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</si>
  <si>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</si>
  <si>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</si>
  <si>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</si>
  <si>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</si>
  <si>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</si>
  <si>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</si>
  <si>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</si>
  <si>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</si>
  <si>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</si>
  <si>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</si>
  <si>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</si>
  <si>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</si>
  <si>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</si>
  <si>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</si>
  <si>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</si>
  <si>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</si>
  <si>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</si>
  <si>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</si>
  <si>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</si>
  <si>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</si>
  <si>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</si>
  <si>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</si>
  <si>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</si>
  <si>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</si>
  <si>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</si>
  <si>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</si>
  <si>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</si>
  <si>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</si>
  <si>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</si>
  <si>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</si>
  <si>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</si>
  <si>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</si>
  <si>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</si>
  <si>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</si>
  <si>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</si>
  <si>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</si>
  <si>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</si>
  <si>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</si>
  <si>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</si>
  <si>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</si>
  <si>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</si>
  <si>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</si>
  <si>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</si>
  <si>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</si>
  <si>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</si>
  <si>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</si>
  <si>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</si>
  <si>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</si>
  <si>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</si>
  <si>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</si>
  <si>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</si>
  <si>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</si>
  <si>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</si>
  <si>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</si>
  <si>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</si>
  <si>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</si>
  <si>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</si>
  <si>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</si>
  <si>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</si>
  <si>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</si>
  <si>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</si>
  <si>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</si>
  <si>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</si>
  <si>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</si>
  <si>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</si>
  <si>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</si>
  <si>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</si>
  <si>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</si>
  <si>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</si>
  <si>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</si>
  <si>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</si>
  <si>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</si>
  <si>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</si>
  <si>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</si>
  <si>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</si>
  <si>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</si>
  <si>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</si>
  <si>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</si>
  <si>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</si>
  <si>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</si>
  <si>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</si>
  <si>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</si>
  <si>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</si>
  <si>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</si>
  <si>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</si>
  <si>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</si>
  <si>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</si>
  <si>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</si>
  <si>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</si>
  <si>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</si>
  <si>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</si>
  <si>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</si>
  <si>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</si>
  <si>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</si>
  <si>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</si>
  <si>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</si>
  <si>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</si>
  <si>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</si>
  <si>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</si>
  <si>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</si>
  <si>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</si>
  <si>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</si>
  <si>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</si>
  <si>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</si>
  <si>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</si>
  <si>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</si>
  <si>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</si>
  <si>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</si>
  <si>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</si>
  <si>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</si>
  <si>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</si>
  <si>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</si>
  <si>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</si>
  <si>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</si>
  <si>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</si>
  <si>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</si>
  <si>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</si>
  <si>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</si>
  <si>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</si>
  <si>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</si>
  <si>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</si>
  <si>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</si>
  <si>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</si>
  <si>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</si>
  <si>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</si>
  <si>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</si>
  <si>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</si>
  <si>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</si>
  <si>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</si>
  <si>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</si>
  <si>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</si>
  <si>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</si>
  <si>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</si>
  <si>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</si>
  <si>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</si>
  <si>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</si>
  <si>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</si>
  <si>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</si>
  <si>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</si>
  <si>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</si>
  <si>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</si>
  <si>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</si>
  <si>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</si>
  <si>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</si>
  <si>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</si>
  <si>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</si>
  <si>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</si>
  <si>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</si>
  <si>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</si>
  <si>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</si>
  <si>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</si>
  <si>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</si>
  <si>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</si>
  <si>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</si>
  <si>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</si>
  <si>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</si>
  <si>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</si>
  <si>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</si>
  <si>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</si>
  <si>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</si>
  <si>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</si>
  <si>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</si>
  <si>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</si>
  <si>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</si>
  <si>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</si>
  <si>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</si>
  <si>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</si>
  <si>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</si>
  <si>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</si>
  <si>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</si>
  <si>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</si>
  <si>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</si>
  <si>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</si>
  <si>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</si>
  <si>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</si>
  <si>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</si>
  <si>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</si>
  <si>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</si>
  <si>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</si>
  <si>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</si>
  <si>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</si>
  <si>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</si>
  <si>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</si>
  <si>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</si>
  <si>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</si>
  <si>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</si>
  <si>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</si>
  <si>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</si>
  <si>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</si>
  <si>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</si>
  <si>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</si>
  <si>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</si>
  <si>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</si>
  <si>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</si>
  <si>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</si>
  <si>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</si>
  <si>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</si>
  <si>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</si>
  <si>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</si>
  <si>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</si>
  <si>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</si>
  <si>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</si>
  <si>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</si>
  <si>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</si>
  <si>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</si>
  <si>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</si>
  <si>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</si>
  <si>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</si>
  <si>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</si>
  <si>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</si>
  <si>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</si>
  <si>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</si>
  <si>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</si>
  <si>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</si>
  <si>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</si>
  <si>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</si>
  <si>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</si>
  <si>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</si>
  <si>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</si>
  <si>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</si>
  <si>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</si>
  <si>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</si>
  <si>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</si>
  <si>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</si>
  <si>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</si>
  <si>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</si>
  <si>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</si>
  <si>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</si>
  <si>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</si>
  <si>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</si>
  <si>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</si>
  <si>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</si>
  <si>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</si>
  <si>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</si>
  <si>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</si>
  <si>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</si>
  <si>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</si>
  <si>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</si>
  <si>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</si>
  <si>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</si>
  <si>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</si>
  <si>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</si>
  <si>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</si>
  <si>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</si>
  <si>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</si>
  <si>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</si>
  <si>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</si>
  <si>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</si>
  <si>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</si>
  <si>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</si>
  <si>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</si>
  <si>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</si>
  <si>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</si>
  <si>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</si>
  <si>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</si>
  <si>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</si>
  <si>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</si>
  <si>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</si>
  <si>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</si>
  <si>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</si>
  <si>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</si>
  <si>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</si>
  <si>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</si>
  <si>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</si>
  <si>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</si>
  <si>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</si>
  <si>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</si>
  <si>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</si>
  <si>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</si>
  <si>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</si>
  <si>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</si>
  <si>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</si>
  <si>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</si>
  <si>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</si>
  <si>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</si>
  <si>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</si>
  <si>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</si>
  <si>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</si>
  <si>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</si>
  <si>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</si>
  <si>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</si>
  <si>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</si>
  <si>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</si>
  <si>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</si>
  <si>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</si>
  <si>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</si>
  <si>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</si>
  <si>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</si>
  <si>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</si>
  <si>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</si>
  <si>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</si>
  <si>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</si>
  <si>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</si>
  <si>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</si>
  <si>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</si>
  <si>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</si>
  <si>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</si>
  <si>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</si>
  <si>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</si>
  <si>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</si>
  <si>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</si>
  <si>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</si>
  <si>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</si>
  <si>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</si>
  <si>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</si>
  <si>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</si>
  <si>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</si>
  <si>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</si>
  <si>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</si>
  <si>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</si>
  <si>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</si>
  <si>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</si>
  <si>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</si>
  <si>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</si>
  <si>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</si>
  <si>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</si>
  <si>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</si>
  <si>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</si>
  <si>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</si>
  <si>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</si>
  <si>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</si>
  <si>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</si>
  <si>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</si>
  <si>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</si>
  <si>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</si>
  <si>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</si>
  <si>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</si>
  <si>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</si>
  <si>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</si>
  <si>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</si>
  <si>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</si>
  <si>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</si>
  <si>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</si>
  <si>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</si>
  <si>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</si>
  <si>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</si>
  <si>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</si>
  <si>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</si>
  <si>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</si>
  <si>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</si>
  <si>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</si>
  <si>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</si>
  <si>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</si>
  <si>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</si>
  <si>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</si>
  <si>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</si>
  <si>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</si>
  <si>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</si>
  <si>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</si>
  <si>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</si>
  <si>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</si>
  <si>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</si>
  <si>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</si>
  <si>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</si>
  <si>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</si>
  <si>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</si>
  <si>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</si>
  <si>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</si>
  <si>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</si>
  <si>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</si>
  <si>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</si>
  <si>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</si>
  <si>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</si>
  <si>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</si>
  <si>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</si>
  <si>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</si>
  <si>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</si>
  <si>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</si>
  <si>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</si>
  <si>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</si>
  <si>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</si>
  <si>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</si>
  <si>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</si>
  <si>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</si>
  <si>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</si>
  <si>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</si>
  <si>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</si>
  <si>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</si>
  <si>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</si>
  <si>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</si>
  <si>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</si>
  <si>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</si>
  <si>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</si>
  <si>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</si>
  <si>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</si>
  <si>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</si>
  <si>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</si>
  <si>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</si>
  <si>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</si>
  <si>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</si>
  <si>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</si>
  <si>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</si>
  <si>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</si>
  <si>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</si>
  <si>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</si>
  <si>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</si>
  <si>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</si>
  <si>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</si>
  <si>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</si>
  <si>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</si>
  <si>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</si>
  <si>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</si>
  <si>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</si>
  <si>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</si>
  <si>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</si>
  <si>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</si>
  <si>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</si>
  <si>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</si>
  <si>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</si>
  <si>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</si>
  <si>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</si>
  <si>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</si>
  <si>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</si>
  <si>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</si>
  <si>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</si>
  <si>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</si>
  <si>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</si>
  <si>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</si>
  <si>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</si>
  <si>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</si>
  <si>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</si>
  <si>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</si>
  <si>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</si>
  <si>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</si>
  <si>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</si>
  <si>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</si>
  <si>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</si>
  <si>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</si>
  <si>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</si>
  <si>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</si>
  <si>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</si>
  <si>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</si>
  <si>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</si>
  <si>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</si>
  <si>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</si>
  <si>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</si>
  <si>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</si>
  <si>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</si>
  <si>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</si>
  <si>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</si>
  <si>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</si>
  <si>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</si>
  <si>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</si>
  <si>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</si>
  <si>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</si>
  <si>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</si>
  <si>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</si>
  <si>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</si>
  <si>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</si>
  <si>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</si>
  <si>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</si>
  <si>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</si>
  <si>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</si>
  <si>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</si>
  <si>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</si>
  <si>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</si>
  <si>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</si>
  <si>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</si>
  <si>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</si>
  <si>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</si>
  <si>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</si>
  <si>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</si>
  <si>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</si>
  <si>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</si>
  <si>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</si>
  <si>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</si>
  <si>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</si>
  <si>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</si>
  <si>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</si>
  <si>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</si>
  <si>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</si>
  <si>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</si>
  <si>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</si>
  <si>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</si>
  <si>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</si>
  <si>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</si>
  <si>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</si>
  <si>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</si>
  <si>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</si>
  <si>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</si>
  <si>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</si>
  <si>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</si>
  <si>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</si>
  <si>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</si>
  <si>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</si>
  <si>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</si>
  <si>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</si>
  <si>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</si>
  <si>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</si>
  <si>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</si>
  <si>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</si>
  <si>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</si>
  <si>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</si>
  <si>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</si>
  <si>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</si>
  <si>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</si>
  <si>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</si>
  <si>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</si>
  <si>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</si>
  <si>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</si>
  <si>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</si>
  <si>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</si>
  <si>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</si>
  <si>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</si>
  <si>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</si>
  <si>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</si>
  <si>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</si>
  <si>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</si>
  <si>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</si>
  <si>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</si>
  <si>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</si>
  <si>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</si>
  <si>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</si>
  <si>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</si>
  <si>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</si>
  <si>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</si>
  <si>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</si>
  <si>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</si>
  <si>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</si>
  <si>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</si>
  <si>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</si>
  <si>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</si>
  <si>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</si>
  <si>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</si>
  <si>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</si>
  <si>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</si>
  <si>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</si>
  <si>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</si>
  <si>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</si>
  <si>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</si>
  <si>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</si>
  <si>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</si>
  <si>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</si>
  <si>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</si>
  <si>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</si>
  <si>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</si>
  <si>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</si>
  <si>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</si>
  <si>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</si>
  <si>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</si>
  <si>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</si>
  <si>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</si>
  <si>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</si>
  <si>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</si>
  <si>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</si>
  <si>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</si>
  <si>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</si>
  <si>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</si>
  <si>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</si>
  <si>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</si>
  <si>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</si>
  <si>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</si>
  <si>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</si>
  <si>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</si>
  <si>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</si>
  <si>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</si>
  <si>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</si>
  <si>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</si>
  <si>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</si>
  <si>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</si>
  <si>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</si>
  <si>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</si>
  <si>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</si>
  <si>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</si>
  <si>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</si>
  <si>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</si>
  <si>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</si>
  <si>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</si>
  <si>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</si>
  <si>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</si>
  <si>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</si>
  <si>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</si>
  <si>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</si>
  <si>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</si>
  <si>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</si>
  <si>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</si>
  <si>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</si>
  <si>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</si>
  <si>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</si>
  <si>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</si>
  <si>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</si>
  <si>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</si>
  <si>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</si>
  <si>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</si>
  <si>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</si>
  <si>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</si>
  <si>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</si>
  <si>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</si>
  <si>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</si>
  <si>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</si>
  <si>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</si>
  <si>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</si>
  <si>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</si>
  <si>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</si>
  <si>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</si>
  <si>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</si>
  <si>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</si>
  <si>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</si>
  <si>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</si>
  <si>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</si>
  <si>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</si>
  <si>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</si>
  <si>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</si>
  <si>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</si>
  <si>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</si>
  <si>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</si>
  <si>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</si>
  <si>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</si>
  <si>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</si>
  <si>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</si>
  <si>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</si>
  <si>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</si>
  <si>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</si>
  <si>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</si>
  <si>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</si>
  <si>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</si>
  <si>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</si>
  <si>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</si>
  <si>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</si>
  <si>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</si>
  <si>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</si>
  <si>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</si>
  <si>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</si>
  <si>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</si>
  <si>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</si>
  <si>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</si>
  <si>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</si>
  <si>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</si>
  <si>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</si>
  <si>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</si>
  <si>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</si>
  <si>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</si>
  <si>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</si>
  <si>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</si>
  <si>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</si>
  <si>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</si>
  <si>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</si>
  <si>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</si>
  <si>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</si>
  <si>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</si>
  <si>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</si>
  <si>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</si>
  <si>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</si>
  <si>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</si>
  <si>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</si>
  <si>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</si>
  <si>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</si>
  <si>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</si>
  <si>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</si>
  <si>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</si>
  <si>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</si>
  <si>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</si>
  <si>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</si>
  <si>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</si>
  <si>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</si>
  <si>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</si>
  <si>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</si>
  <si>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</si>
  <si>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</si>
  <si>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</si>
  <si>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</si>
  <si>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</si>
  <si>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</si>
  <si>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</si>
  <si>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</si>
  <si>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</si>
  <si>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</si>
  <si>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</si>
  <si>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</si>
  <si>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</si>
  <si>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</si>
  <si>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</si>
  <si>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</si>
  <si>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</si>
  <si>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</si>
  <si>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</si>
  <si>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</si>
  <si>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</si>
  <si>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</si>
  <si>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</si>
  <si>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</si>
  <si>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</si>
  <si>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</si>
  <si>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</si>
  <si>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</si>
  <si>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</si>
  <si>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</si>
  <si>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</si>
  <si>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</si>
  <si>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</si>
  <si>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</si>
  <si>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</si>
  <si>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</si>
  <si>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</si>
  <si>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</si>
  <si>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</si>
  <si>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</si>
  <si>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</si>
  <si>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</si>
  <si>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</si>
  <si>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</si>
  <si>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</si>
  <si>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</si>
  <si>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</si>
  <si>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</si>
  <si>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</si>
  <si>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</si>
  <si>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</si>
  <si>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</si>
  <si>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</si>
  <si>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</si>
  <si>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</si>
  <si>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</si>
  <si>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</si>
  <si>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</si>
  <si>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</si>
  <si>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</si>
  <si>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</si>
  <si>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</si>
  <si>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</si>
  <si>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</si>
  <si>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</si>
  <si>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</si>
  <si>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</si>
  <si>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</si>
  <si>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</si>
  <si>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</si>
  <si>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</si>
  <si>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</si>
  <si>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</si>
  <si>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</si>
  <si>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</si>
  <si>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</si>
  <si>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</si>
  <si>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</si>
  <si>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</si>
  <si>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</si>
  <si>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</si>
  <si>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</si>
  <si>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</si>
  <si>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</si>
  <si>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</si>
  <si>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</si>
  <si>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</si>
  <si>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</si>
  <si>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</si>
  <si>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</si>
  <si>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</si>
  <si>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</si>
  <si>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</si>
  <si>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</si>
  <si>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</si>
  <si>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</si>
  <si>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</si>
  <si>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</si>
  <si>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</si>
  <si>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</si>
  <si>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</si>
  <si>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</si>
  <si>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</si>
  <si>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</si>
  <si>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</si>
  <si>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</si>
  <si>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</si>
  <si>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</si>
  <si>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</si>
  <si>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</si>
  <si>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</si>
  <si>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</si>
  <si>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</si>
  <si>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</si>
  <si>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</si>
  <si>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</si>
  <si>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</si>
  <si>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</si>
  <si>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</si>
  <si>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</si>
  <si>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</si>
  <si>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</si>
  <si>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</si>
  <si>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</si>
  <si>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</si>
  <si>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</si>
  <si>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</si>
  <si>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</si>
  <si>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</si>
  <si>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</si>
  <si>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</si>
  <si>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</si>
  <si>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</si>
  <si>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</si>
  <si>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</si>
  <si>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</si>
  <si>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</si>
  <si>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</si>
  <si>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</si>
  <si>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</si>
  <si>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</si>
  <si>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</si>
  <si>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</si>
  <si>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</si>
  <si>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</si>
  <si>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</si>
  <si>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</si>
  <si>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</si>
  <si>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</si>
  <si>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</si>
  <si>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</si>
  <si>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</si>
  <si>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</si>
  <si>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</si>
  <si>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</si>
  <si>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</si>
  <si>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</si>
  <si>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</si>
  <si>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</si>
  <si>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</si>
  <si>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</si>
  <si>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</si>
  <si>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</si>
  <si>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</si>
  <si>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</si>
  <si>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</si>
  <si>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</si>
  <si>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</si>
  <si>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</si>
  <si>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</si>
  <si>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</si>
  <si>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</si>
  <si>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</si>
  <si>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</si>
  <si>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</si>
  <si>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</si>
  <si>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</si>
  <si>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</si>
  <si>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</si>
  <si>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</si>
  <si>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</si>
  <si>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</si>
  <si>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</si>
  <si>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</si>
  <si>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</si>
  <si>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</si>
  <si>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</si>
  <si>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</si>
  <si>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</si>
  <si>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</si>
  <si>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</si>
  <si>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</si>
  <si>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</si>
  <si>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</si>
  <si>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</si>
  <si>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</si>
  <si>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</si>
  <si>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</si>
  <si>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</si>
  <si>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</si>
  <si>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</si>
  <si>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</si>
  <si>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</si>
  <si>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</si>
  <si>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</si>
  <si>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</si>
  <si>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</si>
  <si>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</si>
  <si>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</si>
  <si>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</si>
  <si>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</si>
  <si>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</si>
  <si>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</si>
  <si>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</si>
  <si>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</si>
  <si>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</si>
  <si>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</si>
  <si>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</si>
  <si>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</si>
  <si>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</si>
  <si>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</si>
  <si>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</si>
  <si>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</si>
  <si>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</si>
  <si>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</si>
  <si>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</si>
  <si>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</si>
  <si>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</si>
  <si>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</si>
  <si>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</si>
  <si>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</si>
  <si>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</si>
  <si>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</si>
  <si>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</si>
  <si>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</si>
  <si>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</si>
  <si>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</si>
  <si>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</si>
  <si>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</si>
  <si>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</si>
  <si>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</si>
  <si>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</si>
  <si>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</si>
  <si>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</si>
  <si>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</si>
  <si>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</si>
  <si>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</si>
  <si>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</si>
  <si>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</si>
  <si>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</si>
  <si>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</si>
  <si>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</si>
  <si>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</si>
  <si>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</si>
  <si>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</si>
  <si>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</si>
  <si>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</si>
  <si>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</si>
  <si>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</si>
  <si>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</si>
  <si>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</si>
  <si>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</si>
  <si>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</si>
  <si>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</si>
  <si>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</si>
  <si>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</si>
  <si>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</si>
  <si>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</si>
  <si>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</si>
  <si>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</si>
  <si>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</si>
  <si>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</si>
  <si>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</si>
  <si>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</si>
  <si>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</si>
  <si>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</si>
  <si>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</si>
  <si>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</si>
  <si>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</si>
  <si>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</si>
  <si>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</si>
  <si>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</si>
  <si>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</si>
  <si>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</si>
  <si>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</si>
  <si>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</si>
  <si>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</si>
  <si>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</si>
  <si>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</si>
  <si>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</si>
  <si>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</si>
  <si>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</si>
  <si>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</si>
  <si>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</si>
  <si>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</si>
  <si>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</si>
  <si>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</si>
  <si>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</si>
  <si>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</si>
  <si>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</si>
  <si>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</si>
  <si>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</si>
  <si>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</si>
  <si>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</si>
  <si>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</si>
  <si>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</si>
  <si>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</si>
  <si>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</si>
  <si>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</si>
  <si>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</si>
  <si>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</si>
  <si>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</si>
  <si>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</si>
  <si>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</si>
  <si>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</si>
  <si>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</si>
  <si>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</si>
  <si>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</si>
  <si>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</si>
  <si>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</si>
  <si>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</si>
  <si>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</si>
  <si>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</si>
  <si>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</si>
  <si>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</si>
  <si>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</si>
  <si>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</si>
  <si>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</si>
  <si>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</si>
  <si>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</si>
  <si>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</si>
  <si>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</si>
  <si>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</si>
  <si>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</si>
  <si>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</si>
  <si>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</si>
  <si>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</si>
  <si>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</si>
  <si>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</si>
  <si>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</si>
  <si>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</si>
  <si>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</si>
  <si>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</si>
  <si>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</si>
  <si>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</si>
  <si>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</si>
  <si>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</si>
  <si>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</si>
  <si>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</si>
  <si>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</si>
  <si>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</si>
  <si>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</si>
  <si>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</si>
  <si>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</si>
  <si>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</si>
  <si>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</si>
  <si>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</si>
  <si>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</si>
  <si>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</si>
  <si>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</si>
  <si>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</si>
  <si>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</si>
  <si>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</si>
  <si>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</si>
  <si>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</si>
  <si>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</si>
  <si>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</si>
  <si>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</si>
  <si>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</si>
  <si>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</si>
  <si>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</si>
  <si>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</si>
  <si>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</si>
  <si>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</si>
  <si>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</si>
  <si>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</si>
  <si>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</si>
  <si>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</si>
  <si>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</si>
  <si>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</si>
  <si>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</si>
  <si>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</si>
  <si>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</si>
  <si>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</si>
  <si>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</si>
  <si>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</si>
  <si>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</si>
  <si>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</si>
  <si>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</si>
  <si>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</si>
  <si>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</si>
  <si>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</si>
  <si>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</si>
  <si>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</si>
  <si>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</si>
  <si>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</si>
  <si>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</si>
  <si>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</si>
  <si>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</si>
  <si>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</si>
  <si>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</si>
  <si>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</si>
  <si>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</si>
  <si>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</si>
  <si>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</si>
  <si>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</si>
  <si>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</si>
  <si>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</si>
  <si>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</si>
  <si>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</si>
  <si>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</si>
  <si>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</si>
  <si>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</si>
  <si>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</si>
  <si>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</si>
  <si>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</si>
  <si>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</si>
  <si>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</si>
  <si>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</si>
  <si>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</si>
  <si>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</si>
  <si>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</si>
  <si>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</si>
  <si>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</si>
  <si>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</si>
  <si>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</si>
  <si>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</si>
  <si>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</si>
  <si>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</si>
  <si>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</si>
  <si>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</si>
  <si>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</si>
  <si>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</si>
  <si>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</si>
  <si>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</si>
  <si>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</si>
  <si>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</si>
  <si>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</si>
  <si>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</si>
  <si>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</si>
  <si>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</si>
  <si>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</si>
  <si>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</si>
  <si>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</si>
  <si>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</si>
  <si>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</si>
  <si>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</si>
  <si>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</si>
  <si>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</si>
  <si>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</si>
  <si>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</si>
  <si>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</si>
  <si>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</si>
  <si>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</si>
  <si>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</si>
  <si>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</si>
  <si>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</si>
  <si>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</si>
  <si>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</si>
  <si>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</si>
  <si>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</si>
  <si>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</si>
  <si>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</si>
  <si>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</si>
  <si>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</si>
  <si>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</si>
  <si>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</si>
  <si>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</si>
  <si>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</si>
  <si>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</si>
  <si>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</si>
  <si>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</si>
  <si>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</si>
  <si>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</si>
  <si>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</si>
  <si>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</si>
  <si>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</si>
  <si>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</si>
  <si>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</si>
  <si>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</si>
  <si>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</si>
  <si>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</si>
  <si>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</si>
  <si>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</si>
  <si>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</si>
  <si>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</si>
  <si>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</si>
  <si>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</si>
  <si>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</si>
  <si>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</si>
  <si>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</si>
  <si>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</si>
  <si>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</si>
  <si>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</si>
  <si>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</si>
  <si>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</si>
  <si>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</si>
  <si>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</si>
  <si>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</si>
  <si>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</si>
  <si>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</si>
  <si>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</si>
  <si>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</si>
  <si>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</si>
  <si>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</si>
  <si>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</si>
  <si>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</si>
  <si>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</si>
  <si>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</si>
  <si>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</si>
  <si>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</si>
  <si>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</si>
  <si>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</si>
  <si>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</si>
  <si>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</si>
  <si>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</si>
  <si>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</si>
  <si>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</si>
  <si>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</si>
  <si>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</si>
  <si>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</si>
  <si>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</si>
  <si>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</si>
  <si>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</si>
  <si>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</si>
  <si>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</si>
  <si>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</si>
  <si>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</si>
  <si>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</si>
  <si>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</si>
  <si>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</si>
  <si>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</si>
  <si>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</si>
  <si>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</si>
  <si>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</si>
  <si>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</si>
  <si>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</si>
  <si>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</si>
  <si>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</si>
  <si>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</si>
  <si>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</si>
  <si>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</si>
  <si>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</si>
  <si>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</si>
  <si>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</si>
  <si>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</si>
  <si>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</si>
  <si>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</si>
  <si>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</si>
  <si>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</si>
  <si>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</si>
  <si>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</si>
  <si>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</si>
  <si>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</si>
  <si>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</si>
  <si>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</si>
  <si>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</si>
  <si>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</si>
  <si>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</si>
  <si>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</si>
  <si>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</si>
  <si>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</si>
  <si>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</si>
  <si>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</si>
  <si>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</si>
  <si>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</si>
  <si>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</si>
  <si>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</si>
  <si>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</si>
  <si>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</si>
  <si>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</si>
  <si>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</si>
  <si>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</si>
  <si>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</si>
  <si>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</si>
  <si>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</si>
  <si>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</si>
  <si>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</si>
  <si>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</si>
  <si>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</si>
  <si>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</si>
  <si>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</si>
  <si>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</si>
  <si>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</si>
  <si>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</si>
  <si>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</si>
  <si>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</si>
  <si>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</si>
  <si>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</si>
  <si>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</si>
  <si>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</si>
  <si>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</si>
  <si>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</si>
  <si>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</si>
  <si>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</si>
  <si>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</si>
  <si>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</si>
  <si>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</si>
  <si>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</si>
  <si>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</si>
  <si>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</si>
  <si>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</si>
  <si>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</si>
  <si>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</si>
  <si>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</si>
  <si>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</si>
  <si>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</si>
  <si>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</si>
  <si>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</si>
  <si>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</si>
  <si>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</si>
  <si>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</si>
  <si>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</si>
  <si>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</si>
  <si>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</si>
  <si>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</si>
  <si>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</si>
  <si>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</si>
  <si>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</si>
  <si>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</si>
  <si>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</si>
  <si>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</si>
  <si>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</si>
  <si>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</si>
  <si>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</si>
  <si>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</si>
  <si>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</si>
  <si>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</si>
  <si>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</si>
  <si>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</si>
  <si>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</si>
  <si>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</si>
  <si>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</si>
  <si>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</si>
  <si>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</si>
  <si>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</si>
  <si>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</si>
  <si>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</si>
  <si>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</si>
  <si>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</si>
  <si>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</si>
  <si>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</si>
  <si>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</si>
  <si>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</si>
  <si>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</si>
  <si>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</si>
  <si>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</si>
  <si>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</si>
  <si>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</si>
  <si>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</si>
  <si>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</si>
  <si>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</si>
  <si>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</si>
  <si>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</si>
  <si>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</si>
  <si>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</si>
  <si>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</si>
  <si>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</si>
  <si>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</si>
  <si>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</si>
  <si>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</si>
  <si>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</si>
  <si>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</si>
  <si>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</si>
  <si>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</si>
  <si>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</si>
  <si>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</si>
  <si>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</si>
  <si>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</si>
  <si>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</si>
  <si>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</si>
  <si>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</si>
  <si>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</si>
  <si>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</si>
  <si>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</si>
  <si>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</si>
  <si>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</si>
  <si>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</si>
  <si>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</si>
  <si>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</si>
  <si>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</si>
  <si>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</si>
  <si>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</si>
  <si>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</si>
  <si>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</si>
  <si>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</si>
  <si>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</si>
  <si>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</si>
  <si>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</si>
  <si>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</si>
  <si>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</si>
  <si>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</si>
  <si>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</si>
  <si>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</si>
  <si>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</si>
  <si>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</si>
  <si>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</si>
  <si>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</si>
  <si>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</si>
  <si>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</si>
  <si>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</si>
  <si>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</si>
  <si>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</si>
  <si>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</si>
  <si>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</si>
  <si>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</si>
  <si>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</si>
  <si>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</si>
  <si>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</si>
  <si>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</si>
  <si>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</si>
  <si>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</si>
  <si>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</si>
  <si>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</si>
  <si>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</si>
  <si>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</si>
  <si>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</si>
  <si>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</si>
  <si>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</si>
  <si>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</si>
  <si>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</si>
  <si>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</si>
  <si>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</si>
  <si>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</si>
  <si>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</si>
  <si>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</si>
  <si>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</si>
  <si>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</si>
  <si>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</si>
  <si>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</si>
  <si>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</si>
  <si>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</si>
  <si>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</si>
  <si>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</si>
  <si>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</si>
  <si>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</si>
  <si>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</si>
  <si>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</si>
  <si>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</si>
  <si>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</si>
  <si>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</si>
  <si>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</si>
  <si>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</si>
  <si>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</si>
  <si>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</si>
  <si>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</si>
  <si>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</si>
  <si>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</si>
  <si>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</si>
  <si>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</si>
  <si>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</si>
  <si>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</si>
  <si>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</si>
  <si>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</si>
  <si>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</si>
  <si>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</si>
  <si>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</si>
  <si>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</si>
  <si>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</si>
  <si>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</si>
  <si>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</si>
  <si>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</si>
  <si>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</si>
  <si>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</si>
  <si>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</si>
  <si>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</si>
  <si>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</si>
  <si>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</si>
  <si>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</si>
  <si>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</si>
  <si>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</si>
  <si>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</si>
  <si>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</si>
  <si>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</si>
  <si>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</si>
  <si>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</si>
  <si>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</si>
  <si>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</si>
  <si>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</si>
  <si>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</si>
  <si>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</si>
  <si>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</si>
  <si>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</si>
  <si>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</si>
  <si>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</si>
  <si>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</si>
  <si>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</si>
  <si>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</si>
  <si>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</si>
  <si>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</si>
  <si>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</si>
  <si>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</si>
  <si>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</si>
  <si>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</si>
  <si>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</si>
  <si>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</si>
  <si>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</si>
  <si>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</si>
  <si>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</si>
  <si>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</si>
  <si>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</si>
  <si>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</si>
  <si>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</si>
  <si>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</si>
  <si>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</si>
  <si>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</si>
  <si>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</si>
  <si>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</si>
  <si>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</si>
  <si>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</si>
  <si>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</si>
  <si>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</si>
  <si>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</si>
  <si>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</si>
  <si>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</si>
  <si>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</si>
  <si>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</si>
  <si>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</si>
  <si>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</si>
  <si>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</si>
  <si>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</si>
  <si>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</si>
  <si>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</si>
  <si>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</si>
  <si>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</si>
  <si>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</si>
  <si>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</si>
  <si>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</si>
  <si>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</si>
  <si>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</si>
  <si>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</si>
  <si>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</si>
  <si>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</si>
  <si>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</si>
  <si>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</si>
  <si>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</si>
  <si>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</si>
  <si>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</si>
  <si>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</si>
  <si>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</si>
  <si>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</si>
  <si>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</si>
  <si>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</si>
  <si>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</si>
  <si>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</si>
  <si>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</si>
  <si>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</si>
  <si>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</si>
  <si>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</si>
  <si>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</si>
  <si>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</si>
  <si>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</si>
  <si>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</si>
  <si>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</si>
  <si>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</si>
  <si>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</si>
  <si>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</si>
  <si>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</si>
  <si>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</si>
  <si>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</si>
  <si>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</si>
  <si>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</si>
  <si>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</si>
  <si>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</si>
  <si>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</si>
  <si>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</si>
  <si>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</si>
  <si>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</si>
  <si>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</si>
  <si>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</si>
  <si>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</si>
  <si>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</si>
  <si>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</si>
  <si>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</si>
  <si>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</si>
  <si>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</si>
  <si>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</si>
  <si>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</si>
  <si>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</si>
  <si>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</si>
  <si>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</si>
  <si>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</si>
  <si>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</si>
  <si>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</si>
  <si>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</si>
  <si>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</si>
  <si>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</si>
  <si>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</si>
  <si>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</si>
  <si>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</si>
  <si>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</si>
  <si>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</si>
  <si>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</si>
  <si>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</si>
  <si>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</si>
  <si>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</si>
  <si>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</si>
  <si>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</si>
  <si>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</si>
  <si>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</si>
  <si>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</si>
  <si>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</si>
  <si>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</si>
  <si>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</si>
  <si>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</si>
  <si>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</si>
  <si>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</si>
  <si>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</si>
  <si>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</si>
  <si>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</si>
  <si>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</si>
  <si>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</si>
  <si>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</si>
  <si>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</si>
  <si>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</si>
  <si>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</si>
  <si>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</si>
  <si>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</si>
  <si>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</si>
  <si>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</si>
  <si>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</si>
  <si>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</si>
  <si>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</si>
  <si>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</si>
  <si>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</si>
  <si>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</si>
  <si>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</si>
  <si>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</si>
  <si>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</si>
  <si>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</si>
  <si>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</si>
  <si>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</si>
  <si>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</si>
  <si>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</si>
  <si>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</si>
  <si>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</si>
  <si>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</si>
  <si>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</si>
  <si>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</si>
  <si>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</si>
  <si>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</si>
  <si>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</si>
  <si>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</si>
  <si>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</si>
  <si>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</si>
  <si>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</si>
  <si>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</si>
  <si>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</si>
  <si>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</si>
  <si>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</si>
  <si>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</si>
  <si>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</si>
  <si>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</si>
  <si>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</si>
  <si>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</si>
  <si>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</si>
  <si>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</si>
  <si>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</si>
  <si>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</si>
  <si>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</si>
  <si>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</si>
  <si>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</si>
  <si>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</si>
  <si>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</si>
  <si>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</si>
  <si>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</si>
  <si>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</si>
  <si>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</si>
  <si>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</si>
  <si>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</si>
  <si>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</si>
  <si>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</si>
  <si>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</si>
  <si>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</si>
  <si>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</si>
  <si>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</si>
  <si>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</si>
  <si>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</si>
  <si>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</si>
  <si>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</si>
  <si>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</si>
  <si>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</si>
  <si>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</si>
  <si>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</si>
  <si>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</si>
  <si>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</si>
  <si>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</si>
  <si>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</si>
  <si>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</si>
  <si>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</si>
  <si>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</si>
  <si>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</si>
  <si>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</si>
  <si>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</si>
  <si>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</si>
  <si>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</si>
  <si>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</si>
  <si>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</si>
  <si>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</si>
  <si>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</si>
  <si>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</si>
  <si>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</si>
  <si>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</si>
  <si>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</si>
  <si>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</si>
  <si>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</si>
  <si>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</si>
  <si>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</si>
  <si>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</si>
  <si>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</si>
  <si>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</si>
  <si>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</si>
  <si>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</si>
  <si>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</si>
  <si>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</si>
  <si>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</si>
  <si>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</si>
  <si>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</si>
  <si>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</si>
  <si>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</si>
  <si>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</si>
  <si>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</si>
  <si>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</si>
  <si>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</si>
  <si>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</si>
  <si>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</si>
  <si>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</si>
  <si>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</si>
  <si>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</si>
  <si>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</si>
  <si>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</si>
  <si>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</si>
  <si>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</si>
  <si>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</si>
  <si>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</si>
  <si>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</si>
  <si>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</si>
  <si>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</si>
  <si>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</si>
  <si>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</si>
  <si>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</si>
  <si>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</si>
  <si>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</si>
  <si>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</si>
  <si>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</si>
  <si>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</si>
  <si>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</si>
  <si>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</si>
  <si>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</si>
  <si>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</si>
  <si>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</si>
  <si>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</si>
  <si>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</si>
  <si>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</si>
  <si>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</si>
  <si>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</si>
  <si>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</si>
  <si>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</si>
  <si>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</si>
  <si>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</si>
  <si>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</si>
  <si>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</si>
  <si>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</si>
  <si>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</si>
  <si>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</si>
  <si>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</si>
  <si>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</si>
  <si>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</si>
  <si>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</si>
  <si>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</si>
  <si>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</si>
  <si>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</si>
  <si>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</si>
  <si>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</si>
  <si>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</si>
  <si>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</si>
  <si>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</si>
  <si>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</si>
  <si>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</si>
  <si>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</si>
  <si>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</si>
  <si>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</si>
  <si>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</si>
  <si>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</si>
  <si>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</si>
  <si>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</si>
  <si>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</si>
  <si>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</si>
  <si>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</si>
  <si>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</si>
  <si>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</si>
  <si>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</si>
  <si>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</si>
  <si>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</si>
  <si>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</si>
  <si>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</si>
  <si>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</si>
  <si>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</si>
  <si>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</si>
  <si>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</si>
  <si>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</si>
  <si>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</si>
  <si>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</si>
  <si>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</si>
  <si>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</si>
  <si>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</si>
  <si>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</si>
  <si>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</si>
  <si>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</si>
  <si>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</si>
  <si>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</si>
  <si>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</si>
  <si>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</si>
  <si>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</si>
  <si>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</si>
  <si>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</si>
  <si>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</si>
  <si>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</si>
  <si>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</si>
  <si>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</si>
  <si>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</si>
  <si>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</si>
  <si>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</si>
  <si>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</si>
  <si>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</si>
  <si>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</si>
  <si>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</si>
  <si>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</si>
  <si>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</si>
  <si>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</si>
  <si>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</si>
  <si>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</si>
  <si>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</si>
  <si>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</si>
  <si>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</si>
  <si>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</si>
  <si>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</si>
  <si>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</si>
  <si>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</si>
  <si>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</si>
  <si>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</si>
  <si>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</si>
  <si>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</si>
  <si>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</si>
  <si>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</si>
  <si>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</si>
  <si>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</si>
  <si>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</si>
  <si>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</si>
  <si>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</si>
  <si>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</si>
  <si>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</si>
  <si>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</si>
  <si>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</si>
  <si>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</si>
  <si>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</si>
  <si>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</si>
  <si>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</si>
  <si>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</si>
  <si>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</si>
  <si>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</si>
  <si>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</si>
  <si>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</si>
  <si>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</si>
  <si>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</si>
  <si>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</si>
  <si>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</si>
  <si>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</si>
  <si>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</si>
  <si>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</si>
  <si>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</si>
  <si>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</si>
  <si>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</si>
  <si>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</si>
  <si>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</si>
  <si>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</si>
  <si>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</si>
  <si>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</si>
  <si>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</si>
  <si>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</si>
  <si>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</si>
  <si>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</si>
  <si>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</si>
  <si>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</si>
  <si>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</si>
  <si>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</si>
  <si>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</si>
  <si>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</si>
  <si>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</si>
  <si>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</si>
  <si>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</si>
  <si>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</si>
  <si>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</si>
  <si>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</si>
  <si>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</si>
  <si>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</si>
  <si>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</si>
  <si>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</si>
  <si>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</si>
  <si>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</si>
  <si>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</si>
  <si>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</si>
  <si>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</si>
  <si>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</si>
  <si>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</si>
  <si>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</si>
  <si>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</si>
  <si>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</si>
  <si>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</si>
  <si>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</si>
  <si>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</si>
  <si>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</si>
  <si>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</si>
  <si>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</si>
  <si>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</si>
  <si>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</si>
  <si>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</si>
  <si>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</si>
  <si>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</si>
  <si>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</si>
  <si>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</si>
  <si>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</si>
  <si>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</si>
  <si>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</si>
  <si>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</si>
  <si>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</si>
  <si>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</si>
  <si>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</si>
  <si>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</si>
  <si>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</si>
  <si>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</si>
  <si>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</si>
  <si>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</si>
  <si>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</si>
  <si>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</si>
  <si>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</si>
  <si>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</si>
  <si>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</si>
  <si>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</si>
  <si>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</si>
  <si>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</si>
  <si>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</si>
  <si>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</si>
  <si>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</si>
  <si>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</si>
  <si>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</si>
  <si>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</si>
  <si>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</si>
  <si>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</si>
  <si>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</si>
  <si>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</si>
  <si>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</si>
  <si>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</si>
  <si>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</si>
  <si>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</si>
  <si>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</si>
  <si>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</si>
  <si>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</si>
  <si>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</si>
  <si>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</si>
  <si>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</si>
  <si>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</si>
  <si>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</si>
  <si>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</si>
  <si>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</si>
  <si>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</si>
  <si>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</si>
  <si>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</si>
  <si>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</si>
  <si>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</si>
  <si>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</si>
  <si>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</si>
  <si>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</si>
  <si>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</si>
  <si>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</si>
  <si>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</si>
  <si>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</si>
  <si>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</si>
  <si>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</si>
  <si>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</si>
  <si>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</si>
  <si>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</si>
  <si>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</si>
  <si>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</si>
  <si>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</si>
  <si>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</si>
  <si>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</si>
  <si>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</si>
  <si>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</si>
  <si>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</si>
  <si>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</si>
  <si>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</si>
  <si>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</si>
  <si>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</si>
  <si>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</si>
  <si>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</si>
  <si>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</si>
  <si>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</si>
  <si>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</si>
  <si>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</si>
  <si>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</si>
  <si>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</si>
  <si>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</si>
  <si>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</si>
  <si>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</si>
  <si>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</si>
  <si>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</si>
  <si>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</si>
  <si>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</si>
  <si>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</si>
  <si>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</si>
  <si>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</si>
  <si>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</si>
  <si>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</si>
  <si>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</si>
  <si>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</si>
  <si>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</si>
  <si>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</si>
  <si>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</si>
  <si>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</si>
  <si>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</si>
  <si>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</si>
  <si>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</si>
  <si>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</si>
  <si>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</si>
  <si>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</si>
  <si>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</si>
  <si>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</si>
  <si>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</si>
  <si>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</si>
  <si>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</si>
  <si>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</si>
  <si>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</si>
  <si>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</si>
  <si>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</si>
  <si>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</si>
  <si>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</si>
  <si>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</si>
  <si>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</si>
  <si>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</si>
  <si>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</si>
  <si>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</si>
  <si>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</si>
  <si>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</si>
  <si>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</si>
  <si>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</si>
  <si>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</si>
  <si>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</si>
  <si>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</si>
  <si>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</si>
  <si>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</si>
  <si>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</si>
  <si>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</si>
  <si>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</si>
  <si>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</si>
  <si>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</si>
  <si>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</si>
  <si>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</si>
  <si>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</si>
  <si>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</si>
  <si>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</si>
  <si>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</si>
  <si>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</si>
  <si>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</si>
  <si>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</si>
  <si>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</si>
  <si>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</si>
  <si>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</si>
  <si>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</si>
  <si>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</si>
  <si>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</si>
  <si>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</si>
  <si>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</si>
  <si>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</si>
  <si>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</si>
  <si>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</si>
  <si>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</si>
  <si>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</si>
  <si>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</si>
  <si>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</si>
  <si>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</si>
  <si>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</si>
  <si>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</si>
  <si>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</si>
  <si>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</si>
  <si>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</si>
  <si>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</si>
  <si>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</si>
  <si>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</si>
  <si>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</si>
  <si>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</si>
  <si>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</si>
  <si>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</si>
  <si>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</si>
  <si>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</si>
  <si>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</si>
  <si>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</si>
  <si>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</si>
  <si>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</si>
  <si>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</si>
  <si>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</si>
  <si>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</si>
  <si>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</si>
  <si>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</si>
  <si>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</si>
  <si>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</si>
  <si>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</si>
  <si>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</si>
  <si>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</si>
  <si>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</si>
  <si>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</si>
  <si>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</si>
  <si>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</si>
  <si>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</si>
  <si>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</si>
  <si>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</si>
  <si>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</si>
  <si>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</si>
  <si>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</si>
  <si>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</si>
  <si>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</si>
  <si>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</si>
  <si>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</si>
  <si>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</si>
  <si>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</si>
  <si>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</si>
  <si>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</si>
  <si>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</si>
  <si>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</si>
  <si>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</si>
  <si>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</si>
  <si>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</si>
  <si>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</si>
  <si>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</si>
  <si>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</si>
  <si>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</si>
  <si>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</si>
  <si>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</si>
  <si>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</si>
  <si>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</si>
  <si>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</si>
  <si>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</si>
  <si>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</si>
  <si>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</si>
  <si>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</si>
  <si>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</si>
  <si>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</si>
  <si>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</si>
  <si>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</si>
  <si>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</si>
  <si>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</si>
  <si>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</si>
  <si>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</si>
  <si>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</si>
  <si>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</si>
  <si>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</si>
  <si>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</si>
  <si>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</si>
  <si>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</si>
  <si>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</si>
  <si>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</si>
  <si>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</si>
  <si>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</si>
  <si>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</si>
  <si>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</si>
  <si>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</si>
  <si>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</si>
  <si>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</si>
  <si>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</si>
  <si>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</si>
  <si>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</si>
  <si>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</si>
  <si>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</si>
  <si>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</si>
  <si>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</si>
  <si>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</si>
  <si>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</si>
  <si>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</si>
  <si>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</si>
  <si>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</si>
  <si>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</si>
  <si>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</si>
  <si>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</si>
  <si>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</si>
  <si>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</si>
  <si>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</si>
  <si>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</si>
  <si>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</si>
  <si>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</si>
  <si>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</si>
  <si>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</si>
  <si>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</si>
  <si>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</si>
  <si>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</si>
  <si>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</si>
  <si>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</si>
  <si>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</si>
  <si>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</si>
  <si>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</si>
  <si>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</si>
  <si>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</si>
  <si>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</si>
  <si>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</si>
  <si>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</si>
  <si>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</si>
  <si>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</si>
  <si>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</si>
  <si>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</si>
  <si>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</si>
  <si>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</si>
  <si>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</si>
  <si>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</si>
  <si>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</si>
  <si>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</si>
  <si>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</si>
  <si>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</si>
  <si>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</si>
  <si>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</si>
  <si>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</si>
  <si>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</si>
  <si>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</si>
  <si>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</si>
  <si>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</si>
  <si>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</si>
  <si>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</si>
  <si>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</si>
  <si>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</si>
  <si>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</si>
  <si>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</si>
  <si>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</si>
  <si>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</si>
  <si>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</si>
  <si>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</si>
  <si>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</si>
  <si>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</si>
  <si>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</si>
  <si>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</si>
  <si>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</si>
  <si>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</si>
  <si>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</si>
  <si>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</si>
  <si>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</si>
  <si>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</si>
  <si>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</si>
  <si>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</si>
  <si>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</si>
  <si>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</si>
  <si>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</si>
  <si>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</si>
  <si>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</si>
  <si>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</si>
  <si>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</si>
  <si>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</si>
  <si>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</si>
  <si>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</si>
  <si>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</si>
  <si>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</si>
  <si>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</si>
  <si>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</si>
  <si>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</si>
  <si>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</si>
  <si>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</si>
  <si>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</si>
  <si>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</si>
  <si>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</si>
  <si>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</si>
  <si>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</si>
  <si>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</si>
  <si>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</si>
  <si>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</si>
  <si>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</si>
  <si>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</si>
  <si>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</si>
  <si>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</si>
  <si>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</si>
  <si>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</si>
  <si>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</si>
  <si>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</si>
  <si>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</si>
  <si>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</si>
  <si>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</si>
  <si>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</si>
  <si>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</si>
  <si>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</si>
  <si>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</si>
  <si>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</si>
  <si>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</si>
  <si>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</si>
  <si>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</si>
  <si>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</si>
  <si>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</si>
  <si>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</si>
  <si>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</si>
  <si>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</si>
  <si>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</si>
  <si>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</si>
  <si>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</si>
  <si>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</si>
  <si>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</si>
  <si>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</si>
  <si>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</si>
  <si>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</si>
  <si>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</si>
  <si>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</si>
  <si>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</si>
  <si>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</si>
  <si>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</si>
  <si>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</si>
  <si>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</si>
  <si>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</si>
  <si>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</si>
  <si>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</si>
  <si>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</si>
  <si>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</si>
  <si>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</si>
  <si>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</si>
  <si>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</si>
  <si>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</si>
  <si>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</si>
  <si>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</si>
  <si>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</si>
  <si>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</si>
  <si>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</si>
  <si>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</si>
  <si>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</si>
  <si>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</si>
  <si>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</si>
  <si>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</si>
  <si>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</si>
  <si>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</si>
  <si>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</si>
  <si>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</si>
  <si>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</si>
  <si>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</si>
  <si>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</si>
  <si>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</si>
  <si>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</si>
  <si>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</si>
  <si>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</si>
  <si>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</si>
  <si>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</si>
  <si>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</si>
  <si>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</si>
  <si>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</si>
  <si>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</si>
  <si>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</si>
  <si>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</si>
  <si>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</si>
  <si>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</si>
  <si>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</si>
  <si>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</si>
  <si>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</si>
  <si>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</si>
  <si>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</si>
  <si>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</si>
  <si>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</si>
  <si>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</si>
  <si>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</si>
  <si>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</si>
  <si>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</si>
  <si>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</si>
  <si>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</si>
  <si>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</si>
  <si>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</si>
  <si>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</si>
  <si>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</si>
  <si>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</si>
  <si>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</si>
  <si>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</si>
  <si>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</si>
  <si>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</si>
  <si>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</si>
  <si>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</si>
  <si>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</si>
  <si>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</si>
  <si>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</si>
  <si>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</si>
  <si>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</si>
  <si>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</si>
  <si>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</si>
  <si>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</si>
  <si>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</si>
  <si>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</si>
  <si>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</si>
  <si>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</si>
  <si>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</si>
  <si>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</si>
  <si>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</si>
  <si>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</si>
  <si>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</si>
  <si>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</si>
  <si>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</si>
  <si>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</si>
  <si>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</si>
  <si>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</si>
  <si>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</si>
  <si>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</si>
  <si>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</si>
  <si>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</si>
  <si>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</si>
  <si>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</si>
  <si>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</si>
  <si>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</si>
  <si>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</si>
  <si>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</si>
  <si>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</si>
  <si>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</si>
  <si>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</si>
  <si>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</si>
  <si>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</si>
  <si>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</si>
  <si>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</si>
  <si>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</si>
  <si>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</si>
  <si>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</si>
  <si>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</si>
  <si>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</si>
  <si>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</si>
  <si>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</si>
  <si>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</si>
  <si>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</si>
  <si>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</si>
  <si>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</si>
  <si>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</si>
  <si>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</si>
  <si>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</si>
  <si>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</si>
  <si>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</si>
  <si>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</si>
  <si>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</si>
  <si>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</si>
  <si>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</si>
  <si>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</si>
  <si>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</si>
  <si>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</si>
  <si>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</si>
  <si>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</si>
  <si>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</si>
  <si>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</si>
  <si>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</si>
  <si>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</si>
  <si>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</si>
  <si>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</si>
  <si>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</si>
  <si>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</si>
  <si>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</si>
  <si>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</si>
  <si>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</si>
  <si>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</si>
  <si>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</si>
  <si>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</si>
  <si>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</si>
  <si>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</si>
  <si>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</si>
  <si>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</si>
  <si>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</si>
  <si>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</si>
  <si>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</si>
  <si>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</si>
  <si>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</si>
  <si>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</si>
  <si>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</si>
  <si>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</si>
  <si>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</si>
  <si>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</si>
  <si>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</si>
  <si>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</si>
  <si>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</si>
  <si>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</si>
  <si>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</si>
  <si>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</si>
  <si>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</si>
  <si>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</si>
  <si>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</si>
  <si>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</si>
  <si>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</si>
  <si>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</si>
  <si>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</si>
  <si>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</si>
  <si>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</si>
  <si>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</si>
  <si>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</si>
  <si>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</si>
  <si>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</si>
  <si>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</si>
  <si>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</si>
  <si>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</si>
  <si>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</si>
  <si>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</si>
  <si>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</si>
  <si>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</si>
  <si>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</si>
  <si>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</si>
  <si>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</si>
  <si>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</si>
  <si>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</si>
  <si>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</si>
  <si>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</si>
  <si>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</si>
  <si>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</si>
  <si>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</si>
  <si>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</si>
  <si>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</si>
  <si>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</si>
  <si>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</si>
  <si>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</si>
  <si>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</si>
  <si>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</si>
  <si>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</si>
  <si>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</si>
  <si>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</si>
  <si>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</si>
  <si>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</si>
  <si>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</si>
  <si>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</si>
  <si>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</si>
  <si>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</si>
  <si>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</si>
  <si>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</si>
  <si>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</si>
  <si>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</si>
  <si>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</si>
  <si>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</si>
  <si>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</si>
  <si>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</si>
  <si>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</si>
  <si>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</si>
  <si>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</si>
  <si>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</si>
  <si>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</si>
  <si>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</si>
  <si>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</si>
  <si>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</si>
  <si>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</si>
  <si>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</si>
  <si>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</si>
  <si>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</si>
  <si>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</si>
  <si>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</si>
  <si>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</si>
  <si>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</si>
  <si>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</si>
  <si>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</si>
  <si>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</si>
  <si>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</si>
  <si>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</si>
  <si>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</si>
  <si>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</si>
  <si>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</si>
  <si>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</si>
  <si>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</si>
  <si>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</si>
  <si>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</si>
  <si>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</si>
  <si>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</si>
  <si>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</si>
  <si>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</si>
  <si>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</si>
  <si>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</si>
  <si>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</si>
  <si>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</si>
  <si>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</si>
  <si>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</si>
  <si>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</si>
  <si>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</si>
  <si>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</si>
  <si>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</si>
  <si>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</si>
  <si>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</si>
  <si>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</si>
  <si>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</si>
  <si>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</si>
  <si>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</si>
  <si>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</si>
  <si>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</si>
  <si>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</si>
  <si>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</si>
  <si>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</si>
  <si>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</si>
  <si>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</si>
  <si>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</si>
  <si>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</si>
  <si>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</si>
  <si>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</si>
  <si>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</si>
  <si>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</si>
  <si>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</si>
  <si>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</si>
  <si>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</si>
  <si>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</si>
  <si>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</si>
  <si>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</si>
  <si>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</si>
  <si>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</si>
  <si>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</si>
  <si>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</si>
  <si>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</si>
  <si>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</si>
  <si>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</si>
  <si>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</si>
  <si>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</si>
  <si>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</si>
  <si>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</si>
  <si>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</si>
  <si>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</si>
  <si>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</si>
  <si>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</si>
  <si>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</si>
  <si>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</si>
  <si>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</si>
  <si>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</si>
  <si>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</si>
  <si>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</si>
  <si>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</si>
  <si>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</si>
  <si>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</si>
  <si>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</si>
  <si>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</si>
  <si>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</si>
  <si>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</si>
  <si>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</si>
  <si>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</si>
  <si>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</si>
  <si>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</si>
  <si>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</si>
  <si>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</si>
  <si>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</si>
  <si>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</si>
  <si>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</si>
  <si>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</si>
  <si>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</si>
  <si>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</si>
  <si>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</si>
  <si>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</si>
  <si>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</si>
  <si>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</si>
  <si>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</si>
  <si>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</si>
  <si>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</si>
  <si>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</si>
  <si>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</si>
  <si>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</si>
  <si>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</si>
  <si>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</si>
  <si>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</si>
  <si>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</si>
  <si>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</si>
  <si>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</si>
  <si>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</si>
  <si>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</si>
  <si>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</si>
  <si>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</si>
  <si>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</si>
  <si>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</si>
  <si>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</si>
  <si>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</si>
  <si>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</si>
  <si>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</si>
  <si>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</si>
  <si>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</si>
  <si>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</si>
  <si>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</si>
  <si>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</si>
  <si>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</si>
  <si>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</si>
  <si>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</si>
  <si>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</si>
  <si>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</si>
  <si>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</si>
  <si>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</si>
  <si>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</si>
  <si>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</si>
  <si>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</si>
  <si>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</si>
  <si>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</si>
  <si>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</si>
  <si>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</si>
  <si>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</si>
  <si>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</si>
  <si>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</si>
  <si>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</si>
  <si>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</si>
  <si>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</si>
  <si>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</si>
  <si>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</si>
  <si>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</si>
  <si>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</si>
  <si>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</si>
  <si>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</si>
  <si>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</si>
  <si>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</si>
  <si>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</si>
  <si>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</si>
  <si>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</si>
  <si>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</si>
  <si>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</si>
  <si>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</si>
  <si>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</si>
  <si>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</si>
  <si>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</si>
  <si>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</si>
  <si>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</si>
  <si>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</si>
  <si>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</si>
  <si>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</si>
  <si>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</si>
  <si>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</si>
  <si>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</si>
  <si>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</si>
  <si>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</si>
  <si>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</si>
  <si>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</si>
  <si>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</si>
  <si>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</si>
  <si>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</si>
  <si>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</si>
  <si>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</si>
  <si>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</si>
  <si>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</si>
  <si>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</si>
  <si>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</si>
  <si>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</si>
  <si>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</si>
  <si>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</si>
  <si>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</si>
  <si>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</si>
  <si>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</si>
  <si>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</si>
  <si>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</si>
  <si>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</si>
  <si>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</si>
  <si>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</si>
  <si>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</si>
  <si>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</si>
  <si>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</si>
  <si>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</si>
  <si>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</si>
  <si>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</si>
  <si>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</si>
  <si>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</si>
  <si>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</si>
  <si>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</si>
  <si>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</si>
  <si>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</si>
  <si>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</si>
  <si>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</si>
  <si>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</si>
  <si>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</si>
  <si>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</si>
  <si>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</si>
  <si>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</si>
  <si>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</si>
  <si>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</si>
  <si>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</si>
  <si>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</si>
  <si>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</si>
  <si>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</si>
  <si>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</si>
  <si>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</si>
  <si>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</si>
  <si>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</si>
  <si>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</si>
  <si>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</si>
  <si>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</si>
  <si>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</si>
  <si>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</si>
  <si>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</si>
  <si>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</si>
  <si>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房地产市场价值</t>
  </si>
  <si>
    <t>北京市</t>
  </si>
  <si>
    <t>自然人</t>
  </si>
  <si>
    <t>Ⅷ-怀1</t>
  </si>
  <si>
    <t>地上</t>
  </si>
  <si>
    <t>是</t>
  </si>
  <si>
    <t>面积</t>
    <phoneticPr fontId="134" type="noConversion"/>
  </si>
  <si>
    <t>地上一层</t>
    <phoneticPr fontId="134" type="noConversion"/>
  </si>
  <si>
    <t>地上二层</t>
    <phoneticPr fontId="134" type="noConversion"/>
  </si>
  <si>
    <t>商业</t>
    <phoneticPr fontId="7" type="noConversion"/>
  </si>
  <si>
    <t>利息：取LPR加浮动点数</t>
  </si>
  <si>
    <t>成新度</t>
  </si>
  <si>
    <t>收益法</t>
  </si>
  <si>
    <t>项目局部</t>
  </si>
  <si>
    <t>现房</t>
  </si>
  <si>
    <t>自定义容积率</t>
  </si>
  <si>
    <t>与级别开发程度不一致</t>
  </si>
  <si>
    <t>通路</t>
  </si>
  <si>
    <t>通电</t>
  </si>
  <si>
    <t>通讯</t>
  </si>
  <si>
    <t>通上水</t>
  </si>
  <si>
    <t>通下水</t>
  </si>
  <si>
    <t>通热</t>
  </si>
  <si>
    <t>平整</t>
  </si>
  <si>
    <t>楼层修正</t>
  </si>
  <si>
    <t>一般</t>
  </si>
  <si>
    <t>全部缴纳</t>
  </si>
  <si>
    <t>押一</t>
  </si>
  <si>
    <t>钢混</t>
  </si>
  <si>
    <t>非生产用房</t>
  </si>
  <si>
    <t>否</t>
  </si>
  <si>
    <t>陈颖</t>
  </si>
  <si>
    <t>单价</t>
    <phoneticPr fontId="134" type="noConversion"/>
  </si>
  <si>
    <t>成交时间</t>
    <phoneticPr fontId="134" type="noConversion"/>
  </si>
  <si>
    <t>商业类型</t>
    <phoneticPr fontId="134" type="noConversion"/>
  </si>
  <si>
    <t>庙城路3号院</t>
    <phoneticPr fontId="134" type="noConversion"/>
  </si>
  <si>
    <t>推广名</t>
    <phoneticPr fontId="134" type="noConversion"/>
  </si>
  <si>
    <t>银地澜湾</t>
    <phoneticPr fontId="134" type="noConversion"/>
  </si>
  <si>
    <t>住宅底商</t>
    <phoneticPr fontId="134" type="noConversion"/>
  </si>
  <si>
    <t>影人四季花园</t>
    <phoneticPr fontId="134" type="noConversion"/>
  </si>
  <si>
    <t>影人四季花园商铺</t>
  </si>
  <si>
    <t>龙山新新家园</t>
    <phoneticPr fontId="134" type="noConversion"/>
  </si>
  <si>
    <t>龙山新新小镇</t>
    <phoneticPr fontId="134" type="noConversion"/>
  </si>
  <si>
    <t>翡翠华庭家园</t>
    <phoneticPr fontId="134" type="noConversion"/>
  </si>
  <si>
    <t>北科建翡翠华庭</t>
    <phoneticPr fontId="134" type="noConversion"/>
  </si>
  <si>
    <t>青春路六院</t>
    <phoneticPr fontId="134" type="noConversion"/>
  </si>
  <si>
    <t>泉河园二区</t>
    <phoneticPr fontId="3" type="noConversion"/>
  </si>
  <si>
    <t>正常</t>
  </si>
  <si>
    <t>商业</t>
    <phoneticPr fontId="30" type="noConversion"/>
  </si>
  <si>
    <t>五通</t>
  </si>
  <si>
    <t>较好</t>
  </si>
  <si>
    <t>高速路</t>
    <phoneticPr fontId="30" type="noConversion"/>
  </si>
  <si>
    <t>快速路</t>
    <phoneticPr fontId="30" type="noConversion"/>
  </si>
  <si>
    <t>城市主干道</t>
  </si>
  <si>
    <t>城市主干道</t>
    <phoneticPr fontId="30" type="noConversion"/>
  </si>
  <si>
    <t>城市次干道</t>
  </si>
  <si>
    <t>城市次干道</t>
    <phoneticPr fontId="30" type="noConversion"/>
  </si>
  <si>
    <t>城市支路</t>
  </si>
  <si>
    <t>城市支路</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</si>
  <si>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</si>
  <si>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</si>
  <si>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</si>
  <si>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</si>
  <si>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</si>
  <si>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r>
      <t>1</t>
    </r>
    <r>
      <rPr>
        <sz val="11"/>
        <color indexed="8"/>
        <rFont val="宋体"/>
        <family val="3"/>
        <charset val="134"/>
      </rPr>
      <t>层</t>
    </r>
    <phoneticPr fontId="30" type="noConversion"/>
  </si>
  <si>
    <t>住宅配套商业</t>
  </si>
  <si>
    <t>住宅配套商业</t>
    <phoneticPr fontId="30" type="noConversion"/>
  </si>
  <si>
    <t>钢混</t>
    <phoneticPr fontId="30" type="noConversion"/>
  </si>
  <si>
    <t>精装修</t>
    <phoneticPr fontId="30" type="noConversion"/>
  </si>
  <si>
    <t>普通装修</t>
  </si>
  <si>
    <t>普通装修</t>
    <phoneticPr fontId="30" type="noConversion"/>
  </si>
  <si>
    <t>毛坯</t>
    <phoneticPr fontId="30" type="noConversion"/>
  </si>
  <si>
    <t>七通</t>
    <phoneticPr fontId="30" type="noConversion"/>
  </si>
  <si>
    <t>六通</t>
  </si>
  <si>
    <t>六通</t>
    <phoneticPr fontId="30" type="noConversion"/>
  </si>
  <si>
    <t>五通</t>
    <phoneticPr fontId="30" type="noConversion"/>
  </si>
  <si>
    <t>标准层高</t>
  </si>
  <si>
    <t>标准层高</t>
    <phoneticPr fontId="30" type="noConversion"/>
  </si>
  <si>
    <t>临路</t>
    <phoneticPr fontId="134" type="noConversion"/>
  </si>
  <si>
    <t>城市支路-庙赵路</t>
    <phoneticPr fontId="134" type="noConversion"/>
  </si>
  <si>
    <t>城市次干道-杨雁路</t>
    <phoneticPr fontId="134" type="noConversion"/>
  </si>
  <si>
    <t>1层</t>
  </si>
  <si>
    <t>城市支路-庙高路</t>
    <phoneticPr fontId="134" type="noConversion"/>
  </si>
  <si>
    <t>比较法-商业</t>
  </si>
  <si>
    <t>售价</t>
  </si>
  <si>
    <t>成本法 (元)</t>
  </si>
  <si>
    <t>单价</t>
    <phoneticPr fontId="134" type="noConversion"/>
  </si>
  <si>
    <t>平均单价</t>
    <phoneticPr fontId="134" type="noConversion"/>
  </si>
  <si>
    <t>总价</t>
    <phoneticPr fontId="134" type="noConversion"/>
  </si>
  <si>
    <t>长（厘米）</t>
    <phoneticPr fontId="134" type="noConversion"/>
  </si>
  <si>
    <t>宽（厘米）</t>
    <phoneticPr fontId="134" type="noConversion"/>
  </si>
  <si>
    <t>户型图面积</t>
    <phoneticPr fontId="134" type="noConversion"/>
  </si>
  <si>
    <t>建筑面积</t>
    <phoneticPr fontId="134" type="noConversion"/>
  </si>
  <si>
    <t>楼层修正系数</t>
    <phoneticPr fontId="134" type="noConversion"/>
  </si>
  <si>
    <t>总建筑面积</t>
    <phoneticPr fontId="134" type="noConversion"/>
  </si>
  <si>
    <t>滨湖小区西区</t>
    <phoneticPr fontId="134" type="noConversion"/>
  </si>
  <si>
    <t>怀柔北园</t>
    <phoneticPr fontId="134" type="noConversion"/>
  </si>
  <si>
    <r>
      <rPr>
        <sz val="11"/>
        <color theme="9" tint="-0.249977111117893"/>
        <rFont val="宋体"/>
        <family val="3"/>
        <charset val="134"/>
      </rPr>
      <t>南花园</t>
    </r>
    <r>
      <rPr>
        <sz val="11"/>
        <color theme="9" tint="-0.249977111117893"/>
        <rFont val="Arial"/>
        <family val="2"/>
      </rPr>
      <t>3</t>
    </r>
    <r>
      <rPr>
        <sz val="11"/>
        <color theme="9" tint="-0.249977111117893"/>
        <rFont val="宋体"/>
        <family val="3"/>
        <charset val="134"/>
      </rPr>
      <t>区</t>
    </r>
    <phoneticPr fontId="134" type="noConversion"/>
  </si>
  <si>
    <t>七通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</si>
</sst>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179" fontId="44" fillId="0" borderId="1" xfId="0" applyNumberFormat="1" applyFont="1" applyBorder="1" applyAlignment="1" applyProtection="1">
      <alignment horizontal="center" vertical="center"/>
      <protection locked="0"/>
    </xf>
    <xf numFmtId="14" fontId="0" fillId="0" borderId="0" xfId="0" applyNumberForma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5" fillId="0" borderId="0" xfId="0" applyFont="1" applyAlignment="1">
      <alignment horizontal="center" vertical="center"/>
    </xf>
    <xf numFmtId="0" fontId="95" fillId="5" borderId="0" xfId="0" applyFont="1" applyFill="1" applyAlignment="1">
      <alignment horizontal="center" vertical="center"/>
    </xf>
    <xf numFmtId="0" fontId="0" fillId="5" borderId="0" xfId="0" applyFill="1" applyAlignment="1">
      <alignment horizontal="center"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0" fillId="5" borderId="0" xfId="0" applyFill="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08" fillId="0" borderId="3" xfId="0" applyFont="1" applyFill="1" applyBorder="1" applyAlignment="1" applyProtection="1">
      <alignment horizontal="center" vertical="center" wrapText="1"/>
      <protection locked="0"/>
    </xf>
    <xf numFmtId="0" fontId="269" fillId="0" borderId="23" xfId="0" applyFont="1" applyFill="1" applyBorder="1" applyAlignment="1" applyProtection="1">
      <alignment horizontal="center" vertical="center" wrapText="1"/>
      <protection locked="0"/>
    </xf>
    <xf numFmtId="179" fontId="51" fillId="6" borderId="1" xfId="0" applyNumberFormat="1" applyFont="1" applyFill="1" applyBorder="1" applyAlignment="1" applyProtection="1">
      <alignment horizontal="center" vertical="center"/>
    </xf>
    <xf numFmtId="179" fontId="50" fillId="18" borderId="1" xfId="0" applyNumberFormat="1" applyFont="1" applyFill="1" applyBorder="1" applyAlignment="1" applyProtection="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15</xdr:col>
      <xdr:colOff>323276</xdr:colOff>
      <xdr:row>21</xdr:row>
      <xdr:rowOff>56693</xdr:rowOff>
    </xdr:to>
    <xdr:pic>
      <xdr:nvPicPr>
        <xdr:cNvPr id="2" name="图片 1">
          <a:extLst>
            <a:ext uri="{FF2B5EF4-FFF2-40B4-BE49-F238E27FC236}">
              <a16:creationId xmlns:a16="http://schemas.microsoft.com/office/drawing/2014/main" id="{BA6F8561-9749-4172-ACC0-5D70AB9C5F2B}"/>
            </a:ext>
          </a:extLst>
        </xdr:cNvPr>
        <xdr:cNvPicPr>
          <a:picLocks noChangeAspect="1"/>
        </xdr:cNvPicPr>
      </xdr:nvPicPr>
      <xdr:blipFill>
        <a:blip xmlns:r="http://schemas.openxmlformats.org/officeDocument/2006/relationships" r:embed="rId1"/>
        <a:stretch>
          <a:fillRect/>
        </a:stretch>
      </xdr:blipFill>
      <xdr:spPr>
        <a:xfrm>
          <a:off x="6067425" y="0"/>
          <a:ext cx="4590476" cy="3657143"/>
        </a:xfrm>
        <a:prstGeom prst="rect">
          <a:avLst/>
        </a:prstGeom>
      </xdr:spPr>
    </xdr:pic>
    <xdr:clientData/>
  </xdr:twoCellAnchor>
  <xdr:twoCellAnchor editAs="oneCell">
    <xdr:from>
      <xdr:col>0</xdr:col>
      <xdr:colOff>0</xdr:colOff>
      <xdr:row>11</xdr:row>
      <xdr:rowOff>114300</xdr:rowOff>
    </xdr:from>
    <xdr:to>
      <xdr:col>4</xdr:col>
      <xdr:colOff>184379</xdr:colOff>
      <xdr:row>41</xdr:row>
      <xdr:rowOff>123167</xdr:rowOff>
    </xdr:to>
    <xdr:pic>
      <xdr:nvPicPr>
        <xdr:cNvPr id="3" name="图片 2">
          <a:extLst>
            <a:ext uri="{FF2B5EF4-FFF2-40B4-BE49-F238E27FC236}">
              <a16:creationId xmlns:a16="http://schemas.microsoft.com/office/drawing/2014/main" id="{D7013C07-A81D-47BA-AD18-9324F65D37D2}"/>
            </a:ext>
          </a:extLst>
        </xdr:cNvPr>
        <xdr:cNvPicPr>
          <a:picLocks noChangeAspect="1"/>
        </xdr:cNvPicPr>
      </xdr:nvPicPr>
      <xdr:blipFill>
        <a:blip xmlns:r="http://schemas.openxmlformats.org/officeDocument/2006/relationships" r:embed="rId2"/>
        <a:stretch>
          <a:fillRect/>
        </a:stretch>
      </xdr:blipFill>
      <xdr:spPr>
        <a:xfrm>
          <a:off x="0" y="2000250"/>
          <a:ext cx="3689579" cy="5152367"/>
        </a:xfrm>
        <a:prstGeom prst="rect">
          <a:avLst/>
        </a:prstGeom>
      </xdr:spPr>
    </xdr:pic>
    <xdr:clientData/>
  </xdr:twoCellAnchor>
  <xdr:twoCellAnchor editAs="oneCell">
    <xdr:from>
      <xdr:col>0</xdr:col>
      <xdr:colOff>0</xdr:colOff>
      <xdr:row>15</xdr:row>
      <xdr:rowOff>9525</xdr:rowOff>
    </xdr:from>
    <xdr:to>
      <xdr:col>3</xdr:col>
      <xdr:colOff>1171143</xdr:colOff>
      <xdr:row>43</xdr:row>
      <xdr:rowOff>104163</xdr:rowOff>
    </xdr:to>
    <xdr:pic>
      <xdr:nvPicPr>
        <xdr:cNvPr id="4" name="图片 3">
          <a:extLst>
            <a:ext uri="{FF2B5EF4-FFF2-40B4-BE49-F238E27FC236}">
              <a16:creationId xmlns:a16="http://schemas.microsoft.com/office/drawing/2014/main" id="{6465C239-D4BD-422D-A200-D3617D0179CF}"/>
            </a:ext>
          </a:extLst>
        </xdr:cNvPr>
        <xdr:cNvPicPr>
          <a:picLocks noChangeAspect="1"/>
        </xdr:cNvPicPr>
      </xdr:nvPicPr>
      <xdr:blipFill>
        <a:blip xmlns:r="http://schemas.openxmlformats.org/officeDocument/2006/relationships" r:embed="rId3"/>
        <a:stretch>
          <a:fillRect/>
        </a:stretch>
      </xdr:blipFill>
      <xdr:spPr>
        <a:xfrm>
          <a:off x="0" y="2581275"/>
          <a:ext cx="3457143" cy="4895238"/>
        </a:xfrm>
        <a:prstGeom prst="rect">
          <a:avLst/>
        </a:prstGeom>
      </xdr:spPr>
    </xdr:pic>
    <xdr:clientData/>
  </xdr:twoCellAnchor>
  <xdr:twoCellAnchor editAs="oneCell">
    <xdr:from>
      <xdr:col>0</xdr:col>
      <xdr:colOff>0</xdr:colOff>
      <xdr:row>17</xdr:row>
      <xdr:rowOff>152400</xdr:rowOff>
    </xdr:from>
    <xdr:to>
      <xdr:col>4</xdr:col>
      <xdr:colOff>228133</xdr:colOff>
      <xdr:row>50</xdr:row>
      <xdr:rowOff>113598</xdr:rowOff>
    </xdr:to>
    <xdr:pic>
      <xdr:nvPicPr>
        <xdr:cNvPr id="5" name="图片 4">
          <a:extLst>
            <a:ext uri="{FF2B5EF4-FFF2-40B4-BE49-F238E27FC236}">
              <a16:creationId xmlns:a16="http://schemas.microsoft.com/office/drawing/2014/main" id="{796CE8E3-95E6-45F3-AE2F-850FA8194DC8}"/>
            </a:ext>
          </a:extLst>
        </xdr:cNvPr>
        <xdr:cNvPicPr>
          <a:picLocks noChangeAspect="1"/>
        </xdr:cNvPicPr>
      </xdr:nvPicPr>
      <xdr:blipFill>
        <a:blip xmlns:r="http://schemas.openxmlformats.org/officeDocument/2006/relationships" r:embed="rId4"/>
        <a:stretch>
          <a:fillRect/>
        </a:stretch>
      </xdr:blipFill>
      <xdr:spPr>
        <a:xfrm>
          <a:off x="0" y="3067050"/>
          <a:ext cx="3733333" cy="5619048"/>
        </a:xfrm>
        <a:prstGeom prst="rect">
          <a:avLst/>
        </a:prstGeom>
      </xdr:spPr>
    </xdr:pic>
    <xdr:clientData/>
  </xdr:twoCellAnchor>
  <xdr:twoCellAnchor editAs="oneCell">
    <xdr:from>
      <xdr:col>4</xdr:col>
      <xdr:colOff>66675</xdr:colOff>
      <xdr:row>11</xdr:row>
      <xdr:rowOff>133350</xdr:rowOff>
    </xdr:from>
    <xdr:to>
      <xdr:col>9</xdr:col>
      <xdr:colOff>28120</xdr:colOff>
      <xdr:row>18</xdr:row>
      <xdr:rowOff>47486</xdr:rowOff>
    </xdr:to>
    <xdr:pic>
      <xdr:nvPicPr>
        <xdr:cNvPr id="6" name="图片 5">
          <a:extLst>
            <a:ext uri="{FF2B5EF4-FFF2-40B4-BE49-F238E27FC236}">
              <a16:creationId xmlns:a16="http://schemas.microsoft.com/office/drawing/2014/main" id="{931B0987-0028-4375-8830-446CC30C65EA}"/>
            </a:ext>
          </a:extLst>
        </xdr:cNvPr>
        <xdr:cNvPicPr>
          <a:picLocks noChangeAspect="1"/>
        </xdr:cNvPicPr>
      </xdr:nvPicPr>
      <xdr:blipFill>
        <a:blip xmlns:r="http://schemas.openxmlformats.org/officeDocument/2006/relationships" r:embed="rId5"/>
        <a:stretch>
          <a:fillRect/>
        </a:stretch>
      </xdr:blipFill>
      <xdr:spPr>
        <a:xfrm>
          <a:off x="3571875" y="2019300"/>
          <a:ext cx="3638095" cy="1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76200</xdr:rowOff>
    </xdr:from>
    <xdr:to>
      <xdr:col>12</xdr:col>
      <xdr:colOff>190295</xdr:colOff>
      <xdr:row>55</xdr:row>
      <xdr:rowOff>66130</xdr:rowOff>
    </xdr:to>
    <xdr:pic>
      <xdr:nvPicPr>
        <xdr:cNvPr id="2" name="图片 1">
          <a:extLst>
            <a:ext uri="{FF2B5EF4-FFF2-40B4-BE49-F238E27FC236}">
              <a16:creationId xmlns:a16="http://schemas.microsoft.com/office/drawing/2014/main" id="{F93C447A-67DC-411B-8B57-409486965C5D}"/>
            </a:ext>
          </a:extLst>
        </xdr:cNvPr>
        <xdr:cNvPicPr>
          <a:picLocks noChangeAspect="1"/>
        </xdr:cNvPicPr>
      </xdr:nvPicPr>
      <xdr:blipFill>
        <a:blip xmlns:r="http://schemas.openxmlformats.org/officeDocument/2006/relationships" r:embed="rId1"/>
        <a:stretch>
          <a:fillRect/>
        </a:stretch>
      </xdr:blipFill>
      <xdr:spPr>
        <a:xfrm>
          <a:off x="0" y="5562600"/>
          <a:ext cx="10477295" cy="3933280"/>
        </a:xfrm>
        <a:prstGeom prst="rect">
          <a:avLst/>
        </a:prstGeom>
      </xdr:spPr>
    </xdr:pic>
    <xdr:clientData/>
  </xdr:twoCellAnchor>
  <xdr:twoCellAnchor editAs="oneCell">
    <xdr:from>
      <xdr:col>0</xdr:col>
      <xdr:colOff>0</xdr:colOff>
      <xdr:row>7</xdr:row>
      <xdr:rowOff>152400</xdr:rowOff>
    </xdr:from>
    <xdr:to>
      <xdr:col>12</xdr:col>
      <xdr:colOff>208186</xdr:colOff>
      <xdr:row>32</xdr:row>
      <xdr:rowOff>142288</xdr:rowOff>
    </xdr:to>
    <xdr:pic>
      <xdr:nvPicPr>
        <xdr:cNvPr id="3" name="图片 2">
          <a:extLst>
            <a:ext uri="{FF2B5EF4-FFF2-40B4-BE49-F238E27FC236}">
              <a16:creationId xmlns:a16="http://schemas.microsoft.com/office/drawing/2014/main" id="{6907334F-7FC8-44FF-B46F-1741045AA4E0}"/>
            </a:ext>
          </a:extLst>
        </xdr:cNvPr>
        <xdr:cNvPicPr>
          <a:picLocks noChangeAspect="1"/>
        </xdr:cNvPicPr>
      </xdr:nvPicPr>
      <xdr:blipFill>
        <a:blip xmlns:r="http://schemas.openxmlformats.org/officeDocument/2006/relationships" r:embed="rId2"/>
        <a:stretch>
          <a:fillRect/>
        </a:stretch>
      </xdr:blipFill>
      <xdr:spPr>
        <a:xfrm>
          <a:off x="0" y="1352550"/>
          <a:ext cx="10495186" cy="4276138"/>
        </a:xfrm>
        <a:prstGeom prst="rect">
          <a:avLst/>
        </a:prstGeom>
      </xdr:spPr>
    </xdr:pic>
    <xdr:clientData/>
  </xdr:twoCellAnchor>
  <xdr:twoCellAnchor editAs="oneCell">
    <xdr:from>
      <xdr:col>0</xdr:col>
      <xdr:colOff>0</xdr:colOff>
      <xdr:row>56</xdr:row>
      <xdr:rowOff>0</xdr:rowOff>
    </xdr:from>
    <xdr:to>
      <xdr:col>13</xdr:col>
      <xdr:colOff>655771</xdr:colOff>
      <xdr:row>80</xdr:row>
      <xdr:rowOff>66152</xdr:rowOff>
    </xdr:to>
    <xdr:pic>
      <xdr:nvPicPr>
        <xdr:cNvPr id="4" name="图片 3">
          <a:extLst>
            <a:ext uri="{FF2B5EF4-FFF2-40B4-BE49-F238E27FC236}">
              <a16:creationId xmlns:a16="http://schemas.microsoft.com/office/drawing/2014/main" id="{D3AD12A2-98DF-4BBD-AF71-DFBFD01F569C}"/>
            </a:ext>
          </a:extLst>
        </xdr:cNvPr>
        <xdr:cNvPicPr>
          <a:picLocks noChangeAspect="1"/>
        </xdr:cNvPicPr>
      </xdr:nvPicPr>
      <xdr:blipFill>
        <a:blip xmlns:r="http://schemas.openxmlformats.org/officeDocument/2006/relationships" r:embed="rId3"/>
        <a:stretch>
          <a:fillRect/>
        </a:stretch>
      </xdr:blipFill>
      <xdr:spPr>
        <a:xfrm>
          <a:off x="0" y="9601200"/>
          <a:ext cx="11628571" cy="4180952"/>
        </a:xfrm>
        <a:prstGeom prst="rect">
          <a:avLst/>
        </a:prstGeom>
      </xdr:spPr>
    </xdr:pic>
    <xdr:clientData/>
  </xdr:twoCellAnchor>
  <xdr:twoCellAnchor editAs="oneCell">
    <xdr:from>
      <xdr:col>0</xdr:col>
      <xdr:colOff>0</xdr:colOff>
      <xdr:row>81</xdr:row>
      <xdr:rowOff>0</xdr:rowOff>
    </xdr:from>
    <xdr:to>
      <xdr:col>13</xdr:col>
      <xdr:colOff>541486</xdr:colOff>
      <xdr:row>108</xdr:row>
      <xdr:rowOff>47040</xdr:rowOff>
    </xdr:to>
    <xdr:pic>
      <xdr:nvPicPr>
        <xdr:cNvPr id="6" name="图片 5">
          <a:extLst>
            <a:ext uri="{FF2B5EF4-FFF2-40B4-BE49-F238E27FC236}">
              <a16:creationId xmlns:a16="http://schemas.microsoft.com/office/drawing/2014/main" id="{CF12BA71-362C-4FD1-834B-70160171CF83}"/>
            </a:ext>
          </a:extLst>
        </xdr:cNvPr>
        <xdr:cNvPicPr>
          <a:picLocks noChangeAspect="1"/>
        </xdr:cNvPicPr>
      </xdr:nvPicPr>
      <xdr:blipFill>
        <a:blip xmlns:r="http://schemas.openxmlformats.org/officeDocument/2006/relationships" r:embed="rId4"/>
        <a:stretch>
          <a:fillRect/>
        </a:stretch>
      </xdr:blipFill>
      <xdr:spPr>
        <a:xfrm>
          <a:off x="0" y="13887450"/>
          <a:ext cx="11514286" cy="4676190"/>
        </a:xfrm>
        <a:prstGeom prst="rect">
          <a:avLst/>
        </a:prstGeom>
      </xdr:spPr>
    </xdr:pic>
    <xdr:clientData/>
  </xdr:twoCellAnchor>
  <xdr:twoCellAnchor editAs="oneCell">
    <xdr:from>
      <xdr:col>0</xdr:col>
      <xdr:colOff>0</xdr:colOff>
      <xdr:row>109</xdr:row>
      <xdr:rowOff>0</xdr:rowOff>
    </xdr:from>
    <xdr:to>
      <xdr:col>13</xdr:col>
      <xdr:colOff>608152</xdr:colOff>
      <xdr:row>134</xdr:row>
      <xdr:rowOff>123274</xdr:rowOff>
    </xdr:to>
    <xdr:pic>
      <xdr:nvPicPr>
        <xdr:cNvPr id="7" name="图片 6">
          <a:extLst>
            <a:ext uri="{FF2B5EF4-FFF2-40B4-BE49-F238E27FC236}">
              <a16:creationId xmlns:a16="http://schemas.microsoft.com/office/drawing/2014/main" id="{E1E594C8-B4A9-4DEB-A278-99CF30E3E0B6}"/>
            </a:ext>
          </a:extLst>
        </xdr:cNvPr>
        <xdr:cNvPicPr>
          <a:picLocks noChangeAspect="1"/>
        </xdr:cNvPicPr>
      </xdr:nvPicPr>
      <xdr:blipFill>
        <a:blip xmlns:r="http://schemas.openxmlformats.org/officeDocument/2006/relationships" r:embed="rId5"/>
        <a:stretch>
          <a:fillRect/>
        </a:stretch>
      </xdr:blipFill>
      <xdr:spPr>
        <a:xfrm>
          <a:off x="0" y="18688050"/>
          <a:ext cx="11580952" cy="4409524"/>
        </a:xfrm>
        <a:prstGeom prst="rect">
          <a:avLst/>
        </a:prstGeom>
      </xdr:spPr>
    </xdr:pic>
    <xdr:clientData/>
  </xdr:twoCellAnchor>
  <xdr:twoCellAnchor editAs="oneCell">
    <xdr:from>
      <xdr:col>0</xdr:col>
      <xdr:colOff>142875</xdr:colOff>
      <xdr:row>12</xdr:row>
      <xdr:rowOff>9525</xdr:rowOff>
    </xdr:from>
    <xdr:to>
      <xdr:col>13</xdr:col>
      <xdr:colOff>560551</xdr:colOff>
      <xdr:row>25</xdr:row>
      <xdr:rowOff>133056</xdr:rowOff>
    </xdr:to>
    <xdr:pic>
      <xdr:nvPicPr>
        <xdr:cNvPr id="8" name="图片 7">
          <a:extLst>
            <a:ext uri="{FF2B5EF4-FFF2-40B4-BE49-F238E27FC236}">
              <a16:creationId xmlns:a16="http://schemas.microsoft.com/office/drawing/2014/main" id="{E022A464-800C-4195-B212-15C2ED35FC26}"/>
            </a:ext>
          </a:extLst>
        </xdr:cNvPr>
        <xdr:cNvPicPr>
          <a:picLocks noChangeAspect="1"/>
        </xdr:cNvPicPr>
      </xdr:nvPicPr>
      <xdr:blipFill>
        <a:blip xmlns:r="http://schemas.openxmlformats.org/officeDocument/2006/relationships" r:embed="rId6"/>
        <a:stretch>
          <a:fillRect/>
        </a:stretch>
      </xdr:blipFill>
      <xdr:spPr>
        <a:xfrm>
          <a:off x="142875" y="2066925"/>
          <a:ext cx="11390476" cy="2352381"/>
        </a:xfrm>
        <a:prstGeom prst="rect">
          <a:avLst/>
        </a:prstGeom>
      </xdr:spPr>
    </xdr:pic>
    <xdr:clientData/>
  </xdr:twoCellAnchor>
  <xdr:twoCellAnchor editAs="oneCell">
    <xdr:from>
      <xdr:col>9</xdr:col>
      <xdr:colOff>28575</xdr:colOff>
      <xdr:row>1</xdr:row>
      <xdr:rowOff>66675</xdr:rowOff>
    </xdr:from>
    <xdr:to>
      <xdr:col>19</xdr:col>
      <xdr:colOff>646765</xdr:colOff>
      <xdr:row>28</xdr:row>
      <xdr:rowOff>151811</xdr:rowOff>
    </xdr:to>
    <xdr:pic>
      <xdr:nvPicPr>
        <xdr:cNvPr id="9" name="图片 8">
          <a:extLst>
            <a:ext uri="{FF2B5EF4-FFF2-40B4-BE49-F238E27FC236}">
              <a16:creationId xmlns:a16="http://schemas.microsoft.com/office/drawing/2014/main" id="{DC593E2C-C313-406F-93A7-85AA1B98BF37}"/>
            </a:ext>
          </a:extLst>
        </xdr:cNvPr>
        <xdr:cNvPicPr>
          <a:picLocks noChangeAspect="1"/>
        </xdr:cNvPicPr>
      </xdr:nvPicPr>
      <xdr:blipFill>
        <a:blip xmlns:r="http://schemas.openxmlformats.org/officeDocument/2006/relationships" r:embed="rId7"/>
        <a:stretch>
          <a:fillRect/>
        </a:stretch>
      </xdr:blipFill>
      <xdr:spPr>
        <a:xfrm>
          <a:off x="7658100" y="238125"/>
          <a:ext cx="7476190" cy="47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513428</xdr:colOff>
      <xdr:row>22</xdr:row>
      <xdr:rowOff>104290</xdr:rowOff>
    </xdr:to>
    <xdr:pic>
      <xdr:nvPicPr>
        <xdr:cNvPr id="2" name="图片 1">
          <a:extLst>
            <a:ext uri="{FF2B5EF4-FFF2-40B4-BE49-F238E27FC236}">
              <a16:creationId xmlns:a16="http://schemas.microsoft.com/office/drawing/2014/main" id="{2715D8F7-6A7C-491E-8671-1EDB8AD295AD}"/>
            </a:ext>
          </a:extLst>
        </xdr:cNvPr>
        <xdr:cNvPicPr>
          <a:picLocks noChangeAspect="1"/>
        </xdr:cNvPicPr>
      </xdr:nvPicPr>
      <xdr:blipFill>
        <a:blip xmlns:r="http://schemas.openxmlformats.org/officeDocument/2006/relationships" r:embed="rId1"/>
        <a:stretch>
          <a:fillRect/>
        </a:stretch>
      </xdr:blipFill>
      <xdr:spPr>
        <a:xfrm>
          <a:off x="0" y="0"/>
          <a:ext cx="7371428" cy="3876190"/>
        </a:xfrm>
        <a:prstGeom prst="rect">
          <a:avLst/>
        </a:prstGeom>
      </xdr:spPr>
    </xdr:pic>
    <xdr:clientData/>
  </xdr:twoCellAnchor>
  <xdr:twoCellAnchor editAs="oneCell">
    <xdr:from>
      <xdr:col>0</xdr:col>
      <xdr:colOff>0</xdr:colOff>
      <xdr:row>23</xdr:row>
      <xdr:rowOff>0</xdr:rowOff>
    </xdr:from>
    <xdr:to>
      <xdr:col>10</xdr:col>
      <xdr:colOff>437238</xdr:colOff>
      <xdr:row>30</xdr:row>
      <xdr:rowOff>56993</xdr:rowOff>
    </xdr:to>
    <xdr:pic>
      <xdr:nvPicPr>
        <xdr:cNvPr id="3" name="图片 2">
          <a:extLst>
            <a:ext uri="{FF2B5EF4-FFF2-40B4-BE49-F238E27FC236}">
              <a16:creationId xmlns:a16="http://schemas.microsoft.com/office/drawing/2014/main" id="{E722CCD5-52DD-4FAF-844C-B09FC6DB3D21}"/>
            </a:ext>
          </a:extLst>
        </xdr:cNvPr>
        <xdr:cNvPicPr>
          <a:picLocks noChangeAspect="1"/>
        </xdr:cNvPicPr>
      </xdr:nvPicPr>
      <xdr:blipFill>
        <a:blip xmlns:r="http://schemas.openxmlformats.org/officeDocument/2006/relationships" r:embed="rId2"/>
        <a:stretch>
          <a:fillRect/>
        </a:stretch>
      </xdr:blipFill>
      <xdr:spPr>
        <a:xfrm>
          <a:off x="0" y="3943350"/>
          <a:ext cx="7295238" cy="1257143"/>
        </a:xfrm>
        <a:prstGeom prst="rect">
          <a:avLst/>
        </a:prstGeom>
      </xdr:spPr>
    </xdr:pic>
    <xdr:clientData/>
  </xdr:twoCellAnchor>
  <xdr:twoCellAnchor editAs="oneCell">
    <xdr:from>
      <xdr:col>0</xdr:col>
      <xdr:colOff>0</xdr:colOff>
      <xdr:row>31</xdr:row>
      <xdr:rowOff>0</xdr:rowOff>
    </xdr:from>
    <xdr:to>
      <xdr:col>9</xdr:col>
      <xdr:colOff>656371</xdr:colOff>
      <xdr:row>38</xdr:row>
      <xdr:rowOff>9374</xdr:rowOff>
    </xdr:to>
    <xdr:pic>
      <xdr:nvPicPr>
        <xdr:cNvPr id="4" name="图片 3">
          <a:extLst>
            <a:ext uri="{FF2B5EF4-FFF2-40B4-BE49-F238E27FC236}">
              <a16:creationId xmlns:a16="http://schemas.microsoft.com/office/drawing/2014/main" id="{6C75F881-B6C3-48C4-857D-8537A9490E8E}"/>
            </a:ext>
          </a:extLst>
        </xdr:cNvPr>
        <xdr:cNvPicPr>
          <a:picLocks noChangeAspect="1"/>
        </xdr:cNvPicPr>
      </xdr:nvPicPr>
      <xdr:blipFill>
        <a:blip xmlns:r="http://schemas.openxmlformats.org/officeDocument/2006/relationships" r:embed="rId3"/>
        <a:stretch>
          <a:fillRect/>
        </a:stretch>
      </xdr:blipFill>
      <xdr:spPr>
        <a:xfrm>
          <a:off x="0" y="5314950"/>
          <a:ext cx="6828571" cy="1209524"/>
        </a:xfrm>
        <a:prstGeom prst="rect">
          <a:avLst/>
        </a:prstGeom>
      </xdr:spPr>
    </xdr:pic>
    <xdr:clientData/>
  </xdr:twoCellAnchor>
  <xdr:twoCellAnchor editAs="oneCell">
    <xdr:from>
      <xdr:col>0</xdr:col>
      <xdr:colOff>0</xdr:colOff>
      <xdr:row>38</xdr:row>
      <xdr:rowOff>0</xdr:rowOff>
    </xdr:from>
    <xdr:to>
      <xdr:col>9</xdr:col>
      <xdr:colOff>656371</xdr:colOff>
      <xdr:row>45</xdr:row>
      <xdr:rowOff>28421</xdr:rowOff>
    </xdr:to>
    <xdr:pic>
      <xdr:nvPicPr>
        <xdr:cNvPr id="5" name="图片 4">
          <a:extLst>
            <a:ext uri="{FF2B5EF4-FFF2-40B4-BE49-F238E27FC236}">
              <a16:creationId xmlns:a16="http://schemas.microsoft.com/office/drawing/2014/main" id="{986C0702-095E-4389-9C6E-ED2321D95339}"/>
            </a:ext>
          </a:extLst>
        </xdr:cNvPr>
        <xdr:cNvPicPr>
          <a:picLocks noChangeAspect="1"/>
        </xdr:cNvPicPr>
      </xdr:nvPicPr>
      <xdr:blipFill>
        <a:blip xmlns:r="http://schemas.openxmlformats.org/officeDocument/2006/relationships" r:embed="rId4"/>
        <a:stretch>
          <a:fillRect/>
        </a:stretch>
      </xdr:blipFill>
      <xdr:spPr>
        <a:xfrm>
          <a:off x="0" y="6515100"/>
          <a:ext cx="6828571" cy="1228571"/>
        </a:xfrm>
        <a:prstGeom prst="rect">
          <a:avLst/>
        </a:prstGeom>
      </xdr:spPr>
    </xdr:pic>
    <xdr:clientData/>
  </xdr:twoCellAnchor>
  <xdr:twoCellAnchor editAs="oneCell">
    <xdr:from>
      <xdr:col>0</xdr:col>
      <xdr:colOff>0</xdr:colOff>
      <xdr:row>45</xdr:row>
      <xdr:rowOff>0</xdr:rowOff>
    </xdr:from>
    <xdr:to>
      <xdr:col>9</xdr:col>
      <xdr:colOff>684943</xdr:colOff>
      <xdr:row>52</xdr:row>
      <xdr:rowOff>9374</xdr:rowOff>
    </xdr:to>
    <xdr:pic>
      <xdr:nvPicPr>
        <xdr:cNvPr id="6" name="图片 5">
          <a:extLst>
            <a:ext uri="{FF2B5EF4-FFF2-40B4-BE49-F238E27FC236}">
              <a16:creationId xmlns:a16="http://schemas.microsoft.com/office/drawing/2014/main" id="{E010497B-E6E5-4BBF-82C4-1B918F3A7AE2}"/>
            </a:ext>
          </a:extLst>
        </xdr:cNvPr>
        <xdr:cNvPicPr>
          <a:picLocks noChangeAspect="1"/>
        </xdr:cNvPicPr>
      </xdr:nvPicPr>
      <xdr:blipFill>
        <a:blip xmlns:r="http://schemas.openxmlformats.org/officeDocument/2006/relationships" r:embed="rId5"/>
        <a:stretch>
          <a:fillRect/>
        </a:stretch>
      </xdr:blipFill>
      <xdr:spPr>
        <a:xfrm>
          <a:off x="0" y="7715250"/>
          <a:ext cx="6857143" cy="1209524"/>
        </a:xfrm>
        <a:prstGeom prst="rect">
          <a:avLst/>
        </a:prstGeom>
      </xdr:spPr>
    </xdr:pic>
    <xdr:clientData/>
  </xdr:twoCellAnchor>
  <xdr:twoCellAnchor editAs="oneCell">
    <xdr:from>
      <xdr:col>0</xdr:col>
      <xdr:colOff>0</xdr:colOff>
      <xdr:row>52</xdr:row>
      <xdr:rowOff>0</xdr:rowOff>
    </xdr:from>
    <xdr:to>
      <xdr:col>10</xdr:col>
      <xdr:colOff>8667</xdr:colOff>
      <xdr:row>67</xdr:row>
      <xdr:rowOff>18726</xdr:rowOff>
    </xdr:to>
    <xdr:pic>
      <xdr:nvPicPr>
        <xdr:cNvPr id="7" name="图片 6">
          <a:extLst>
            <a:ext uri="{FF2B5EF4-FFF2-40B4-BE49-F238E27FC236}">
              <a16:creationId xmlns:a16="http://schemas.microsoft.com/office/drawing/2014/main" id="{798784C7-8DCF-4131-8379-6ECB4D9857F1}"/>
            </a:ext>
          </a:extLst>
        </xdr:cNvPr>
        <xdr:cNvPicPr>
          <a:picLocks noChangeAspect="1"/>
        </xdr:cNvPicPr>
      </xdr:nvPicPr>
      <xdr:blipFill>
        <a:blip xmlns:r="http://schemas.openxmlformats.org/officeDocument/2006/relationships" r:embed="rId6"/>
        <a:stretch>
          <a:fillRect/>
        </a:stretch>
      </xdr:blipFill>
      <xdr:spPr>
        <a:xfrm>
          <a:off x="0" y="8915400"/>
          <a:ext cx="6866667" cy="2590476"/>
        </a:xfrm>
        <a:prstGeom prst="rect">
          <a:avLst/>
        </a:prstGeom>
      </xdr:spPr>
    </xdr:pic>
    <xdr:clientData/>
  </xdr:twoCellAnchor>
  <xdr:twoCellAnchor editAs="oneCell">
    <xdr:from>
      <xdr:col>0</xdr:col>
      <xdr:colOff>0</xdr:colOff>
      <xdr:row>67</xdr:row>
      <xdr:rowOff>0</xdr:rowOff>
    </xdr:from>
    <xdr:to>
      <xdr:col>9</xdr:col>
      <xdr:colOff>589705</xdr:colOff>
      <xdr:row>89</xdr:row>
      <xdr:rowOff>85243</xdr:rowOff>
    </xdr:to>
    <xdr:pic>
      <xdr:nvPicPr>
        <xdr:cNvPr id="8" name="图片 7">
          <a:extLst>
            <a:ext uri="{FF2B5EF4-FFF2-40B4-BE49-F238E27FC236}">
              <a16:creationId xmlns:a16="http://schemas.microsoft.com/office/drawing/2014/main" id="{A837C3DF-943A-47A0-BB4D-0589B1606608}"/>
            </a:ext>
          </a:extLst>
        </xdr:cNvPr>
        <xdr:cNvPicPr>
          <a:picLocks noChangeAspect="1"/>
        </xdr:cNvPicPr>
      </xdr:nvPicPr>
      <xdr:blipFill>
        <a:blip xmlns:r="http://schemas.openxmlformats.org/officeDocument/2006/relationships" r:embed="rId7"/>
        <a:stretch>
          <a:fillRect/>
        </a:stretch>
      </xdr:blipFill>
      <xdr:spPr>
        <a:xfrm>
          <a:off x="0" y="11487150"/>
          <a:ext cx="6761905" cy="3857143"/>
        </a:xfrm>
        <a:prstGeom prst="rect">
          <a:avLst/>
        </a:prstGeom>
      </xdr:spPr>
    </xdr:pic>
    <xdr:clientData/>
  </xdr:twoCellAnchor>
  <xdr:twoCellAnchor editAs="oneCell">
    <xdr:from>
      <xdr:col>0</xdr:col>
      <xdr:colOff>0</xdr:colOff>
      <xdr:row>90</xdr:row>
      <xdr:rowOff>0</xdr:rowOff>
    </xdr:from>
    <xdr:to>
      <xdr:col>10</xdr:col>
      <xdr:colOff>380095</xdr:colOff>
      <xdr:row>116</xdr:row>
      <xdr:rowOff>75633</xdr:rowOff>
    </xdr:to>
    <xdr:pic>
      <xdr:nvPicPr>
        <xdr:cNvPr id="9" name="图片 8">
          <a:extLst>
            <a:ext uri="{FF2B5EF4-FFF2-40B4-BE49-F238E27FC236}">
              <a16:creationId xmlns:a16="http://schemas.microsoft.com/office/drawing/2014/main" id="{A038D814-B4F7-4D74-9C13-85A249DD29ED}"/>
            </a:ext>
          </a:extLst>
        </xdr:cNvPr>
        <xdr:cNvPicPr>
          <a:picLocks noChangeAspect="1"/>
        </xdr:cNvPicPr>
      </xdr:nvPicPr>
      <xdr:blipFill>
        <a:blip xmlns:r="http://schemas.openxmlformats.org/officeDocument/2006/relationships" r:embed="rId8"/>
        <a:stretch>
          <a:fillRect/>
        </a:stretch>
      </xdr:blipFill>
      <xdr:spPr>
        <a:xfrm>
          <a:off x="0" y="15430500"/>
          <a:ext cx="7238095" cy="4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估价对象为北京市房地产，为所有。根据《国有土地使用证》[]，估价对象（分摊）出让国有建设用地使用权面积为842.89平方米，建筑面积为1189.08平方米。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估价对象为北京市房地产,属开发建设的，该项目尚在开发建设中。根据《国有土地使用证》[]，估价对象（分摊）出让国有建设用地使用权面积为842.89平方米，规划建筑面积为1189.08平方米。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2023年8月10日（评估专业人员实地查勘之日）</v>
      </c>
    </row>
    <row r="13" spans="1:2" s="1203" customFormat="1">
      <c r="A13" s="1201" t="s">
        <v>529</v>
      </c>
      <c r="B13" s="1202" t="str">
        <f>'预评函-1'!A18</f>
        <v>本次估价的“房地产价值”是指在正常市场情况下，在价值时点2023年8月10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1189.08</v>
      </c>
    </row>
    <row r="44" spans="1:2" s="1203" customFormat="1">
      <c r="A44" s="1201" t="s">
        <v>575</v>
      </c>
      <c r="B44" s="1202" t="str">
        <f>'预评函-3'!C2</f>
        <v>(分摊)土地面积</v>
      </c>
    </row>
    <row r="45" spans="1:2" s="1203" customFormat="1">
      <c r="A45" s="1201" t="s">
        <v>547</v>
      </c>
      <c r="B45" s="1202">
        <f>'预评函-3'!C4</f>
        <v>842.89</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9" t="str">
        <f>项目基本情况!B1</f>
        <v>北京市房地产市场价值预评估</v>
      </c>
      <c r="C37" s="3469"/>
      <c r="D37" s="3469"/>
      <c r="E37" s="3469"/>
      <c r="F37" s="3469"/>
      <c r="G37" s="3469"/>
      <c r="H37" s="3469"/>
      <c r="I37" s="346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估价对象为北京市房地产，为所有。根据《国有土地使用证》[]，估价对象（分摊）出让国有建设用地使用权面积为842.89平方米，建筑面积为1189.08平方米。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估价对象为北京市房地产,属开发建设的，该项目尚在开发建设中。根据《国有土地使用证》[]，估价对象（分摊）出让国有建设用地使用权面积为842.89平方米，规划建筑面积为1189.08平方米。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2023年8月10日（评估专业人员实地查勘之日）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估价结果一览表（市场价值不需“结果表-1”）</v>
      </c>
      <c r="B3" s="3475"/>
      <c r="C3" s="3475"/>
      <c r="D3" s="3475"/>
      <c r="E3" s="3475"/>
    </row>
    <row r="4" spans="1:5" ht="19.5" thickBot="1">
      <c r="A4" s="1493"/>
      <c r="B4" s="3473" t="s">
        <v>917</v>
      </c>
      <c r="C4" s="3473"/>
      <c r="D4" s="3473"/>
      <c r="E4" s="1493"/>
    </row>
    <row r="5" spans="1:5" ht="16.5" thickTop="1">
      <c r="A5" s="1491"/>
      <c r="B5" s="3471" t="s">
        <v>909</v>
      </c>
      <c r="C5" s="1494" t="s">
        <v>910</v>
      </c>
      <c r="D5" s="850" t="e">
        <f ca="1">结果表!H101</f>
        <v>#REF!</v>
      </c>
      <c r="E5" s="1491"/>
    </row>
    <row r="6" spans="1:5" ht="15.75">
      <c r="A6" s="1491"/>
      <c r="B6" s="3471"/>
      <c r="C6" s="1494" t="s">
        <v>911</v>
      </c>
      <c r="D6" s="850" t="e">
        <f ca="1">NUMBERSTRING(INT(D5*10000),2)&amp;"元整"</f>
        <v>#REF!</v>
      </c>
      <c r="E6" s="1491"/>
    </row>
    <row r="7" spans="1:5" ht="15.75">
      <c r="A7" s="1491"/>
      <c r="B7" s="3476"/>
      <c r="C7" s="1495" t="s">
        <v>912</v>
      </c>
      <c r="D7" s="851" t="e">
        <f ca="1">结果表!H102</f>
        <v>#REF!</v>
      </c>
      <c r="E7" s="1491"/>
    </row>
    <row r="8" spans="1:5" ht="15.75">
      <c r="A8" s="1491"/>
      <c r="B8" s="3477" t="str">
        <f>结果表!E103</f>
        <v>2.估价师知悉的法定优先受偿款</v>
      </c>
      <c r="C8" s="1496" t="s">
        <v>913</v>
      </c>
      <c r="D8" s="851">
        <f>结果表!H103</f>
        <v>0</v>
      </c>
      <c r="E8" s="1491"/>
    </row>
    <row r="9" spans="1:5" ht="15.75">
      <c r="A9" s="1491"/>
      <c r="B9" s="347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0" t="str">
        <f>结果表!E107</f>
        <v>3.房地产抵押价值</v>
      </c>
      <c r="C13" s="1499" t="s">
        <v>910</v>
      </c>
      <c r="D13" s="853" t="e">
        <f ca="1">结果表!H107</f>
        <v>#REF!</v>
      </c>
      <c r="E13" s="1491"/>
    </row>
    <row r="14" spans="1:5" ht="15.75">
      <c r="A14" s="1491"/>
      <c r="B14" s="3471"/>
      <c r="C14" s="1494" t="s">
        <v>911</v>
      </c>
      <c r="D14" s="850" t="e">
        <f ca="1">NUMBERSTRING(INT(D13*10000),2)&amp;"元整"</f>
        <v>#REF!</v>
      </c>
      <c r="E14" s="1491"/>
    </row>
    <row r="15" spans="1:5" ht="15">
      <c r="A15" s="1491"/>
      <c r="B15" s="3476"/>
      <c r="C15" s="1495" t="s">
        <v>921</v>
      </c>
      <c r="D15" s="859" t="e">
        <f ca="1">结果表!H108</f>
        <v>#REF!</v>
      </c>
      <c r="E15" s="1491"/>
    </row>
    <row r="16" spans="1:5" ht="15">
      <c r="A16" s="1491"/>
      <c r="B16" s="3477" t="str">
        <f>结果表!E109</f>
        <v>——</v>
      </c>
      <c r="C16" s="1499" t="s">
        <v>922</v>
      </c>
      <c r="D16" s="1500" t="str">
        <f>结果表!H109</f>
        <v>——</v>
      </c>
      <c r="E16" s="1491"/>
    </row>
    <row r="17" spans="1:5" ht="15.75">
      <c r="A17" s="1491"/>
      <c r="B17" s="3478"/>
      <c r="C17" s="1494" t="s">
        <v>923</v>
      </c>
      <c r="D17" s="850" t="e">
        <f>NUMBERSTRING(INT(D16*10000),2)&amp;"元整"</f>
        <v>#VALUE!</v>
      </c>
      <c r="E17" s="1491"/>
    </row>
    <row r="18" spans="1:5" ht="15">
      <c r="A18" s="1491"/>
      <c r="B18" s="3479"/>
      <c r="C18" s="1495" t="s">
        <v>912</v>
      </c>
      <c r="D18" s="859" t="str">
        <f>结果表!H110</f>
        <v>——</v>
      </c>
      <c r="E18" s="1491"/>
    </row>
    <row r="19" spans="1:5" ht="15.75">
      <c r="A19" s="1491"/>
      <c r="B19" s="3470" t="str">
        <f>结果表!E111</f>
        <v>——</v>
      </c>
      <c r="C19" s="1499" t="s">
        <v>910</v>
      </c>
      <c r="D19" s="851" t="str">
        <f>结果表!H111</f>
        <v>——</v>
      </c>
      <c r="E19" s="1491"/>
    </row>
    <row r="20" spans="1:5" ht="15.75">
      <c r="A20" s="1491"/>
      <c r="B20" s="3471"/>
      <c r="C20" s="1494" t="s">
        <v>923</v>
      </c>
      <c r="D20" s="850" t="e">
        <f>NUMBERSTRING(INT(D19*10000),2)&amp;"元整"</f>
        <v>#VALUE!</v>
      </c>
      <c r="E20" s="1491"/>
    </row>
    <row r="21" spans="1:5" ht="15.75" thickBot="1">
      <c r="A21" s="1491"/>
      <c r="B21" s="347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估价结果一览表</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房地产市场价值</v>
      </c>
      <c r="I2" s="3481"/>
    </row>
    <row r="3" spans="1:9" ht="15">
      <c r="A3" s="3482"/>
      <c r="B3" s="3482"/>
      <c r="C3" s="3482"/>
      <c r="D3" s="854" t="s">
        <v>925</v>
      </c>
      <c r="E3" s="854" t="s">
        <v>931</v>
      </c>
      <c r="F3" s="854" t="s">
        <v>925</v>
      </c>
      <c r="G3" s="854" t="s">
        <v>926</v>
      </c>
      <c r="H3" s="854" t="s">
        <v>925</v>
      </c>
      <c r="I3" s="854" t="s">
        <v>926</v>
      </c>
    </row>
    <row r="4" spans="1:9" ht="15">
      <c r="A4" s="1505" t="str">
        <f>项目基本情况!S2</f>
        <v>北京市房地产</v>
      </c>
      <c r="B4" s="854">
        <f>项目基本情况!C17</f>
        <v>1189.08</v>
      </c>
      <c r="C4" s="854">
        <f>项目基本情况!C18</f>
        <v>842.89</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2" t="s">
        <v>927</v>
      </c>
      <c r="B5" s="3482"/>
      <c r="C5" s="3482"/>
      <c r="D5" s="3482" t="e">
        <f ca="1">结果表!D119</f>
        <v>#REF!</v>
      </c>
      <c r="E5" s="3482"/>
      <c r="F5" s="3482" t="e">
        <f ca="1">结果表!F119</f>
        <v>#REF!</v>
      </c>
      <c r="G5" s="3482"/>
      <c r="H5" s="3482" t="e">
        <f ca="1">结果表!H119</f>
        <v>#REF!</v>
      </c>
      <c r="I5" s="3482"/>
    </row>
    <row r="6" spans="1:9" ht="15.75">
      <c r="A6" s="3483" t="str">
        <f>结果表!A120</f>
        <v/>
      </c>
      <c r="B6" s="3483"/>
      <c r="C6" s="3483"/>
      <c r="D6" s="3483">
        <f>结果表!D120</f>
        <v>0</v>
      </c>
      <c r="E6" s="3483"/>
      <c r="F6" s="3483"/>
      <c r="G6" s="3483"/>
      <c r="H6" s="3483"/>
      <c r="I6" s="3483"/>
    </row>
    <row r="7" spans="1:9" ht="15">
      <c r="A7" s="3482" t="s">
        <v>927</v>
      </c>
      <c r="B7" s="3482"/>
      <c r="C7" s="3482"/>
      <c r="D7" s="3484" t="str">
        <f>结果表!D121</f>
        <v>零元整</v>
      </c>
      <c r="E7" s="3485"/>
      <c r="F7" s="3485"/>
      <c r="G7" s="3485"/>
      <c r="H7" s="3485"/>
      <c r="I7" s="3486"/>
    </row>
    <row r="8" spans="1:9" ht="15.75">
      <c r="A8" s="3483" t="str">
        <f>结果表!A122</f>
        <v/>
      </c>
      <c r="B8" s="3483"/>
      <c r="C8" s="3483"/>
      <c r="D8" s="3483" t="e">
        <f ca="1">结果表!D122</f>
        <v>#REF!</v>
      </c>
      <c r="E8" s="3483"/>
      <c r="F8" s="3483"/>
      <c r="G8" s="3483"/>
      <c r="H8" s="3483"/>
      <c r="I8" s="3483"/>
    </row>
    <row r="9" spans="1:9" ht="15">
      <c r="A9" s="3482" t="s">
        <v>927</v>
      </c>
      <c r="B9" s="3482"/>
      <c r="C9" s="3482"/>
      <c r="D9" s="3482" t="e">
        <f ca="1">结果表!D123</f>
        <v>#REF!</v>
      </c>
      <c r="E9" s="3482"/>
      <c r="F9" s="3482"/>
      <c r="G9" s="3482"/>
      <c r="H9" s="3482"/>
      <c r="I9" s="3482"/>
    </row>
    <row r="10" spans="1:9" ht="15.75">
      <c r="A10" s="3483" t="str">
        <f>结果表!A124</f>
        <v/>
      </c>
      <c r="B10" s="3483"/>
      <c r="C10" s="3483"/>
      <c r="D10" s="3483" t="str">
        <f>结果表!D124</f>
        <v>——</v>
      </c>
      <c r="E10" s="3483"/>
      <c r="F10" s="3483"/>
      <c r="G10" s="3483"/>
      <c r="H10" s="3483"/>
      <c r="I10" s="3483"/>
    </row>
    <row r="11" spans="1:9" ht="15">
      <c r="A11" s="3482" t="s">
        <v>927</v>
      </c>
      <c r="B11" s="3482"/>
      <c r="C11" s="3482"/>
      <c r="D11" s="3482" t="e">
        <f>结果表!D125</f>
        <v>#VALUE!</v>
      </c>
      <c r="E11" s="3482"/>
      <c r="F11" s="3482"/>
      <c r="G11" s="3482"/>
      <c r="H11" s="3482"/>
      <c r="I11" s="3482"/>
    </row>
    <row r="12" spans="1:9" ht="15.75">
      <c r="A12" s="3483" t="str">
        <f>结果表!A126</f>
        <v/>
      </c>
      <c r="B12" s="3483"/>
      <c r="C12" s="3483"/>
      <c r="D12" s="3483" t="str">
        <f>结果表!D126</f>
        <v>——</v>
      </c>
      <c r="E12" s="3483"/>
      <c r="F12" s="3483"/>
      <c r="G12" s="3483"/>
      <c r="H12" s="3483"/>
      <c r="I12" s="3483"/>
    </row>
    <row r="13" spans="1:9" ht="15.75" thickBot="1">
      <c r="A13" s="3487" t="s">
        <v>927</v>
      </c>
      <c r="B13" s="3487"/>
      <c r="C13" s="3487"/>
      <c r="D13" s="3487" t="e">
        <f>结果表!D127</f>
        <v>#VALUE!</v>
      </c>
      <c r="E13" s="3487"/>
      <c r="F13" s="3487"/>
      <c r="G13" s="3487"/>
      <c r="H13" s="3487"/>
      <c r="I13" s="3487"/>
    </row>
    <row r="14" spans="1:9" ht="15" thickTop="1">
      <c r="A14" s="3488" t="s">
        <v>932</v>
      </c>
      <c r="B14" s="3488"/>
      <c r="C14" s="3488"/>
      <c r="D14" s="3488"/>
      <c r="E14" s="3488"/>
      <c r="F14" s="3488"/>
      <c r="G14" s="3488"/>
      <c r="H14" s="3488"/>
      <c r="I14" s="348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9" t="s">
        <v>949</v>
      </c>
      <c r="B1" s="3489"/>
      <c r="C1" s="3489"/>
      <c r="D1" s="3489"/>
    </row>
    <row r="2" spans="1:4" ht="18">
      <c r="A2" s="3490" t="s">
        <v>933</v>
      </c>
      <c r="B2" s="3490"/>
      <c r="C2" s="3490"/>
      <c r="D2" s="3490"/>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90" t="s">
        <v>939</v>
      </c>
      <c r="B6" s="3490"/>
      <c r="C6" s="3490"/>
      <c r="D6" s="349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1"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3"/>
      <c r="C12" s="3493"/>
      <c r="D12" s="3493"/>
    </row>
    <row r="13" spans="1:4" ht="30" customHeight="1">
      <c r="A13" s="3492" t="str">
        <f>IF(项目基本情况!B8="抵押","3.抵押双方在办理抵押登记手续时，应使用本公司出具的正式《房地产评估报告》，特提醒报告使用者注意。","——")</f>
        <v>——</v>
      </c>
      <c r="B13" s="3493"/>
      <c r="C13" s="3493"/>
      <c r="D13" s="3493"/>
    </row>
    <row r="14" spans="1:4" ht="15.75" customHeight="1">
      <c r="A14" s="3492" t="str">
        <f>IF(项目基本情况!B8="抵押","4.本次评估估价师所知悉的法定优先受偿款情况说明如下：","——")</f>
        <v>——</v>
      </c>
      <c r="B14" s="3493"/>
      <c r="C14" s="3493"/>
      <c r="D14" s="3493"/>
    </row>
    <row r="15" spans="1:4" ht="42" customHeight="1">
      <c r="A15" s="3492" t="str">
        <f>IF(项目基本情况!B8="抵押","（1）"&amp;CONCATENATE(项目基本情况!L20,项目基本情况!L21,项目基本情况!L22),"——")</f>
        <v>——</v>
      </c>
      <c r="B15" s="3492"/>
      <c r="C15" s="3492"/>
      <c r="D15" s="3492"/>
    </row>
    <row r="16" spans="1:4" ht="30" customHeight="1">
      <c r="A16" s="3495" t="s">
        <v>943</v>
      </c>
      <c r="B16" s="3495"/>
      <c r="C16" s="3495"/>
      <c r="D16" s="3495"/>
    </row>
    <row r="17" spans="1:4" ht="144" customHeight="1">
      <c r="A17" s="3495" t="s">
        <v>944</v>
      </c>
      <c r="B17" s="3495"/>
      <c r="C17" s="3495"/>
      <c r="D17" s="3495"/>
    </row>
    <row r="18" spans="1:4" ht="15.75" customHeight="1">
      <c r="A18" s="3492" t="str">
        <f>IF(项目基本情况!B8="抵押",结果表!K120,"——")</f>
        <v>——</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2"/>
      <c r="C20" s="3492"/>
      <c r="D20" s="3492"/>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6"/>
      <c r="C21" s="3496"/>
      <c r="D21" s="3496"/>
    </row>
    <row r="22" spans="1:4" ht="18.75" customHeight="1">
      <c r="A22" s="3497" t="s">
        <v>945</v>
      </c>
      <c r="B22" s="3497"/>
      <c r="C22" s="3497"/>
      <c r="D22" s="349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4">
        <v>42551</v>
      </c>
      <c r="D31" s="34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F12" sqref="F12"/>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3" t="s">
        <v>956</v>
      </c>
      <c r="B15" s="3498" t="s">
        <v>109</v>
      </c>
      <c r="C15" s="3499"/>
    </row>
    <row r="16" spans="1:7" ht="13.5">
      <c r="A16" s="3504"/>
      <c r="B16" s="3498" t="s">
        <v>42</v>
      </c>
      <c r="C16" s="3499"/>
    </row>
    <row r="17" spans="1:3" ht="13.5">
      <c r="A17" s="3504"/>
      <c r="B17" s="3501" t="s">
        <v>957</v>
      </c>
      <c r="C17" s="1532" t="s">
        <v>956</v>
      </c>
    </row>
    <row r="18" spans="1:3" ht="13.5">
      <c r="A18" s="3504"/>
      <c r="B18" s="3501"/>
      <c r="C18" s="1532" t="s">
        <v>958</v>
      </c>
    </row>
    <row r="19" spans="1:3" ht="13.5">
      <c r="A19" s="3504"/>
      <c r="B19" s="3501"/>
      <c r="C19" s="1532" t="s">
        <v>959</v>
      </c>
    </row>
    <row r="20" spans="1:3" ht="13.5">
      <c r="A20" s="3505"/>
      <c r="B20" s="3500" t="s">
        <v>960</v>
      </c>
      <c r="C20" s="3499"/>
    </row>
    <row r="21" spans="1:3" ht="13.5">
      <c r="A21" s="1533" t="s">
        <v>961</v>
      </c>
      <c r="B21" s="1534"/>
      <c r="C21" s="1535"/>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2" t="s">
        <v>967</v>
      </c>
    </row>
    <row r="26" spans="1:3" ht="13.5">
      <c r="A26" s="3502"/>
      <c r="B26" s="3501"/>
      <c r="C26" s="1532" t="s">
        <v>968</v>
      </c>
    </row>
    <row r="27" spans="1:3" ht="13.5">
      <c r="A27" s="3502"/>
      <c r="B27" s="3501"/>
      <c r="C27" s="1532" t="s">
        <v>969</v>
      </c>
    </row>
    <row r="28" spans="1:3" ht="13.5">
      <c r="A28" s="3502"/>
      <c r="B28" s="3501"/>
      <c r="C28" s="1532" t="s">
        <v>970</v>
      </c>
    </row>
    <row r="29" spans="1:3" ht="13.5">
      <c r="A29" s="3502"/>
      <c r="B29" s="3501"/>
      <c r="C29" s="1532" t="s">
        <v>971</v>
      </c>
    </row>
    <row r="30" spans="1:3" ht="13.5">
      <c r="A30" s="3502"/>
      <c r="B30" s="3501"/>
      <c r="C30" s="1532" t="s">
        <v>972</v>
      </c>
    </row>
    <row r="31" spans="1:3" ht="13.5">
      <c r="A31" s="3502"/>
      <c r="B31" s="3501"/>
      <c r="C31" s="1532" t="s">
        <v>973</v>
      </c>
    </row>
    <row r="32" spans="1:3" ht="13.5">
      <c r="A32" s="3502"/>
      <c r="B32" s="3501"/>
      <c r="C32" s="1532" t="s">
        <v>974</v>
      </c>
    </row>
    <row r="33" spans="1:3" ht="13.5">
      <c r="A33" s="3502"/>
      <c r="B33" s="350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45187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3"/>
      <c r="E18" s="3508" t="s">
        <v>2162</v>
      </c>
      <c r="F18" s="3507"/>
      <c r="G18" s="350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4" workbookViewId="0">
      <selection activeCell="K11" sqref="K1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2580</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2581</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4" t="s">
        <v>385</v>
      </c>
      <c r="C54" s="1551" t="s">
        <v>583</v>
      </c>
    </row>
    <row r="55" spans="1:4">
      <c r="A55" s="3509"/>
      <c r="B55" s="1554" t="s">
        <v>386</v>
      </c>
      <c r="C55" s="1551" t="s">
        <v>584</v>
      </c>
    </row>
    <row r="56" spans="1:4">
      <c r="A56" s="3509"/>
      <c r="B56" s="1554" t="s">
        <v>387</v>
      </c>
      <c r="C56" s="1551" t="s">
        <v>588</v>
      </c>
    </row>
    <row r="57" spans="1:4">
      <c r="A57" s="350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10" t="s">
        <v>2583</v>
      </c>
      <c r="J2" s="3510"/>
      <c r="K2" s="3510"/>
      <c r="L2" s="3510"/>
      <c r="M2" s="3510"/>
      <c r="N2" s="3510"/>
      <c r="O2" s="3510"/>
      <c r="P2" s="3510"/>
      <c r="Q2" s="3510"/>
      <c r="R2" s="3510"/>
    </row>
    <row r="3" spans="1:18">
      <c r="A3" s="3020" t="s">
        <v>2504</v>
      </c>
      <c r="B3" s="3021">
        <f>项目基本情况!D3</f>
        <v>45148</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3.36</v>
      </c>
      <c r="D5" s="3025">
        <f>IF(ISERROR(ROUND(POWER(1+E5,A5-C5)*(POWER(1+E5,C5)-1)/(POWER(1+E5,A5)-1),3)),0,ROUND(POWER(1+E5,A5-C5)*(POWER(1+E5,C5)-1)/(POWER(1+E5,A5)-1),4))</f>
        <v>0.156</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13.36</v>
      </c>
      <c r="D6" s="3025">
        <f>IF(ISERROR(ROUND(POWER(1+E6,A6-C6)*(POWER(1+E6,C6)-1)/(POWER(1+E6,A6)-1),3)),0,ROUND(POWER(1+E6,A6-C6)*(POWER(1+E6,C6)-1)/(POWER(1+E6,A6)-1),4))</f>
        <v>0.47460000000000002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33.380000000000003</v>
      </c>
      <c r="D7" s="3025">
        <f>IF(ISERROR(ROUND(POWER(1+E7,A7-C7)*(POWER(1+E7,C7)-1)/(POWER(1+E7,A7)-1),3)),0,ROUND(POWER(1+E7,A7-C7)*(POWER(1+E7,C7)-1)/(POWER(1+E7,A7)-1),4))</f>
        <v>0.78010000000000002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A16" sqref="A16:XFD1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1" t="str">
        <f>IF(B10="北京市","北京市",C10)&amp;F10&amp;IF(结果表!G1="在建","出让国有建设用地使用权及在建建筑物",IF(结果表!G1="土地","出让国有建设用地使用权",))&amp;B9&amp;"预评估"</f>
        <v>北京市房地产市场价值预评估</v>
      </c>
      <c r="C1" s="3512"/>
      <c r="D1" s="3512"/>
      <c r="E1" s="3512"/>
      <c r="F1" s="3512"/>
      <c r="G1" s="3512"/>
      <c r="H1" s="3512"/>
      <c r="I1" s="351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45148</v>
      </c>
      <c r="C3" s="2374" t="s">
        <v>2171</v>
      </c>
      <c r="D3" s="2373">
        <v>45148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3410</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14" t="s">
        <v>2177</v>
      </c>
      <c r="E8" s="2391"/>
      <c r="F8" s="2392"/>
      <c r="G8" s="2663"/>
      <c r="H8" s="2663"/>
      <c r="I8" s="2663"/>
      <c r="J8" s="2439"/>
      <c r="K8" s="2614"/>
      <c r="L8" s="2613"/>
      <c r="M8" s="2613"/>
      <c r="N8" s="2439"/>
      <c r="O8" s="2450"/>
      <c r="P8" s="2439"/>
      <c r="Q8" s="2439"/>
      <c r="R8" s="2439"/>
    </row>
    <row r="9" spans="1:30" ht="13.5" thickBot="1">
      <c r="A9" s="2393" t="s">
        <v>2178</v>
      </c>
      <c r="B9" s="2394" t="s">
        <v>3379</v>
      </c>
      <c r="C9" s="2395"/>
      <c r="D9" s="3515"/>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v>51757</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18.100000000000001</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1"/>
      <c r="C16" s="3522"/>
      <c r="D16" s="3523"/>
      <c r="E16" s="2413" t="s">
        <v>2194</v>
      </c>
      <c r="F16" s="3524"/>
      <c r="G16" s="3525"/>
      <c r="H16" s="3525"/>
      <c r="I16" s="3526"/>
      <c r="J16" s="2439"/>
      <c r="K16" s="2617"/>
      <c r="L16" s="2451"/>
      <c r="M16" s="2451"/>
      <c r="N16" s="2509"/>
      <c r="O16" s="2451"/>
      <c r="P16" s="2509"/>
      <c r="Q16" s="2439"/>
      <c r="R16" s="2439"/>
    </row>
    <row r="17" spans="1:28">
      <c r="A17" s="313" t="s">
        <v>2195</v>
      </c>
      <c r="B17" s="302" t="s">
        <v>2196</v>
      </c>
      <c r="C17" s="8">
        <f>'数据-汇总表'!E3</f>
        <v>1189.08</v>
      </c>
      <c r="D17" s="2322" t="s">
        <v>2197</v>
      </c>
      <c r="E17" s="3527" t="s">
        <v>2198</v>
      </c>
      <c r="F17" s="3528"/>
      <c r="G17" s="3528"/>
      <c r="H17" s="3528"/>
      <c r="I17" s="352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842.89</v>
      </c>
      <c r="D18" s="1092" t="s">
        <v>2201</v>
      </c>
      <c r="E18" s="3530" t="s">
        <v>2202</v>
      </c>
      <c r="F18" s="3531"/>
      <c r="G18" s="3531"/>
      <c r="H18" s="3531"/>
      <c r="I18" s="353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7" t="s">
        <v>2206</v>
      </c>
      <c r="C20" s="3518"/>
      <c r="D20" s="3519" t="s">
        <v>2207</v>
      </c>
      <c r="E20" s="3520"/>
      <c r="F20" s="2647" t="s">
        <v>1056</v>
      </c>
      <c r="G20" s="2664"/>
      <c r="H20" s="2664"/>
      <c r="I20" s="2664"/>
      <c r="J20" s="2439"/>
      <c r="K20" s="351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5"/>
      <c r="B30" s="302" t="s">
        <v>2218</v>
      </c>
      <c r="C30" s="3536"/>
      <c r="D30" s="3537"/>
      <c r="E30" s="2664"/>
      <c r="F30" s="2664"/>
      <c r="G30" s="2664"/>
      <c r="H30" s="2664"/>
      <c r="I30" s="2664"/>
      <c r="J30" s="2439"/>
      <c r="K30" s="2616"/>
      <c r="L30" s="2613"/>
      <c r="M30" s="2613"/>
      <c r="N30" s="2439"/>
      <c r="O30" s="2450"/>
      <c r="P30" s="2439"/>
      <c r="Q30" s="2439"/>
      <c r="R30" s="2439"/>
      <c r="S30" s="2439"/>
      <c r="T30" s="2439"/>
      <c r="U30" s="2439"/>
      <c r="V30" s="2439"/>
    </row>
    <row r="31" spans="1:28">
      <c r="A31" s="353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3" t="s">
        <v>2228</v>
      </c>
      <c r="T34" s="2428" t="str">
        <f>NUMBERSTRING(7-K34,1)&amp;"通"</f>
        <v>七通</v>
      </c>
      <c r="U34" s="2439"/>
      <c r="V34" s="2439"/>
    </row>
    <row r="35" spans="1:30">
      <c r="A35" s="2429"/>
      <c r="B35" s="3540" t="s">
        <v>2229</v>
      </c>
      <c r="C35" s="3540"/>
      <c r="D35" s="3540"/>
      <c r="E35" s="354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305</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3382</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0" sqref="C1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842.89</v>
      </c>
      <c r="B3" s="11">
        <f>IF(C3="否",G5-AT5,G5)</f>
        <v>1189.08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1189.08</v>
      </c>
      <c r="H5" s="13">
        <f t="shared" ref="H5:AT5" si="0">SUM(H13:H656)</f>
        <v>1189.08</v>
      </c>
      <c r="I5" s="13">
        <f t="shared" si="0"/>
        <v>1189.08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1189.08</v>
      </c>
      <c r="BA5" s="15">
        <f t="shared" si="1"/>
        <v>1189.08</v>
      </c>
      <c r="BB5" s="15">
        <f t="shared" si="1"/>
        <v>1189.08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842.89</v>
      </c>
      <c r="F6" s="13" t="s">
        <v>0</v>
      </c>
      <c r="G6" s="13" t="s">
        <v>1</v>
      </c>
      <c r="H6" s="17">
        <f>SUMIF(I$12:AB$12,"总值",I6:AB6)</f>
        <v>842.89</v>
      </c>
      <c r="I6" s="13">
        <f t="shared" ref="I6:AB6" si="2">ROUND($A$3*I5/$B$3,2)</f>
        <v>842.89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842.89</v>
      </c>
      <c r="AZ6" s="13" t="s">
        <v>2</v>
      </c>
      <c r="BA6" s="13">
        <f>ROUND($AY$6*BA5/$AZ$5,2)</f>
        <v>842.89</v>
      </c>
      <c r="BB6" s="13">
        <f>ROUND($AY$6*BB5/$AZ$5,2)</f>
        <v>842.89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t="s">
        <v>3383</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842.89</v>
      </c>
      <c r="F13" s="29"/>
      <c r="G13" s="30">
        <f>H13+AC13+AT13</f>
        <v>1189.08</v>
      </c>
      <c r="H13" s="17">
        <f>SUMIF(I$12:AB$12,"总值",I13:AB13)</f>
        <v>1189.08</v>
      </c>
      <c r="I13" s="1626">
        <f>汇总表!B5</f>
        <v>1189.08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842.89</v>
      </c>
      <c r="AZ13" s="13">
        <f>BA13+BL13</f>
        <v>1189.08</v>
      </c>
      <c r="BA13" s="13">
        <f>SUM(BB13:BK13)</f>
        <v>1189.08</v>
      </c>
      <c r="BB13" s="13">
        <f>IF($D13="是",I13-J13,0)</f>
        <v>1189.08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13" sqref="K1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9"/>
      <c r="G2" s="2650"/>
      <c r="H2" s="2651"/>
      <c r="I2" s="2325" t="s">
        <v>1132</v>
      </c>
      <c r="J2" s="2659"/>
      <c r="K2" s="2659"/>
      <c r="L2" s="2659"/>
      <c r="M2" s="2659"/>
      <c r="N2" s="2661"/>
      <c r="O2" s="2659"/>
      <c r="P2" s="2659"/>
    </row>
    <row r="3" spans="1:16" ht="15.75" thickBot="1">
      <c r="A3" s="3551" t="s">
        <v>1105</v>
      </c>
      <c r="B3" s="3551"/>
      <c r="C3" s="3551"/>
      <c r="D3" s="43">
        <f>'数据-基础表'!AY6</f>
        <v>842.89</v>
      </c>
      <c r="E3" s="43">
        <f>'数据-基础表'!AZ5</f>
        <v>1189.08</v>
      </c>
      <c r="F3" s="2659"/>
      <c r="G3" s="1145"/>
      <c r="H3" s="1026" t="s">
        <v>1106</v>
      </c>
      <c r="I3" s="855">
        <f>ROUND('数据-基础表'!B3/'数据-基础表'!A3,2)</f>
        <v>1.41</v>
      </c>
      <c r="J3" s="2659"/>
      <c r="K3" s="2659"/>
      <c r="L3" s="2659"/>
      <c r="M3" s="2659"/>
      <c r="N3" s="2661"/>
      <c r="O3" s="2659"/>
      <c r="P3" s="2659"/>
    </row>
    <row r="4" spans="1:16" ht="15">
      <c r="A4" s="3552"/>
      <c r="B4" s="3553"/>
      <c r="C4" s="3554"/>
      <c r="D4" s="1641" t="s">
        <v>1107</v>
      </c>
      <c r="E4" s="1642" t="s">
        <v>1108</v>
      </c>
      <c r="F4" s="2659"/>
      <c r="G4" s="2652" t="s">
        <v>1133</v>
      </c>
      <c r="H4" s="1026" t="s">
        <v>1113</v>
      </c>
      <c r="I4" s="855">
        <f>ROUND(SUMIF('数据-基础表'!I9:AS9,"地上",'数据-基础表'!I5:AS5)/'数据-基础表'!A3,2)</f>
        <v>1.41</v>
      </c>
      <c r="J4" s="2659"/>
      <c r="K4" s="2659"/>
      <c r="L4" s="2659"/>
      <c r="M4" s="2659"/>
      <c r="N4" s="2661"/>
      <c r="O4" s="2659"/>
      <c r="P4" s="2659"/>
    </row>
    <row r="5" spans="1:16">
      <c r="A5" s="44" t="s">
        <v>1109</v>
      </c>
      <c r="B5" s="3555" t="s">
        <v>1110</v>
      </c>
      <c r="C5" s="3555"/>
      <c r="D5" s="45">
        <f>ROUND($D$3*E5/$E$3,2)</f>
        <v>0</v>
      </c>
      <c r="E5" s="46">
        <f>SUMIF('数据-基础表'!$11:$11,"住宅",'数据-基础表'!$5:$5)</f>
        <v>0</v>
      </c>
      <c r="F5" s="2659"/>
      <c r="G5" s="1145"/>
      <c r="H5" s="1026" t="s">
        <v>1106</v>
      </c>
      <c r="I5" s="855">
        <f>ROUND(E31/D31,2)</f>
        <v>1.41</v>
      </c>
      <c r="J5" s="2659"/>
      <c r="K5" s="2659"/>
      <c r="L5" s="2659"/>
      <c r="M5" s="2659"/>
      <c r="N5" s="2659"/>
      <c r="O5" s="2659"/>
      <c r="P5" s="2659"/>
    </row>
    <row r="6" spans="1:16" ht="15" thickBot="1">
      <c r="A6" s="1644"/>
      <c r="B6" s="3555" t="s">
        <v>1111</v>
      </c>
      <c r="C6" s="3555"/>
      <c r="D6" s="45">
        <f>ROUND($D$3*E6/$E$3,2)</f>
        <v>842.89</v>
      </c>
      <c r="E6" s="46">
        <f>E3-E5</f>
        <v>1189.08</v>
      </c>
      <c r="F6" s="2659"/>
      <c r="G6" s="2653" t="s">
        <v>1112</v>
      </c>
      <c r="H6" s="1146" t="s">
        <v>1113</v>
      </c>
      <c r="I6" s="2654">
        <f>ROUND(F31/D31,2)</f>
        <v>1.41</v>
      </c>
      <c r="J6" s="2659"/>
      <c r="K6" s="2659"/>
      <c r="L6" s="2659"/>
      <c r="M6" s="2659"/>
      <c r="N6" s="2659"/>
      <c r="O6" s="2659"/>
      <c r="P6" s="2659"/>
    </row>
    <row r="7" spans="1:16" ht="15.75" thickBot="1">
      <c r="A7" s="3547"/>
      <c r="B7" s="3548"/>
      <c r="C7" s="3549"/>
      <c r="D7" s="1641" t="s">
        <v>1107</v>
      </c>
      <c r="E7" s="1645" t="s">
        <v>1114</v>
      </c>
      <c r="F7" s="2659"/>
      <c r="G7" s="2655" t="s">
        <v>1115</v>
      </c>
      <c r="H7" s="2656"/>
      <c r="I7" s="2657">
        <v>2.68</v>
      </c>
      <c r="J7" s="2659"/>
      <c r="K7" s="2659"/>
      <c r="L7" s="2659"/>
      <c r="M7" s="2659"/>
      <c r="N7" s="2659"/>
      <c r="O7" s="2659"/>
      <c r="P7" s="2659"/>
    </row>
    <row r="8" spans="1:16">
      <c r="A8" s="44" t="s">
        <v>1116</v>
      </c>
      <c r="B8" s="47" t="s">
        <v>1117</v>
      </c>
      <c r="C8" s="45" t="s">
        <v>1118</v>
      </c>
      <c r="D8" s="45">
        <f t="shared" ref="D8:D15" si="0">ROUND($D$3*E8/$E$3,2)</f>
        <v>842.89</v>
      </c>
      <c r="E8" s="48">
        <f>SUMIF('数据-基础表'!BB10:BK10,"地上",'数据-基础表'!BB5:BK5)</f>
        <v>1189.08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842.89</v>
      </c>
      <c r="E16" s="50">
        <f>SUM(E8:E15)</f>
        <v>1189.08</v>
      </c>
      <c r="F16" s="2659"/>
      <c r="G16" s="2660"/>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842.89</v>
      </c>
      <c r="E19" s="53">
        <f t="shared" ref="E19:E26" si="1">SUM(F19:G19)</f>
        <v>1189.08</v>
      </c>
      <c r="F19" s="2795">
        <f>汇总表!B5</f>
        <v>1189.08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842.89</v>
      </c>
      <c r="S19" s="1027">
        <f t="shared" si="5"/>
        <v>1189.08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842.89</v>
      </c>
      <c r="E27" s="1141">
        <f>IF(SUM(E19:E26)='数据-基础表'!BA5,SUM(E19:E26),IF(F27="地上面积有误","面积有误","地下面积有误"))</f>
        <v>1189.08</v>
      </c>
      <c r="F27" s="1140">
        <f>IF(SUM(F19:F26)=E8,SUM(F19:F26),"地上面积有误")</f>
        <v>1189.08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842.89</v>
      </c>
      <c r="S27" s="1026">
        <f>IF(SUM(S19:S26)=$E$3,SUM(S19:S26),SUM(S19:S26)&amp;"误差"&amp;ROUND(SUM(S19:S26)-E3,2))</f>
        <v>1189.08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842.89</v>
      </c>
      <c r="E31" s="676">
        <f>E27+E30</f>
        <v>1189.08</v>
      </c>
      <c r="F31" s="677">
        <f>F27+F30</f>
        <v>1189.08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17" sqref="N1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51757</v>
      </c>
      <c r="F6" s="64">
        <f>SUMIF(项目基本情况!C$12:I$12,C6,项目基本情况!C$15:I$15)</f>
        <v>18.100000000000001</v>
      </c>
      <c r="G6" s="65">
        <f>IF(ISERROR(ROUND(POWER(1+H6,D6-F6)*(POWER(1+H6,F6)-1)/(POWER(1+H6,D6)-1),3)),0,ROUND(POWER(1+H6,D6-F6)*(POWER(1+H6,F6)-1)/(POWER(1+H6,D6)-1),3))</f>
        <v>0.64200000000000002</v>
      </c>
      <c r="H6" s="732">
        <v>0.04</v>
      </c>
      <c r="I6" s="732">
        <v>0.04</v>
      </c>
      <c r="J6" s="66">
        <v>6.5000000000000002E-2</v>
      </c>
      <c r="K6" s="1030">
        <f>SUMIF('数据-汇总表'!C$19:C$33,A6,'数据-汇总表'!E$19:E$33)</f>
        <v>1189.08</v>
      </c>
      <c r="L6" s="733">
        <v>4000</v>
      </c>
      <c r="M6" s="67">
        <f t="shared" ref="M6:M14" si="0">ROUND(K6*L6/10000,0)</f>
        <v>476</v>
      </c>
      <c r="N6" s="731">
        <v>0.8</v>
      </c>
      <c r="O6" s="67" t="str">
        <f>IF($N$5="成新度","——",ROUND(M6*N6,0))</f>
        <v>——</v>
      </c>
      <c r="P6" s="68" t="str">
        <f>IF($N$5="成新度","——",M6-O6)</f>
        <v>——</v>
      </c>
      <c r="Q6" s="734">
        <v>0.2</v>
      </c>
      <c r="R6" s="69">
        <f ca="1">SUMIF('数据-汇总表'!C$19:C$33,A6,'数据-汇总表'!R$19:R$27)</f>
        <v>842.89</v>
      </c>
      <c r="S6" s="51">
        <f>IF('数据-汇总表'!$I$17="按面积比例",SUMIF('数据-汇总表'!C$19:C$33,A6,'数据-汇总表'!K$19:K$33),SUMIF('数据-汇总表'!C$19:C$33,A6,'数据-汇总表'!N$19:N$33))</f>
        <v>0</v>
      </c>
      <c r="T6" s="1172">
        <f>ROUND($L$14*S6/10000,0)</f>
        <v>0</v>
      </c>
      <c r="U6" s="3428">
        <f>'比较法-商业租金'!C48</f>
        <v>2.85</v>
      </c>
      <c r="V6" s="70">
        <v>0.02</v>
      </c>
      <c r="W6" s="70">
        <v>0.05</v>
      </c>
      <c r="X6" s="1040"/>
      <c r="Y6" s="71">
        <f>N6</f>
        <v>0.8</v>
      </c>
      <c r="Z6" s="72"/>
      <c r="AA6" s="66"/>
      <c r="AB6" s="66"/>
      <c r="AC6" s="1040"/>
      <c r="AD6" s="73"/>
      <c r="AE6" s="1041">
        <f ca="1">IF(AN6="",0,SUMIF(INDIRECT("'"&amp;AN6&amp;"'"&amp;"!E:E"),$AE$5,INDIRECT("'"&amp;AN6&amp;"'"&amp;"!F:F")))</f>
        <v>18.100000000000001</v>
      </c>
      <c r="AF6" s="3451">
        <f>F6</f>
        <v>18.100000000000001</v>
      </c>
      <c r="AG6" s="138">
        <f ca="1">IF(AF6="",0,AE6-AF6)</f>
        <v>0</v>
      </c>
      <c r="AH6" s="74"/>
      <c r="AI6" s="76">
        <v>365</v>
      </c>
      <c r="AJ6" s="77"/>
      <c r="AK6" s="78">
        <v>0.02</v>
      </c>
      <c r="AL6" s="79">
        <v>2E-3</v>
      </c>
      <c r="AM6" s="80">
        <v>0.02</v>
      </c>
      <c r="AN6" s="1715" t="s">
        <v>3391</v>
      </c>
      <c r="AO6" s="52">
        <f ca="1">SUMIF(INDIRECT("'"&amp;AN6&amp;"'"&amp;"!A:A"),"总价",INDIRECT("'"&amp;AN6&amp;"'"&amp;"!B:B"))</f>
        <v>1399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0.64200000000000002</v>
      </c>
      <c r="H16" s="90">
        <f>ROUND(SUMPRODUCT(H6:H13,K6:K13)/SUMPRODUCT((H6:H13&gt;0)*(K6:K13)),3)</f>
        <v>0.04</v>
      </c>
      <c r="I16" s="91"/>
      <c r="J16" s="91"/>
      <c r="K16" s="92">
        <f>SUM(K6:K15)</f>
        <v>1189.08</v>
      </c>
      <c r="L16" s="93">
        <f>ROUND(M16*10000/SUM(K6:K14),0)</f>
        <v>4003</v>
      </c>
      <c r="M16" s="93">
        <f>SUM(M6:M14)</f>
        <v>476</v>
      </c>
      <c r="N16" s="94">
        <f>ROUND(SUMPRODUCT(M6:M14,N6:N14)/M16,3)</f>
        <v>0.8</v>
      </c>
      <c r="O16" s="93">
        <f>SUM(O6:O14)</f>
        <v>0</v>
      </c>
      <c r="P16" s="93">
        <f>SUM(P6:P14)</f>
        <v>0</v>
      </c>
      <c r="Q16" s="95">
        <f>ROUND(SUMPRODUCT(Q6:Q13,K6:K13)/SUMPRODUCT((Q6:Q13&gt;0)*(K6:K13)),2)</f>
        <v>0.2</v>
      </c>
      <c r="R16" s="1034">
        <f ca="1">SUM(R6:R13)</f>
        <v>842.89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3389</v>
      </c>
      <c r="B40" s="1078">
        <f ca="1">IF(A40="利息：取LPR",存贷款利率!G1,存贷款利率!G1+C40)</f>
        <v>4.3499999999999997E-2</v>
      </c>
      <c r="C40" s="2814">
        <v>8.0000000000000002E-3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6" t="s">
        <v>2286</v>
      </c>
      <c r="B1" s="3557"/>
      <c r="C1" s="3557"/>
      <c r="D1" s="3557"/>
      <c r="E1" s="3557"/>
      <c r="F1" s="3557"/>
      <c r="G1" s="355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2430-6C6C-492A-B916-69780C2A31C0}">
  <sheetPr>
    <tabColor theme="9" tint="-0.249977111117893"/>
  </sheetPr>
  <dimension ref="A1:G13"/>
  <sheetViews>
    <sheetView workbookViewId="0">
      <selection activeCell="F9" sqref="F9"/>
    </sheetView>
  </sheetViews>
  <sheetFormatPr defaultRowHeight="13.5"/>
  <cols>
    <col min="1" max="1" width="11.375" customWidth="1"/>
    <col min="2" max="2" width="9.625" customWidth="1"/>
    <col min="4" max="4" width="16" customWidth="1"/>
    <col min="6" max="6" width="12.25" customWidth="1"/>
  </cols>
  <sheetData>
    <row r="1" spans="1:7">
      <c r="A1" s="3458"/>
      <c r="B1" s="3459" t="s">
        <v>3386</v>
      </c>
      <c r="C1" s="3459" t="s">
        <v>3387</v>
      </c>
      <c r="D1" s="3459" t="s">
        <v>3473</v>
      </c>
      <c r="E1" s="3458"/>
      <c r="F1" s="3458"/>
      <c r="G1" s="3458"/>
    </row>
    <row r="2" spans="1:7">
      <c r="A2" s="3459" t="s">
        <v>3468</v>
      </c>
      <c r="B2" s="3458">
        <v>4.7839999999999998</v>
      </c>
      <c r="C2" s="3458">
        <v>1.7</v>
      </c>
      <c r="D2" s="3458"/>
      <c r="E2" s="3458"/>
      <c r="F2" s="3458"/>
      <c r="G2" s="3458"/>
    </row>
    <row r="3" spans="1:7">
      <c r="A3" s="3459" t="s">
        <v>3469</v>
      </c>
      <c r="B3" s="3458">
        <v>2.5</v>
      </c>
      <c r="C3" s="3458">
        <v>0.7</v>
      </c>
      <c r="D3" s="3458"/>
      <c r="E3" s="3458"/>
      <c r="F3" s="3458"/>
      <c r="G3" s="3458"/>
    </row>
    <row r="4" spans="1:7">
      <c r="A4" s="3459" t="s">
        <v>3470</v>
      </c>
      <c r="B4" s="3458">
        <f>B2*B3</f>
        <v>11.959999999999999</v>
      </c>
      <c r="C4" s="3458">
        <f>B2*B3-C2*C3</f>
        <v>10.77</v>
      </c>
      <c r="D4" s="3458">
        <f>B4+C4</f>
        <v>22.729999999999997</v>
      </c>
      <c r="E4" s="3458"/>
      <c r="F4" s="3458"/>
      <c r="G4" s="3458"/>
    </row>
    <row r="5" spans="1:7">
      <c r="A5" s="3460" t="s">
        <v>3471</v>
      </c>
      <c r="B5" s="3461">
        <f>ROUND(D5/D4*B4,2)</f>
        <v>1189.08</v>
      </c>
      <c r="C5" s="3461">
        <f>D5-B5</f>
        <v>1070.77</v>
      </c>
      <c r="D5" s="3461">
        <v>2259.85</v>
      </c>
      <c r="E5" s="3458">
        <v>842.89</v>
      </c>
      <c r="F5" s="3458">
        <f>D5/E5</f>
        <v>2.6810734496790802</v>
      </c>
      <c r="G5" s="3458"/>
    </row>
    <row r="6" spans="1:7">
      <c r="A6" s="3458"/>
      <c r="B6" s="3458"/>
      <c r="C6" s="3458"/>
      <c r="D6" s="3458"/>
      <c r="E6" s="3458"/>
      <c r="F6" s="3458"/>
      <c r="G6" s="3458"/>
    </row>
    <row r="7" spans="1:7">
      <c r="A7" s="3459" t="s">
        <v>3465</v>
      </c>
      <c r="B7" s="3458">
        <f ca="1">结果表!G20</f>
        <v>13605</v>
      </c>
      <c r="C7" s="3458">
        <f ca="1">ROUND(B7*E7,0)</f>
        <v>10487</v>
      </c>
      <c r="D7" s="3459" t="s">
        <v>3472</v>
      </c>
      <c r="E7" s="3458">
        <f>ROUND(基准地价修正!S3/基准地价修正!S2,4)</f>
        <v>0.77080000000000004</v>
      </c>
      <c r="F7" s="3458"/>
      <c r="G7" s="3458"/>
    </row>
    <row r="8" spans="1:7">
      <c r="A8" s="3460" t="s">
        <v>3466</v>
      </c>
      <c r="B8" s="3558">
        <f ca="1">ROUND((B7*B5+C7*C5)/D5,0)</f>
        <v>12128</v>
      </c>
      <c r="C8" s="3558"/>
      <c r="D8" s="3458"/>
      <c r="E8" s="3458"/>
      <c r="F8" s="3458"/>
      <c r="G8" s="3458"/>
    </row>
    <row r="9" spans="1:7">
      <c r="A9" s="3460" t="s">
        <v>3467</v>
      </c>
      <c r="B9" s="3558">
        <f ca="1">ROUND(B8*D5/10000,4)</f>
        <v>2740.7460999999998</v>
      </c>
      <c r="C9" s="3558"/>
      <c r="D9" s="3458"/>
      <c r="E9" s="3458"/>
      <c r="F9" s="3458"/>
      <c r="G9" s="3458"/>
    </row>
    <row r="10" spans="1:7">
      <c r="A10" s="3458"/>
      <c r="B10" s="3458"/>
      <c r="C10" s="3458"/>
      <c r="D10" s="3458"/>
      <c r="E10" s="3458"/>
      <c r="F10" s="3458"/>
      <c r="G10" s="3458"/>
    </row>
    <row r="11" spans="1:7">
      <c r="A11" s="3458"/>
      <c r="B11" s="3458"/>
      <c r="C11" s="3458"/>
      <c r="D11" s="3458"/>
      <c r="E11" s="3458"/>
      <c r="F11" s="3458"/>
      <c r="G11" s="3458"/>
    </row>
    <row r="12" spans="1:7">
      <c r="A12" s="3458"/>
      <c r="B12" s="3458"/>
      <c r="C12" s="3459"/>
      <c r="D12" s="3458"/>
      <c r="E12" s="3458"/>
      <c r="F12" s="3458"/>
      <c r="G12" s="3458"/>
    </row>
    <row r="13" spans="1:7">
      <c r="A13" s="3458"/>
      <c r="B13" s="3458"/>
      <c r="C13" s="3458"/>
      <c r="D13" s="3458"/>
      <c r="E13" s="3458"/>
      <c r="F13" s="3458"/>
      <c r="G13" s="3458"/>
    </row>
  </sheetData>
  <mergeCells count="2">
    <mergeCell ref="B8:C8"/>
    <mergeCell ref="B9:C9"/>
  </mergeCells>
  <phoneticPr fontId="13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D23" sqref="D23:D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t="s">
        <v>3393</v>
      </c>
      <c r="H1" s="1750" t="str">
        <f>IF(G1="现房","——","估价对象范围")</f>
        <v>——</v>
      </c>
      <c r="I1" s="1751" t="s">
        <v>3392</v>
      </c>
    </row>
    <row r="2" spans="1:12" ht="21.75" customHeight="1" thickBot="1">
      <c r="A2" s="3626" t="str">
        <f>项目基本情况!S2</f>
        <v>北京市房地产</v>
      </c>
      <c r="B2" s="3627"/>
      <c r="C2" s="3627"/>
      <c r="D2" s="3627"/>
      <c r="E2" s="3627"/>
      <c r="F2" s="3627"/>
      <c r="G2" s="3627"/>
      <c r="H2" s="3627"/>
      <c r="I2" s="3628"/>
    </row>
    <row r="3" spans="1:12" ht="12.75">
      <c r="A3" s="3630" t="s">
        <v>1264</v>
      </c>
      <c r="B3" s="3631"/>
      <c r="C3" s="3631"/>
      <c r="D3" s="3631"/>
      <c r="E3" s="3631"/>
      <c r="F3" s="3631"/>
      <c r="G3" s="3631"/>
      <c r="H3" s="3631"/>
      <c r="I3" s="3631"/>
    </row>
    <row r="4" spans="1:12" ht="14.25">
      <c r="A4" s="1754" t="s">
        <v>1265</v>
      </c>
      <c r="B4" s="1755" t="s">
        <v>1266</v>
      </c>
      <c r="C4" s="1756" t="s">
        <v>3462</v>
      </c>
      <c r="D4" s="1756" t="s">
        <v>3391</v>
      </c>
      <c r="E4" s="3635" t="s">
        <v>1267</v>
      </c>
      <c r="F4" s="3636"/>
      <c r="G4" s="3636"/>
      <c r="H4" s="3636"/>
      <c r="I4" s="363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4" t="s">
        <v>1268</v>
      </c>
      <c r="B5" s="3629">
        <v>25</v>
      </c>
      <c r="C5" s="3632">
        <v>60</v>
      </c>
      <c r="D5" s="3620">
        <f>100-C5</f>
        <v>40</v>
      </c>
      <c r="E5" s="131" t="s">
        <v>1269</v>
      </c>
      <c r="F5" s="1757"/>
      <c r="G5" s="1757"/>
      <c r="H5" s="1757"/>
      <c r="I5" s="1373"/>
    </row>
    <row r="6" spans="1:12" ht="12.75">
      <c r="A6" s="3574"/>
      <c r="B6" s="3629"/>
      <c r="C6" s="3634"/>
      <c r="D6" s="3620"/>
      <c r="E6" s="131" t="s">
        <v>1270</v>
      </c>
      <c r="F6" s="1757"/>
      <c r="G6" s="1757"/>
      <c r="H6" s="1757"/>
      <c r="I6" s="1373"/>
    </row>
    <row r="7" spans="1:12" ht="12.75">
      <c r="A7" s="3574"/>
      <c r="B7" s="3629"/>
      <c r="C7" s="3633"/>
      <c r="D7" s="3620"/>
      <c r="E7" s="131" t="s">
        <v>1271</v>
      </c>
      <c r="F7" s="1757"/>
      <c r="G7" s="1757"/>
      <c r="H7" s="1757"/>
      <c r="I7" s="1373"/>
    </row>
    <row r="8" spans="1:12" ht="12.75">
      <c r="A8" s="3574" t="s">
        <v>1272</v>
      </c>
      <c r="B8" s="3629">
        <v>15</v>
      </c>
      <c r="C8" s="3632"/>
      <c r="D8" s="3620"/>
      <c r="E8" s="131" t="s">
        <v>1273</v>
      </c>
      <c r="F8" s="1757"/>
      <c r="G8" s="1757"/>
      <c r="H8" s="1757"/>
      <c r="I8" s="1373"/>
    </row>
    <row r="9" spans="1:12" ht="12.75">
      <c r="A9" s="3574"/>
      <c r="B9" s="3629"/>
      <c r="C9" s="3633"/>
      <c r="D9" s="3620"/>
      <c r="E9" s="131" t="s">
        <v>1274</v>
      </c>
      <c r="F9" s="1757"/>
      <c r="G9" s="1757"/>
      <c r="H9" s="1757"/>
      <c r="I9" s="1373"/>
    </row>
    <row r="10" spans="1:12" ht="12.75">
      <c r="A10" s="3574" t="s">
        <v>1275</v>
      </c>
      <c r="B10" s="3629">
        <v>15</v>
      </c>
      <c r="C10" s="3632"/>
      <c r="D10" s="3620"/>
      <c r="E10" s="131" t="s">
        <v>1276</v>
      </c>
      <c r="F10" s="1757"/>
      <c r="G10" s="1757"/>
      <c r="H10" s="1757"/>
      <c r="I10" s="1373"/>
    </row>
    <row r="11" spans="1:12" ht="12.75">
      <c r="A11" s="3574"/>
      <c r="B11" s="3629"/>
      <c r="C11" s="3633"/>
      <c r="D11" s="3620"/>
      <c r="E11" s="131" t="s">
        <v>1277</v>
      </c>
      <c r="F11" s="1757"/>
      <c r="G11" s="1757"/>
      <c r="H11" s="1757"/>
      <c r="I11" s="1373"/>
    </row>
    <row r="12" spans="1:12" ht="12.75">
      <c r="A12" s="3574" t="s">
        <v>1278</v>
      </c>
      <c r="B12" s="3629">
        <v>15</v>
      </c>
      <c r="C12" s="3632"/>
      <c r="D12" s="3620"/>
      <c r="E12" s="131" t="s">
        <v>1279</v>
      </c>
      <c r="F12" s="1757"/>
      <c r="G12" s="1757"/>
      <c r="H12" s="1757"/>
      <c r="I12" s="1373"/>
    </row>
    <row r="13" spans="1:12" ht="12.75">
      <c r="A13" s="3574"/>
      <c r="B13" s="3629"/>
      <c r="C13" s="3633"/>
      <c r="D13" s="3620"/>
      <c r="E13" s="131" t="s">
        <v>1280</v>
      </c>
      <c r="F13" s="1757"/>
      <c r="G13" s="1757"/>
      <c r="H13" s="1757"/>
      <c r="I13" s="1373"/>
    </row>
    <row r="14" spans="1:12" ht="12.75">
      <c r="A14" s="3574" t="s">
        <v>1281</v>
      </c>
      <c r="B14" s="3629">
        <v>30</v>
      </c>
      <c r="C14" s="3632"/>
      <c r="D14" s="3620"/>
      <c r="E14" s="131" t="s">
        <v>1282</v>
      </c>
      <c r="F14" s="1757"/>
      <c r="G14" s="1757"/>
      <c r="H14" s="1757"/>
      <c r="I14" s="1373"/>
    </row>
    <row r="15" spans="1:12" ht="12.75">
      <c r="A15" s="3574"/>
      <c r="B15" s="3629"/>
      <c r="C15" s="3634"/>
      <c r="D15" s="3620"/>
      <c r="E15" s="131" t="s">
        <v>1283</v>
      </c>
      <c r="F15" s="1757"/>
      <c r="G15" s="1757"/>
      <c r="H15" s="1757"/>
      <c r="I15" s="1373"/>
    </row>
    <row r="16" spans="1:12" ht="12.75">
      <c r="A16" s="3574"/>
      <c r="B16" s="3629"/>
      <c r="C16" s="3633"/>
      <c r="D16" s="3620"/>
      <c r="E16" s="131" t="s">
        <v>1284</v>
      </c>
      <c r="F16" s="1757"/>
      <c r="G16" s="1757"/>
      <c r="H16" s="1757"/>
      <c r="I16" s="1373"/>
    </row>
    <row r="17" spans="1:36" ht="15">
      <c r="A17" s="1758" t="s">
        <v>1285</v>
      </c>
      <c r="B17" s="56"/>
      <c r="C17" s="132">
        <f>SUM(C5:C16)</f>
        <v>60</v>
      </c>
      <c r="D17" s="132">
        <f>SUM(D5:D16)</f>
        <v>40</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51" t="s">
        <v>2131</v>
      </c>
      <c r="F18" s="3652"/>
      <c r="G18" s="3652"/>
      <c r="H18" s="3652"/>
      <c r="I18" s="3652"/>
      <c r="K18" s="302" t="s">
        <v>1289</v>
      </c>
      <c r="L18" s="302">
        <f>IF(C1="",'数据-汇总表'!E3,SUMIF(项目类型,C1,'数据-汇总表'!E17:E26)+SUMIF(项目类型,C1,'数据-汇总表'!I17:I26))</f>
        <v>1189.08</v>
      </c>
      <c r="M18" s="302">
        <f>IF(C1="",'数据-汇总表'!E3,SUMIF(项目类型,C1,'数据-汇总表'!E17:E26))</f>
        <v>1189.08</v>
      </c>
    </row>
    <row r="19" spans="1:36" ht="15">
      <c r="A19" s="1761" t="s">
        <v>1290</v>
      </c>
      <c r="B19" s="1762" t="s">
        <v>1291</v>
      </c>
      <c r="C19" s="134">
        <f ca="1">SUMIF(INDIRECT("'"&amp;C4&amp;"'"&amp;"!A:A"),结果表!B19,INDIRECT("'"&amp;C4&amp;"'"&amp;"!B:B"))</f>
        <v>0</v>
      </c>
      <c r="D19" s="135">
        <f ca="1">SUMIF(INDIRECT("'"&amp;D4&amp;"'"&amp;"!A:A"),结果表!B19,INDIRECT("'"&amp;D4&amp;"'"&amp;"!B:B"))</f>
        <v>1399</v>
      </c>
      <c r="E19" s="1761" t="s">
        <v>1292</v>
      </c>
      <c r="F19" s="1762" t="s">
        <v>1291</v>
      </c>
      <c r="G19" s="136">
        <f ca="1">ROUND(C19*$C$18+D19*$D$18,0)</f>
        <v>560</v>
      </c>
      <c r="H19" s="1763" t="s">
        <v>1293</v>
      </c>
      <c r="I19" s="129"/>
      <c r="K19" s="302" t="s">
        <v>1294</v>
      </c>
      <c r="L19" s="302">
        <f>IF(C1="",'数据-汇总表'!D3,SUMIF(项目类型,C1,'数据-汇总表'!D17:D26)+SUMIF(项目类型,C1,'数据-汇总表'!H17:H27))</f>
        <v>842.89</v>
      </c>
      <c r="M19" s="302">
        <f>IF(C1="",'数据-汇总表'!D3,SUMIF(项目类型,C1,'数据-汇总表'!D17:D26))</f>
        <v>842.89</v>
      </c>
    </row>
    <row r="20" spans="1:36" ht="15">
      <c r="A20" s="1764"/>
      <c r="B20" s="1026" t="s">
        <v>1295</v>
      </c>
      <c r="C20" s="137">
        <f ca="1">SUMIF(INDIRECT("'"&amp;C4&amp;"'"&amp;"!A:A"),结果表!B20,INDIRECT("'"&amp;C4&amp;"'"&amp;"!B:B"))</f>
        <v>14832</v>
      </c>
      <c r="D20" s="138">
        <f ca="1">SUMIF(INDIRECT("'"&amp;D4&amp;"'"&amp;"!A:A"),结果表!B20,INDIRECT("'"&amp;D4&amp;"'"&amp;"!B:B"))</f>
        <v>11765</v>
      </c>
      <c r="E20" s="1764"/>
      <c r="F20" s="1026" t="s">
        <v>1295</v>
      </c>
      <c r="G20" s="139">
        <f ca="1">ROUND(C20*$C$18+D20*$D$18,0)</f>
        <v>13605</v>
      </c>
      <c r="H20" s="808" t="s">
        <v>1296</v>
      </c>
      <c r="I20" s="129"/>
    </row>
    <row r="21" spans="1:36" ht="15" customHeight="1" thickBot="1">
      <c r="A21" s="828"/>
      <c r="B21" s="1765" t="s">
        <v>1297</v>
      </c>
      <c r="C21" s="719">
        <f ca="1">ROUND(C19*10000/L19,0)</f>
        <v>0</v>
      </c>
      <c r="D21" s="720">
        <f ca="1">ROUND(D19*10000/L19,0)</f>
        <v>16598</v>
      </c>
      <c r="E21" s="828"/>
      <c r="F21" s="1765" t="s">
        <v>1297</v>
      </c>
      <c r="G21" s="140">
        <f ca="1">ROUND(G19*10000/L19,0)</f>
        <v>6644</v>
      </c>
      <c r="H21" s="1766" t="s">
        <v>1296</v>
      </c>
      <c r="I21" s="129"/>
    </row>
    <row r="22" spans="1:36" ht="15" thickBot="1">
      <c r="A22" s="1688" t="s">
        <v>1298</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644" t="s">
        <v>1299</v>
      </c>
      <c r="B24" s="1762" t="s">
        <v>1291</v>
      </c>
      <c r="C24" s="136">
        <f>IF(B30=0,0,D30)</f>
        <v>0</v>
      </c>
      <c r="D24" s="1769"/>
      <c r="E24" s="129"/>
      <c r="F24" s="129"/>
      <c r="G24" s="129"/>
      <c r="H24" s="129"/>
      <c r="I24" s="129"/>
    </row>
    <row r="25" spans="1:36" ht="14.25">
      <c r="A25" s="364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13605</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1" t="s">
        <v>1312</v>
      </c>
      <c r="B36" s="1787" t="s">
        <v>1313</v>
      </c>
      <c r="C36" s="145"/>
      <c r="D36" s="1788"/>
      <c r="E36" s="1789"/>
      <c r="F36" s="1790"/>
      <c r="G36" s="129"/>
      <c r="H36" s="129"/>
      <c r="I36" s="129"/>
    </row>
    <row r="37" spans="1:15" ht="15.75" thickBot="1">
      <c r="A37" s="3622"/>
      <c r="B37" s="1674" t="s">
        <v>1314</v>
      </c>
      <c r="C37" s="147"/>
      <c r="D37" s="1139"/>
      <c r="E37" s="1139"/>
      <c r="F37" s="1790"/>
      <c r="G37" s="129"/>
      <c r="H37" s="129"/>
      <c r="I37" s="129"/>
    </row>
    <row r="38" spans="1:15" ht="15.75" thickBot="1">
      <c r="A38" s="362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1" t="s">
        <v>1326</v>
      </c>
      <c r="B45" s="3642"/>
      <c r="C45" s="3643"/>
      <c r="D45" s="155" t="e">
        <f ca="1">ROUND(H101*F45,0)</f>
        <v>#REF!</v>
      </c>
      <c r="E45" s="156" t="s">
        <v>1327</v>
      </c>
      <c r="F45" s="157">
        <v>1</v>
      </c>
      <c r="G45" s="158" t="s">
        <v>1328</v>
      </c>
      <c r="H45" s="129"/>
      <c r="I45" s="129"/>
      <c r="J45" s="3561" t="s">
        <v>1329</v>
      </c>
      <c r="K45" s="3561"/>
      <c r="L45" s="3561"/>
      <c r="M45" s="3561"/>
      <c r="N45" s="3561"/>
      <c r="O45" s="3561"/>
    </row>
    <row r="46" spans="1:15" ht="14.25" customHeight="1">
      <c r="A46" s="3638" t="s">
        <v>1330</v>
      </c>
      <c r="B46" s="3639"/>
      <c r="C46" s="3639"/>
      <c r="D46" s="3639"/>
      <c r="E46" s="3639"/>
      <c r="F46" s="3639"/>
      <c r="G46" s="3640"/>
      <c r="H46" s="1806"/>
      <c r="I46" s="159"/>
      <c r="J46" s="2523">
        <v>1</v>
      </c>
      <c r="K46" s="3562" t="s">
        <v>1331</v>
      </c>
      <c r="L46" s="3562"/>
      <c r="M46" s="3563"/>
      <c r="N46" s="3563"/>
      <c r="O46" s="3563"/>
    </row>
    <row r="47" spans="1:15" ht="12" customHeight="1">
      <c r="A47" s="160" t="s">
        <v>1332</v>
      </c>
      <c r="B47" s="161"/>
      <c r="C47" s="162"/>
      <c r="D47" s="1087" t="s">
        <v>1333</v>
      </c>
      <c r="E47" s="302" t="s">
        <v>1334</v>
      </c>
      <c r="F47" s="163" t="s">
        <v>1335</v>
      </c>
      <c r="G47" s="2546" t="s">
        <v>1336</v>
      </c>
      <c r="H47" s="2547"/>
      <c r="I47" s="159"/>
      <c r="J47" s="2523">
        <v>2</v>
      </c>
      <c r="K47" s="3562" t="s">
        <v>1337</v>
      </c>
      <c r="L47" s="3562"/>
      <c r="M47" s="3564">
        <f>'数据-取费表'!B2</f>
        <v>45148</v>
      </c>
      <c r="N47" s="3564"/>
      <c r="O47" s="3564"/>
    </row>
    <row r="48" spans="1:15" ht="25.5">
      <c r="A48" s="3624" t="s">
        <v>1338</v>
      </c>
      <c r="B48" s="3625"/>
      <c r="C48" s="362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62" t="s">
        <v>1340</v>
      </c>
      <c r="L48" s="3562"/>
      <c r="M48" s="3565" t="e">
        <f ca="1">H101</f>
        <v>#REF!</v>
      </c>
      <c r="N48" s="3565"/>
      <c r="O48" s="3565"/>
    </row>
    <row r="49" spans="1:35" ht="25.5" customHeight="1">
      <c r="A49" s="2333" t="s">
        <v>1341</v>
      </c>
      <c r="B49" s="3610" t="s">
        <v>1342</v>
      </c>
      <c r="C49" s="3610"/>
      <c r="D49" s="1590">
        <v>0</v>
      </c>
      <c r="E49" s="324" t="s">
        <v>1343</v>
      </c>
      <c r="F49" s="2424" t="s">
        <v>28</v>
      </c>
      <c r="G49" s="3593"/>
      <c r="H49" s="2310" t="s">
        <v>2134</v>
      </c>
      <c r="I49" s="2311"/>
      <c r="J49" s="2523">
        <v>4</v>
      </c>
      <c r="K49" s="3562" t="str">
        <f>IF(项目基本情况!E8="房地产抵押价值","房地产抵押价值","抵押担保权已注销时的房地产抵押价值")</f>
        <v>抵押担保权已注销时的房地产抵押价值</v>
      </c>
      <c r="L49" s="3562"/>
      <c r="M49" s="3565" t="str">
        <f>IF(项目基本情况!E8="房地产抵押价值",H107,H109)</f>
        <v>——</v>
      </c>
      <c r="N49" s="3565"/>
      <c r="O49" s="3565"/>
    </row>
    <row r="50" spans="1:35" ht="25.5" customHeight="1">
      <c r="A50" s="2551"/>
      <c r="B50" s="3610" t="s">
        <v>1344</v>
      </c>
      <c r="C50" s="3610"/>
      <c r="D50" s="2552"/>
      <c r="E50" s="332"/>
      <c r="F50" s="2424"/>
      <c r="G50" s="3594"/>
      <c r="H50" s="2312" t="s">
        <v>2135</v>
      </c>
      <c r="I50" s="2311"/>
      <c r="J50" s="3561" t="s">
        <v>1345</v>
      </c>
      <c r="K50" s="3561"/>
      <c r="L50" s="3561"/>
      <c r="M50" s="3561"/>
      <c r="N50" s="3561"/>
      <c r="O50" s="3561"/>
    </row>
    <row r="51" spans="1:35" ht="20.45" customHeight="1">
      <c r="A51" s="2553"/>
      <c r="B51" s="3610" t="s">
        <v>1346</v>
      </c>
      <c r="C51" s="3610"/>
      <c r="D51" s="1087"/>
      <c r="E51" s="327"/>
      <c r="F51" s="2424"/>
      <c r="G51" s="3595"/>
      <c r="H51" s="2312" t="s">
        <v>2136</v>
      </c>
      <c r="I51" s="2311"/>
      <c r="J51" s="2524" t="s">
        <v>1347</v>
      </c>
      <c r="K51" s="3562" t="s">
        <v>1348</v>
      </c>
      <c r="L51" s="3562"/>
      <c r="M51" s="2524" t="s">
        <v>1349</v>
      </c>
      <c r="N51" s="2524" t="s">
        <v>1350</v>
      </c>
      <c r="O51" s="2524" t="s">
        <v>1351</v>
      </c>
    </row>
    <row r="52" spans="1:35" ht="24" customHeight="1">
      <c r="A52" s="2335" t="s">
        <v>1352</v>
      </c>
      <c r="B52" s="3610" t="s">
        <v>1353</v>
      </c>
      <c r="C52" s="3610"/>
      <c r="D52" s="1087" t="e">
        <f ca="1">ROUND(D45*'数据-取费表'!B41/(1+'数据-取费表'!C42),0)</f>
        <v>#REF!</v>
      </c>
      <c r="E52" s="2334" t="s">
        <v>1354</v>
      </c>
      <c r="F52" s="2554">
        <f>'数据-取费表'!B41</f>
        <v>5.5000000000000007E-2</v>
      </c>
      <c r="G52" s="2555"/>
      <c r="H52" s="2544"/>
      <c r="I52" s="1807"/>
      <c r="J52" s="2523">
        <v>1</v>
      </c>
      <c r="K52" s="3587" t="s">
        <v>1355</v>
      </c>
      <c r="L52" s="3587"/>
      <c r="M52" s="2525" t="b">
        <f>D48</f>
        <v>0</v>
      </c>
      <c r="N52" s="2523" t="str">
        <f>E48</f>
        <v>销售额×税（费）率</v>
      </c>
      <c r="O52" s="2526">
        <f>F48</f>
        <v>5.5000000000000007E-2</v>
      </c>
    </row>
    <row r="53" spans="1:35" ht="12" customHeight="1">
      <c r="A53" s="2335" t="s">
        <v>1356</v>
      </c>
      <c r="B53" s="3611" t="s">
        <v>2291</v>
      </c>
      <c r="C53" s="3612"/>
      <c r="D53" s="1087" t="e">
        <f ca="1">ROUND(D45*'数据-取费表'!B41/(1+'数据-取费表'!C42),0)</f>
        <v>#REF!</v>
      </c>
      <c r="E53" s="2334" t="s">
        <v>1354</v>
      </c>
      <c r="F53" s="2554">
        <f>'数据-取费表'!B41</f>
        <v>5.5000000000000007E-2</v>
      </c>
      <c r="G53" s="2555"/>
      <c r="H53" s="2544"/>
      <c r="I53" s="1807"/>
      <c r="J53" s="2523">
        <v>2</v>
      </c>
      <c r="K53" s="3587" t="s">
        <v>1357</v>
      </c>
      <c r="L53" s="3587"/>
      <c r="M53" s="2525" t="e">
        <f t="shared" ref="M53:O54" ca="1" si="0">D55</f>
        <v>#REF!</v>
      </c>
      <c r="N53" s="2523" t="str">
        <f t="shared" si="0"/>
        <v>销售额×税（费）率</v>
      </c>
      <c r="O53" s="2526" t="str">
        <f t="shared" si="0"/>
        <v>免征</v>
      </c>
    </row>
    <row r="54" spans="1:35" ht="12" customHeight="1">
      <c r="A54" s="2335" t="s">
        <v>1358</v>
      </c>
      <c r="B54" s="3611" t="s">
        <v>2292</v>
      </c>
      <c r="C54" s="3612"/>
      <c r="D54" s="1087" t="e">
        <f ca="1">C68</f>
        <v>#REF!</v>
      </c>
      <c r="E54" s="327" t="s">
        <v>1359</v>
      </c>
      <c r="F54" s="2554">
        <f>'数据-取费表'!B41</f>
        <v>5.5000000000000007E-2</v>
      </c>
      <c r="G54" s="2555"/>
      <c r="H54" s="2556"/>
      <c r="I54" s="1807"/>
      <c r="J54" s="2523">
        <v>3</v>
      </c>
      <c r="K54" s="3587" t="s">
        <v>1360</v>
      </c>
      <c r="L54" s="3587"/>
      <c r="M54" s="2525" t="e">
        <f t="shared" ca="1" si="0"/>
        <v>#REF!</v>
      </c>
      <c r="N54" s="2523" t="str">
        <f t="shared" si="0"/>
        <v>增值额×税（费）率</v>
      </c>
      <c r="O54" s="2527" t="str">
        <f t="shared" si="0"/>
        <v>免征</v>
      </c>
    </row>
    <row r="55" spans="1:35" ht="24" customHeight="1">
      <c r="A55" s="3647" t="s">
        <v>1361</v>
      </c>
      <c r="B55" s="3625"/>
      <c r="C55" s="3625"/>
      <c r="D55" s="2324" t="e">
        <f ca="1">IF(H55="个人住宅",0,ROUND(D45*I55,0))</f>
        <v>#REF!</v>
      </c>
      <c r="E55" s="2334" t="s">
        <v>1362</v>
      </c>
      <c r="F55" s="2554" t="str">
        <f>IF(H55="正常",I55,"免征")</f>
        <v>免征</v>
      </c>
      <c r="G55" s="2555"/>
      <c r="H55" s="2550"/>
      <c r="I55" s="165">
        <f>'数据-取费表'!B49</f>
        <v>5.0000000000000001E-4</v>
      </c>
      <c r="J55" s="2523">
        <f>IF(H59="非个人房产","",4)</f>
        <v>4</v>
      </c>
      <c r="K55" s="3587" t="str">
        <f>IF(H59="非个人房产","——","个人所得税")</f>
        <v>个人所得税</v>
      </c>
      <c r="L55" s="3587"/>
      <c r="M55" s="2528" t="e">
        <f ca="1">D59</f>
        <v>#REF!</v>
      </c>
      <c r="N55" s="2040" t="str">
        <f>E59</f>
        <v>差额计税</v>
      </c>
      <c r="O55" s="2529">
        <f>F59</f>
        <v>0.01</v>
      </c>
    </row>
    <row r="56" spans="1:35" ht="24.75">
      <c r="A56" s="3647" t="s">
        <v>1363</v>
      </c>
      <c r="B56" s="3625"/>
      <c r="C56" s="3625"/>
      <c r="D56" s="2324" t="e">
        <f ca="1">IF(H56="个人住宅",D57,D58)</f>
        <v>#REF!</v>
      </c>
      <c r="E56" s="2334" t="s">
        <v>1364</v>
      </c>
      <c r="F56" s="2554" t="str">
        <f>IF(H56="正常",F58,"免征")</f>
        <v>免征</v>
      </c>
      <c r="G56" s="2557" t="s">
        <v>1365</v>
      </c>
      <c r="H56" s="2558"/>
      <c r="I56" s="1808"/>
      <c r="J56" s="2523" t="str">
        <f>IF(项目基本情况!K6="上海银行",IF(J55="",4,J55+1),"")</f>
        <v/>
      </c>
      <c r="K56" s="3568" t="str">
        <f>IF(项目基本情况!K6="上海银行","其他处置费用","")</f>
        <v/>
      </c>
      <c r="L56" s="3569"/>
      <c r="M56" s="2525" t="str">
        <f>IF(项目基本情况!K6="上海银行",M69,"")</f>
        <v/>
      </c>
      <c r="N56" s="3568" t="str">
        <f>IF(项目基本情况!K6="上海银行","包含处置中涉及的律师、诉讼、拍卖、评估等费用","")</f>
        <v/>
      </c>
      <c r="O56" s="3571"/>
    </row>
    <row r="57" spans="1:35" ht="12.75">
      <c r="A57" s="2335" t="s">
        <v>1341</v>
      </c>
      <c r="B57" s="3611" t="s">
        <v>1366</v>
      </c>
      <c r="C57" s="3612"/>
      <c r="D57" s="1590">
        <v>0</v>
      </c>
      <c r="E57" s="324" t="s">
        <v>1343</v>
      </c>
      <c r="F57" s="302"/>
      <c r="G57" s="2555"/>
      <c r="H57" s="2559"/>
      <c r="I57" s="1808"/>
      <c r="J57" s="3587">
        <f>IF(AND(J55="",J56=""),4,IF(项目基本情况!K6="上海银行",结果表!J56+1,结果表!J55+1))</f>
        <v>5</v>
      </c>
      <c r="K57" s="3587" t="s">
        <v>1367</v>
      </c>
      <c r="L57" s="2530" t="s">
        <v>1368</v>
      </c>
      <c r="M57" s="2531"/>
      <c r="N57" s="2532">
        <f ca="1">SUMIF(M52:M56,"&lt;9e307")</f>
        <v>0</v>
      </c>
      <c r="O57" s="2533"/>
      <c r="P57" s="2690" t="e">
        <f ca="1">N57/M49</f>
        <v>#VALUE!</v>
      </c>
    </row>
    <row r="58" spans="1:35" ht="24.75">
      <c r="A58" s="2335" t="s">
        <v>1352</v>
      </c>
      <c r="B58" s="3611" t="s">
        <v>1369</v>
      </c>
      <c r="C58" s="3610"/>
      <c r="D58" s="2324" t="e">
        <f ca="1">IF(H58="转让取得",C81,C97)</f>
        <v>#REF!</v>
      </c>
      <c r="E58" s="2334" t="s">
        <v>1364</v>
      </c>
      <c r="F58" s="302" t="s">
        <v>28</v>
      </c>
      <c r="G58" s="2555"/>
      <c r="H58" s="2558"/>
      <c r="I58" s="1808"/>
      <c r="J58" s="3587"/>
      <c r="K58" s="3587"/>
      <c r="L58" s="2530" t="s">
        <v>1370</v>
      </c>
      <c r="M58" s="2534"/>
      <c r="N58" s="2535" t="str">
        <f ca="1">NUMBERSTRING(INT(N57*10000),2)&amp;"元整"</f>
        <v>零元整</v>
      </c>
      <c r="O58" s="2536"/>
    </row>
    <row r="59" spans="1:35" ht="24.75" thickBot="1">
      <c r="A59" s="3591" t="s">
        <v>1371</v>
      </c>
      <c r="B59" s="3592"/>
      <c r="C59" s="3592"/>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9">
        <f>J57+1</f>
        <v>6</v>
      </c>
      <c r="K59" s="3587" t="s">
        <v>1372</v>
      </c>
      <c r="L59" s="2523" t="s">
        <v>1368</v>
      </c>
      <c r="M59" s="2537"/>
      <c r="N59" s="2538" t="e">
        <f ca="1">M49-N57</f>
        <v>#VALUE!</v>
      </c>
      <c r="O59" s="2539"/>
    </row>
    <row r="60" spans="1:35" ht="12" customHeight="1">
      <c r="A60" s="1809"/>
      <c r="B60" s="1747"/>
      <c r="C60" s="1747"/>
      <c r="D60" s="1747"/>
      <c r="E60" s="1578"/>
      <c r="F60" s="1808"/>
      <c r="G60" s="1808"/>
      <c r="H60" s="1810"/>
      <c r="I60" s="129"/>
      <c r="J60" s="3590"/>
      <c r="K60" s="3587"/>
      <c r="L60" s="2530" t="s">
        <v>1370</v>
      </c>
      <c r="M60" s="2534"/>
      <c r="N60" s="2535" t="e">
        <f ca="1">NUMBERSTRING(INT(N59*10000),2)&amp;"元整"</f>
        <v>#VALUE!</v>
      </c>
      <c r="O60" s="2536"/>
    </row>
    <row r="61" spans="1:35" ht="13.5" thickBot="1">
      <c r="A61" s="3646" t="s">
        <v>1373</v>
      </c>
      <c r="B61" s="3646"/>
      <c r="C61" s="3646"/>
      <c r="D61" s="3646"/>
      <c r="E61" s="3646"/>
      <c r="F61" s="1808"/>
      <c r="G61" s="1808"/>
      <c r="H61" s="1810"/>
      <c r="I61" s="129"/>
      <c r="J61" s="2523">
        <f>J59+1</f>
        <v>7</v>
      </c>
      <c r="K61" s="3587" t="s">
        <v>1374</v>
      </c>
      <c r="L61" s="3587"/>
      <c r="M61" s="2540"/>
      <c r="N61" s="2541" t="e">
        <f ca="1">ROUND(N59*10000/'数据-汇总表'!E3,0)</f>
        <v>#VALUE!</v>
      </c>
      <c r="O61" s="2542"/>
    </row>
    <row r="62" spans="1:35" ht="12.75">
      <c r="A62" s="3606" t="s">
        <v>1375</v>
      </c>
      <c r="B62" s="3607"/>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70"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7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70"/>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70"/>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7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570"/>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70"/>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4" t="s">
        <v>1394</v>
      </c>
      <c r="B70" s="3615"/>
      <c r="C70" s="3615"/>
      <c r="D70" s="3615"/>
      <c r="E70" s="3615"/>
      <c r="F70" s="3615"/>
      <c r="G70" s="3615"/>
      <c r="H70" s="361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6" t="s">
        <v>1375</v>
      </c>
      <c r="B71" s="360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11" t="s">
        <v>1402</v>
      </c>
      <c r="F76" s="3610"/>
      <c r="G76" s="3610"/>
      <c r="H76" s="361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603" t="s">
        <v>1406</v>
      </c>
      <c r="F78" s="3604"/>
      <c r="G78" s="3604"/>
      <c r="H78" s="360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4" t="s">
        <v>1410</v>
      </c>
      <c r="B83" s="3615"/>
      <c r="C83" s="3615"/>
      <c r="D83" s="3615"/>
      <c r="E83" s="3615"/>
      <c r="F83" s="3615"/>
      <c r="G83" s="3615"/>
      <c r="H83" s="361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6" t="s">
        <v>1375</v>
      </c>
      <c r="B84" s="360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2" t="s">
        <v>2129</v>
      </c>
      <c r="H90" s="357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3" t="s">
        <v>1419</v>
      </c>
      <c r="F91" s="3604"/>
      <c r="G91" s="360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3" t="s">
        <v>1422</v>
      </c>
      <c r="F92" s="3604"/>
      <c r="G92" s="3604"/>
      <c r="H92" s="360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603" t="s">
        <v>1406</v>
      </c>
      <c r="F93" s="3604"/>
      <c r="G93" s="3604"/>
      <c r="H93" s="360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8" t="s">
        <v>1426</v>
      </c>
      <c r="F94" s="3649"/>
      <c r="G94" s="3649"/>
      <c r="H94" s="365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88"/>
      <c r="E100" s="3553" t="s">
        <v>1429</v>
      </c>
      <c r="F100" s="3553"/>
      <c r="G100" s="3553"/>
      <c r="H100" s="3588"/>
      <c r="I100" s="129"/>
    </row>
    <row r="101" spans="1:35" ht="18.75" customHeight="1">
      <c r="A101" s="3596" t="s">
        <v>1430</v>
      </c>
      <c r="B101" s="3597"/>
      <c r="C101" s="2585" t="str">
        <f>C4</f>
        <v>比较法-商业</v>
      </c>
      <c r="D101" s="2586" t="str">
        <f>D4</f>
        <v>收益法</v>
      </c>
      <c r="E101" s="3566" t="s">
        <v>1431</v>
      </c>
      <c r="F101" s="3567"/>
      <c r="G101" s="1827" t="s">
        <v>1432</v>
      </c>
      <c r="H101" s="2595" t="e">
        <f ca="1">H118</f>
        <v>#REF!</v>
      </c>
      <c r="I101" s="129"/>
    </row>
    <row r="102" spans="1:35" ht="18.75" customHeight="1">
      <c r="A102" s="3598" t="s">
        <v>1433</v>
      </c>
      <c r="B102" s="2584" t="s">
        <v>1432</v>
      </c>
      <c r="C102" s="2585">
        <f ca="1">IF(D32="楼面单价",ROUND(C19,0),C19)</f>
        <v>0</v>
      </c>
      <c r="D102" s="2586">
        <f ca="1">IF(D32="楼面单价",ROUND(D19,0),D19)</f>
        <v>1399</v>
      </c>
      <c r="E102" s="3566"/>
      <c r="F102" s="3567"/>
      <c r="G102" s="1827" t="s">
        <v>1434</v>
      </c>
      <c r="H102" s="2555" t="e">
        <f ca="1">I118</f>
        <v>#REF!</v>
      </c>
      <c r="I102" s="129"/>
    </row>
    <row r="103" spans="1:35" ht="42.75" customHeight="1">
      <c r="A103" s="3598"/>
      <c r="B103" s="2584" t="s">
        <v>1434</v>
      </c>
      <c r="C103" s="2587">
        <f ca="1">C20</f>
        <v>14832</v>
      </c>
      <c r="D103" s="2588">
        <f ca="1">D20</f>
        <v>11765</v>
      </c>
      <c r="E103" s="3559" t="s">
        <v>1435</v>
      </c>
      <c r="F103" s="3560"/>
      <c r="G103" s="1828" t="s">
        <v>1436</v>
      </c>
      <c r="H103" s="2595">
        <f>IF(D36="正常操作",H104+H105+H106,H105+H106)</f>
        <v>0</v>
      </c>
      <c r="I103" s="129"/>
    </row>
    <row r="104" spans="1:35" ht="18.75" customHeight="1">
      <c r="A104" s="359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8"/>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9" t="str">
        <f>IF(项目基本情况!E8="已注销","——","3.房地产抵押价值")</f>
        <v>3.房地产抵押价值</v>
      </c>
      <c r="F107" s="3567"/>
      <c r="G107" s="1827" t="s">
        <v>1432</v>
      </c>
      <c r="H107" s="2595" t="e">
        <f ca="1">IF(E107="——","——",H101-H103)</f>
        <v>#REF!</v>
      </c>
      <c r="I107" s="129"/>
    </row>
    <row r="108" spans="1:35" ht="18.75" customHeight="1">
      <c r="A108" s="129"/>
      <c r="B108" s="129"/>
      <c r="C108" s="129"/>
      <c r="D108" s="129"/>
      <c r="E108" s="3599"/>
      <c r="F108" s="3567"/>
      <c r="G108" s="1827" t="s">
        <v>1434</v>
      </c>
      <c r="H108" s="2555">
        <f ca="1">IF(H107=H101,H102,ROUND(H107*10000/'数据-汇总表'!E3,0))</f>
        <v>0</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567"/>
      <c r="G109" s="1827" t="s">
        <v>1432</v>
      </c>
      <c r="H109" s="2598" t="str">
        <f>IF(E109="——","——",H101-H105-H106)</f>
        <v>——</v>
      </c>
      <c r="I109" s="129"/>
    </row>
    <row r="110" spans="1:35" ht="18.75" customHeight="1">
      <c r="A110" s="129"/>
      <c r="B110" s="129"/>
      <c r="C110" s="129"/>
      <c r="D110" s="129"/>
      <c r="E110" s="3599"/>
      <c r="F110" s="3567"/>
      <c r="G110" s="1827" t="s">
        <v>1434</v>
      </c>
      <c r="H110" s="2555" t="str">
        <f>IF(H109="——","——",ROUND(H109*10000/'数据-汇总表'!E3,0))</f>
        <v>——</v>
      </c>
      <c r="I110" s="129"/>
    </row>
    <row r="111" spans="1:35" ht="18.75" customHeight="1">
      <c r="A111" s="129"/>
      <c r="B111" s="129"/>
      <c r="C111" s="129"/>
      <c r="D111" s="129"/>
      <c r="E111" s="3600" t="str">
        <f>IF(项目基本情况!E9="抵押净值",IF(OR(项目基本情况!E8="已注销",项目基本情况!E8="房地产抵押价值"),"4.抵押净值","5.抵押净值"),"——")</f>
        <v>——</v>
      </c>
      <c r="F111" s="3586"/>
      <c r="G111" s="1827" t="s">
        <v>1432</v>
      </c>
      <c r="H111" s="2595" t="str">
        <f>IF(E111="——","——",N59)</f>
        <v>——</v>
      </c>
      <c r="I111" s="129"/>
    </row>
    <row r="112" spans="1:35" ht="18.75" customHeight="1" thickBot="1">
      <c r="A112" s="129"/>
      <c r="B112" s="129"/>
      <c r="C112" s="129"/>
      <c r="D112" s="129"/>
      <c r="E112" s="3601"/>
      <c r="F112" s="3602"/>
      <c r="G112" s="1830" t="s">
        <v>1434</v>
      </c>
      <c r="H112" s="2599" t="str">
        <f>IF(E111="——","——",N61)</f>
        <v>——</v>
      </c>
      <c r="I112" s="129"/>
    </row>
    <row r="113" spans="1:27" ht="18.75" customHeight="1">
      <c r="A113" s="129"/>
      <c r="B113" s="129"/>
      <c r="C113" s="129"/>
      <c r="D113" s="129"/>
      <c r="E113" s="3609" t="s">
        <v>1440</v>
      </c>
      <c r="F113" s="3609"/>
      <c r="G113" s="3609"/>
      <c r="H113" s="3609"/>
      <c r="I113" s="129"/>
    </row>
    <row r="114" spans="1:27" ht="3.75" customHeight="1">
      <c r="A114" s="1747"/>
      <c r="B114" s="1747"/>
      <c r="C114" s="1747"/>
      <c r="D114" s="1747"/>
      <c r="E114" s="1809"/>
      <c r="F114" s="1809"/>
      <c r="G114" s="1809"/>
      <c r="H114" s="1809"/>
      <c r="I114" s="1747"/>
    </row>
    <row r="115" spans="1:27" ht="18.75" customHeight="1">
      <c r="A115" s="3617" t="s">
        <v>1442</v>
      </c>
      <c r="B115" s="3618"/>
      <c r="C115" s="3618"/>
      <c r="D115" s="3618"/>
      <c r="E115" s="3618"/>
      <c r="F115" s="3618"/>
      <c r="G115" s="3618"/>
      <c r="H115" s="3618"/>
      <c r="I115" s="3619"/>
    </row>
    <row r="116" spans="1:27" ht="27" customHeight="1">
      <c r="A116" s="3574" t="s">
        <v>1443</v>
      </c>
      <c r="B116" s="3578" t="s">
        <v>1444</v>
      </c>
      <c r="C116" s="3578" t="s">
        <v>1445</v>
      </c>
      <c r="D116" s="3584" t="s">
        <v>1446</v>
      </c>
      <c r="E116" s="3585"/>
      <c r="F116" s="3616" t="s">
        <v>1447</v>
      </c>
      <c r="G116" s="3616"/>
      <c r="H116" s="3574" t="s">
        <v>1448</v>
      </c>
      <c r="I116" s="3574"/>
    </row>
    <row r="117" spans="1:27" ht="18.75" customHeight="1">
      <c r="A117" s="3574"/>
      <c r="B117" s="3579"/>
      <c r="C117" s="357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1189.08</v>
      </c>
      <c r="C118" s="2329">
        <f>M19</f>
        <v>842.89</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74" t="s">
        <v>1452</v>
      </c>
      <c r="B119" s="3574"/>
      <c r="C119" s="3574"/>
      <c r="D119" s="3580" t="e">
        <f ca="1">NUMBERSTRING(INT(D118*10000),2)&amp;"元整"</f>
        <v>#REF!</v>
      </c>
      <c r="E119" s="3581"/>
      <c r="F119" s="3580" t="e">
        <f ca="1">NUMBERSTRING(INT(F118*10000),2)&amp;"元整"</f>
        <v>#REF!</v>
      </c>
      <c r="G119" s="3581"/>
      <c r="H119" s="3580" t="e">
        <f ca="1">NUMBERSTRING(INT(H118*10000),2)&amp;"元整"</f>
        <v>#REF!</v>
      </c>
      <c r="I119" s="3581"/>
    </row>
    <row r="120" spans="1:27" ht="18.75" customHeight="1">
      <c r="A120" s="3575" t="str">
        <f>IF(项目基本情况!B9="房地产市场价值","",MID(E103,3,LEN(E103)-2))</f>
        <v/>
      </c>
      <c r="B120" s="3576"/>
      <c r="C120" s="3577"/>
      <c r="D120" s="3575">
        <f>H103</f>
        <v>0</v>
      </c>
      <c r="E120" s="3576"/>
      <c r="F120" s="3576"/>
      <c r="G120" s="3576"/>
      <c r="H120" s="3576"/>
      <c r="I120" s="357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80" t="s">
        <v>1452</v>
      </c>
      <c r="B121" s="3582"/>
      <c r="C121" s="3581"/>
      <c r="D121" s="3580" t="str">
        <f>IF(D120=0,"零元整",NUMBERSTRING(INT(D120*10000),2)&amp;"元整")</f>
        <v>零元整</v>
      </c>
      <c r="E121" s="3582"/>
      <c r="F121" s="3582"/>
      <c r="G121" s="3582"/>
      <c r="H121" s="3582"/>
      <c r="I121" s="3581"/>
      <c r="AA121" s="725"/>
    </row>
    <row r="122" spans="1:27" ht="18.75" customHeight="1">
      <c r="A122" s="3586" t="str">
        <f>IF(项目基本情况!B9="房地产市场价值","",MID(E107,3,LEN(E107)-2))</f>
        <v/>
      </c>
      <c r="B122" s="3586"/>
      <c r="C122" s="3586"/>
      <c r="D122" s="3575" t="e">
        <f ca="1">H107</f>
        <v>#REF!</v>
      </c>
      <c r="E122" s="3576"/>
      <c r="F122" s="3576"/>
      <c r="G122" s="3576"/>
      <c r="H122" s="3576"/>
      <c r="I122" s="3577"/>
      <c r="AA122" s="725"/>
    </row>
    <row r="123" spans="1:27" ht="18.75" customHeight="1">
      <c r="A123" s="3574" t="s">
        <v>1452</v>
      </c>
      <c r="B123" s="3574"/>
      <c r="C123" s="3574"/>
      <c r="D123" s="3580" t="e">
        <f ca="1">NUMBERSTRING(INT(D122*10000),2)&amp;"元整"</f>
        <v>#REF!</v>
      </c>
      <c r="E123" s="3582"/>
      <c r="F123" s="3582"/>
      <c r="G123" s="3582"/>
      <c r="H123" s="3582"/>
      <c r="I123" s="3581"/>
      <c r="AA123" s="725"/>
    </row>
    <row r="124" spans="1:27" ht="18.75" customHeight="1">
      <c r="A124" s="3586" t="str">
        <f>IF(项目基本情况!B9="房地产市场价值","",MID(E109,3,LEN(E109)-2))</f>
        <v/>
      </c>
      <c r="B124" s="3586"/>
      <c r="C124" s="3586"/>
      <c r="D124" s="3575" t="str">
        <f>H109</f>
        <v>——</v>
      </c>
      <c r="E124" s="3576"/>
      <c r="F124" s="3576"/>
      <c r="G124" s="3576"/>
      <c r="H124" s="3576"/>
      <c r="I124" s="3577"/>
      <c r="AA124" s="725"/>
    </row>
    <row r="125" spans="1:27" ht="18.75" customHeight="1">
      <c r="A125" s="3574" t="s">
        <v>1452</v>
      </c>
      <c r="B125" s="3574"/>
      <c r="C125" s="3574"/>
      <c r="D125" s="3580" t="e">
        <f>NUMBERSTRING(INT(D124*10000),2)&amp;"元整"</f>
        <v>#VALUE!</v>
      </c>
      <c r="E125" s="3582"/>
      <c r="F125" s="3582"/>
      <c r="G125" s="3582"/>
      <c r="H125" s="3582"/>
      <c r="I125" s="3581"/>
      <c r="AA125" s="725"/>
    </row>
    <row r="126" spans="1:27" ht="18.75" customHeight="1">
      <c r="A126" s="3586" t="str">
        <f>IF(项目基本情况!B9="房地产市场价值","",MID(E111,3,LEN(E111)-2))</f>
        <v/>
      </c>
      <c r="B126" s="3586"/>
      <c r="C126" s="3586"/>
      <c r="D126" s="3575" t="str">
        <f>H111</f>
        <v>——</v>
      </c>
      <c r="E126" s="3576"/>
      <c r="F126" s="3576"/>
      <c r="G126" s="3576"/>
      <c r="H126" s="3576"/>
      <c r="I126" s="3577"/>
      <c r="AA126" s="725"/>
    </row>
    <row r="127" spans="1:27" ht="18.75" customHeight="1">
      <c r="A127" s="3574" t="s">
        <v>1452</v>
      </c>
      <c r="B127" s="3574"/>
      <c r="C127" s="3574"/>
      <c r="D127" s="3580" t="e">
        <f>NUMBERSTRING(INT(D126*10000),2)&amp;"元整"</f>
        <v>#VALUE!</v>
      </c>
      <c r="E127" s="3582"/>
      <c r="F127" s="3582"/>
      <c r="G127" s="3582"/>
      <c r="H127" s="3582"/>
      <c r="I127" s="3581"/>
      <c r="AA127" s="725"/>
    </row>
    <row r="128" spans="1:27" ht="21.75" customHeight="1">
      <c r="A128" s="3583" t="s">
        <v>1453</v>
      </c>
      <c r="B128" s="3583"/>
      <c r="C128" s="3583"/>
      <c r="D128" s="3583"/>
      <c r="E128" s="3583"/>
      <c r="F128" s="3583"/>
      <c r="G128" s="3583"/>
      <c r="H128" s="3583"/>
      <c r="I128" s="358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7" zoomScale="90" zoomScaleNormal="70" zoomScaleSheetLayoutView="90" workbookViewId="0">
      <selection activeCell="F37" sqref="F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6"/>
      <c r="F1" s="1879" t="s">
        <v>3463</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t="s">
        <v>43</v>
      </c>
      <c r="D2" s="1115">
        <f ca="1">IF(E1="项目模式",SUMIF(INDIRECT("'"&amp;F2&amp;"'"&amp;"!A:A"),"承租人权益价值",INDIRECT("'"&amp;F2&amp;"'"&amp;"!c:c")),SUMIF(INDIRECT("'"&amp;F2&amp;"'"&amp;"!A:A"),"承租人权益价值（单套）",INDIRECT("'"&amp;F2&amp;"'"&amp;"!c:c")))</f>
        <v>0</v>
      </c>
      <c r="E2" s="1882" t="s">
        <v>1463</v>
      </c>
      <c r="F2" s="1883" t="s">
        <v>3464</v>
      </c>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14832</v>
      </c>
      <c r="C3" s="354" t="s">
        <v>1768</v>
      </c>
      <c r="D3" s="353">
        <f>IF(D1="",'数据-汇总表'!E3,SUMIF('数据-汇总表'!$C19:$C33,D1,'数据-汇总表'!$E19:$E33))</f>
        <v>1189.08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59" t="s">
        <v>1771</v>
      </c>
      <c r="S4" s="3660"/>
      <c r="T4" s="3659" t="s">
        <v>1772</v>
      </c>
      <c r="U4" s="3660"/>
      <c r="V4" s="3656" t="s">
        <v>1773</v>
      </c>
      <c r="W4" s="3656"/>
      <c r="X4" s="1355"/>
      <c r="Y4" s="3659" t="s">
        <v>1775</v>
      </c>
      <c r="Z4" s="3660"/>
      <c r="AA4" s="3653" t="s">
        <v>1771</v>
      </c>
      <c r="AB4" s="3656" t="s">
        <v>1772</v>
      </c>
      <c r="AC4" s="3653" t="s">
        <v>1773</v>
      </c>
    </row>
    <row r="5" spans="1:29" ht="15">
      <c r="A5" s="358"/>
      <c r="B5" s="359"/>
      <c r="C5" s="3665" t="s">
        <v>3425</v>
      </c>
      <c r="D5" s="3666"/>
      <c r="E5" s="3663" t="str">
        <f>商业售价案例!$B$2</f>
        <v>银地澜湾</v>
      </c>
      <c r="F5" s="3664"/>
      <c r="G5" s="3669" t="str">
        <f>商业售价案例!$B$3</f>
        <v>影人四季花园商铺</v>
      </c>
      <c r="H5" s="3666"/>
      <c r="I5" s="3669" t="str">
        <f>商业售价案例!$B$4</f>
        <v>龙山新新小镇</v>
      </c>
      <c r="J5" s="3666"/>
      <c r="K5" s="559"/>
      <c r="L5" s="2715"/>
      <c r="M5" s="2716"/>
      <c r="N5" s="2716"/>
      <c r="O5" s="2716"/>
      <c r="P5" s="3679"/>
      <c r="Q5" s="3680"/>
      <c r="R5" s="3661"/>
      <c r="S5" s="3662"/>
      <c r="T5" s="3661"/>
      <c r="U5" s="3662"/>
      <c r="V5" s="3656"/>
      <c r="W5" s="3656"/>
      <c r="X5" s="1355"/>
      <c r="Y5" s="3661"/>
      <c r="Z5" s="3662"/>
      <c r="AA5" s="3654"/>
      <c r="AB5" s="3656"/>
      <c r="AC5" s="3654"/>
    </row>
    <row r="6" spans="1:29" ht="15.75" thickBot="1">
      <c r="A6" s="360"/>
      <c r="B6" s="361"/>
      <c r="C6" s="3667" t="s">
        <v>1677</v>
      </c>
      <c r="D6" s="3668"/>
      <c r="E6" s="3670" t="s">
        <v>1677</v>
      </c>
      <c r="F6" s="3671"/>
      <c r="G6" s="3667" t="s">
        <v>1677</v>
      </c>
      <c r="H6" s="3668"/>
      <c r="I6" s="3667" t="s">
        <v>1677</v>
      </c>
      <c r="J6" s="3668"/>
      <c r="K6" s="559" t="s">
        <v>1678</v>
      </c>
      <c r="L6" s="2715"/>
      <c r="M6" s="2716"/>
      <c r="N6" s="2716"/>
      <c r="O6" s="2716"/>
      <c r="P6" s="3681"/>
      <c r="Q6" s="3682"/>
      <c r="R6" s="3661"/>
      <c r="S6" s="3662"/>
      <c r="T6" s="3683"/>
      <c r="U6" s="3684"/>
      <c r="V6" s="3656"/>
      <c r="W6" s="3656"/>
      <c r="X6" s="1355"/>
      <c r="Y6" s="3683"/>
      <c r="Z6" s="3684"/>
      <c r="AA6" s="3655"/>
      <c r="AB6" s="3656"/>
      <c r="AC6" s="3655"/>
    </row>
    <row r="7" spans="1:29" s="108" customFormat="1" ht="15.75" thickBot="1">
      <c r="A7" s="362" t="s">
        <v>1679</v>
      </c>
      <c r="B7" s="363"/>
      <c r="C7" s="364">
        <f>'数据-取费表'!B2</f>
        <v>45148</v>
      </c>
      <c r="D7" s="365">
        <v>100</v>
      </c>
      <c r="E7" s="366">
        <f>商业售价案例!$E$2</f>
        <v>45147</v>
      </c>
      <c r="F7" s="367">
        <f>SUMIF(58:58,YEAR(E7)&amp;"-"&amp;MONTH(E7),59:59)</f>
        <v>100</v>
      </c>
      <c r="G7" s="366">
        <f>商业售价案例!$E$3</f>
        <v>44974</v>
      </c>
      <c r="H7" s="365">
        <f>SUMIF(58:58,YEAR(G7)&amp;"-"&amp;MONTH(G7),59:59)</f>
        <v>99</v>
      </c>
      <c r="I7" s="366">
        <f>商业售价案例!$E$4</f>
        <v>44995</v>
      </c>
      <c r="J7" s="365">
        <f>SUMIF(58:58,YEAR(I7)&amp;"-"&amp;MONTH(I7),59:59)</f>
        <v>99</v>
      </c>
      <c r="K7" s="560"/>
      <c r="L7" s="2717"/>
      <c r="M7" s="2718"/>
      <c r="N7" s="2718"/>
      <c r="O7" s="2718"/>
      <c r="P7" s="3657" t="s">
        <v>1680</v>
      </c>
      <c r="Q7" s="3685"/>
      <c r="R7" s="701" t="s">
        <v>14</v>
      </c>
      <c r="S7" s="702">
        <f t="shared" ref="S7:S15" si="0">F7</f>
        <v>100</v>
      </c>
      <c r="T7" s="701" t="s">
        <v>14</v>
      </c>
      <c r="U7" s="702">
        <f t="shared" ref="U7:U15" si="1">H7</f>
        <v>99</v>
      </c>
      <c r="V7" s="701" t="s">
        <v>14</v>
      </c>
      <c r="W7" s="702">
        <f t="shared" ref="W7:W15" si="2">J7</f>
        <v>99</v>
      </c>
      <c r="X7" s="703"/>
      <c r="Y7" s="3657" t="s">
        <v>1680</v>
      </c>
      <c r="Z7" s="3658"/>
      <c r="AA7" s="704">
        <f>D7/F7</f>
        <v>1</v>
      </c>
      <c r="AB7" s="704">
        <f>D7/H7</f>
        <v>1.0101010101010102</v>
      </c>
      <c r="AC7" s="704">
        <f>D7/J7</f>
        <v>1.0101010101010102</v>
      </c>
    </row>
    <row r="8" spans="1:29" s="108" customFormat="1" ht="15.75" thickBot="1">
      <c r="A8" s="362" t="s">
        <v>1681</v>
      </c>
      <c r="B8" s="363"/>
      <c r="C8" s="368" t="s">
        <v>3426</v>
      </c>
      <c r="D8" s="365">
        <v>100</v>
      </c>
      <c r="E8" s="368" t="s">
        <v>3426</v>
      </c>
      <c r="F8" s="367">
        <f>SUMIF(61:61,E8,62:62)-SUMIF(61:61,C8,62:62)+100</f>
        <v>100</v>
      </c>
      <c r="G8" s="368" t="s">
        <v>3426</v>
      </c>
      <c r="H8" s="365">
        <f>SUMIF(61:61,G8,62:62)-SUMIF(61:61,C8,62:62)+100</f>
        <v>100</v>
      </c>
      <c r="I8" s="368" t="s">
        <v>3426</v>
      </c>
      <c r="J8" s="365">
        <f>SUMIF(61:61,I8,62:62)-SUMIF(61:61,C8,62:62)+100</f>
        <v>100</v>
      </c>
      <c r="K8" s="560"/>
      <c r="L8" s="2717"/>
      <c r="M8" s="2718"/>
      <c r="N8" s="2718"/>
      <c r="O8" s="2718"/>
      <c r="P8" s="3657" t="s">
        <v>1683</v>
      </c>
      <c r="Q8" s="3658"/>
      <c r="R8" s="701" t="s">
        <v>14</v>
      </c>
      <c r="S8" s="702">
        <f t="shared" si="0"/>
        <v>100</v>
      </c>
      <c r="T8" s="701" t="s">
        <v>14</v>
      </c>
      <c r="U8" s="702">
        <f t="shared" si="1"/>
        <v>100</v>
      </c>
      <c r="V8" s="701" t="s">
        <v>14</v>
      </c>
      <c r="W8" s="702">
        <f t="shared" si="2"/>
        <v>100</v>
      </c>
      <c r="X8" s="703"/>
      <c r="Y8" s="3657" t="s">
        <v>1683</v>
      </c>
      <c r="Z8" s="3658"/>
      <c r="AA8" s="704">
        <f t="shared" ref="AA8:AA46" si="3">D8/F8</f>
        <v>1</v>
      </c>
      <c r="AB8" s="704">
        <f t="shared" ref="AB8:AB46" si="4">D8/H8</f>
        <v>1</v>
      </c>
      <c r="AC8" s="704">
        <f t="shared" ref="AC8:AC46" si="5">D8/J8</f>
        <v>1</v>
      </c>
    </row>
    <row r="9" spans="1:29" s="108" customFormat="1" ht="15" thickBot="1">
      <c r="A9" s="369" t="s">
        <v>1684</v>
      </c>
      <c r="B9" s="63" t="s">
        <v>1685</v>
      </c>
      <c r="C9" s="3453" t="s">
        <v>3427</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72"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7" hidden="1">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2"/>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561">
        <v>1</v>
      </c>
      <c r="L11" s="2721"/>
      <c r="M11" s="2716"/>
      <c r="N11" s="2716"/>
      <c r="O11" s="2716"/>
      <c r="P11" s="3672"/>
      <c r="Q11" s="1343" t="str">
        <f t="shared" si="6"/>
        <v>容积率</v>
      </c>
      <c r="R11" s="701" t="s">
        <v>14</v>
      </c>
      <c r="S11" s="702">
        <f t="shared" si="0"/>
        <v>100</v>
      </c>
      <c r="T11" s="701" t="s">
        <v>14</v>
      </c>
      <c r="U11" s="702">
        <f t="shared" si="1"/>
        <v>100</v>
      </c>
      <c r="V11" s="701" t="s">
        <v>14</v>
      </c>
      <c r="W11" s="702">
        <f t="shared" si="2"/>
        <v>100</v>
      </c>
      <c r="X11" s="703"/>
      <c r="Y11" s="3629"/>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2"/>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2"/>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2"/>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2"/>
      <c r="M15" s="2716"/>
      <c r="N15" s="2716"/>
      <c r="O15" s="2716"/>
      <c r="P15" s="3686" t="s">
        <v>1691</v>
      </c>
      <c r="Q15" s="1352" t="str">
        <f t="shared" si="6"/>
        <v>商业繁华度</v>
      </c>
      <c r="R15" s="705" t="s">
        <v>14</v>
      </c>
      <c r="S15" s="706">
        <f t="shared" si="0"/>
        <v>100</v>
      </c>
      <c r="T15" s="705" t="s">
        <v>14</v>
      </c>
      <c r="U15" s="706">
        <f t="shared" si="1"/>
        <v>100</v>
      </c>
      <c r="V15" s="705" t="s">
        <v>14</v>
      </c>
      <c r="W15" s="706">
        <f t="shared" si="2"/>
        <v>100</v>
      </c>
      <c r="X15" s="1355"/>
      <c r="Y15" s="3688" t="s">
        <v>1691</v>
      </c>
      <c r="Z15" s="1356" t="str">
        <f t="shared" si="7"/>
        <v>商业繁华度</v>
      </c>
      <c r="AA15" s="1353">
        <f t="shared" si="3"/>
        <v>1</v>
      </c>
      <c r="AB15" s="1353">
        <f t="shared" si="4"/>
        <v>1</v>
      </c>
      <c r="AC15" s="1353">
        <f t="shared" si="5"/>
        <v>1</v>
      </c>
    </row>
    <row r="16" spans="1:29" ht="15">
      <c r="A16" s="379"/>
      <c r="B16" s="397"/>
      <c r="C16" s="398" t="s">
        <v>3404</v>
      </c>
      <c r="D16" s="399"/>
      <c r="E16" s="398" t="s">
        <v>3404</v>
      </c>
      <c r="F16" s="400"/>
      <c r="G16" s="398" t="s">
        <v>3404</v>
      </c>
      <c r="H16" s="401"/>
      <c r="I16" s="398" t="s">
        <v>3404</v>
      </c>
      <c r="J16" s="399"/>
      <c r="K16" s="564"/>
      <c r="L16" s="2722"/>
      <c r="M16" s="2716"/>
      <c r="N16" s="2716"/>
      <c r="O16" s="2716"/>
      <c r="P16" s="3687"/>
      <c r="Q16" s="1352"/>
      <c r="R16" s="705"/>
      <c r="S16" s="706"/>
      <c r="T16" s="705"/>
      <c r="U16" s="706"/>
      <c r="V16" s="705"/>
      <c r="W16" s="706"/>
      <c r="X16" s="1355"/>
      <c r="Y16" s="368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87"/>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398" t="s">
        <v>3404</v>
      </c>
      <c r="D18" s="401"/>
      <c r="E18" s="398" t="s">
        <v>3404</v>
      </c>
      <c r="F18" s="404"/>
      <c r="G18" s="398" t="s">
        <v>3404</v>
      </c>
      <c r="H18" s="399"/>
      <c r="I18" s="398" t="s">
        <v>3404</v>
      </c>
      <c r="J18" s="399"/>
      <c r="K18" s="564"/>
      <c r="L18" s="2722"/>
      <c r="M18" s="2716"/>
      <c r="N18" s="2716"/>
      <c r="O18" s="2716"/>
      <c r="P18" s="3687"/>
      <c r="Q18" s="1352"/>
      <c r="R18" s="705"/>
      <c r="S18" s="706"/>
      <c r="T18" s="705"/>
      <c r="U18" s="706"/>
      <c r="V18" s="705"/>
      <c r="W18" s="706"/>
      <c r="X18" s="1355"/>
      <c r="Y18" s="368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87"/>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t="s">
        <v>3404</v>
      </c>
      <c r="D20" s="399"/>
      <c r="E20" s="398" t="s">
        <v>3404</v>
      </c>
      <c r="F20" s="400"/>
      <c r="G20" s="398" t="s">
        <v>3404</v>
      </c>
      <c r="H20" s="399"/>
      <c r="I20" s="398" t="s">
        <v>3404</v>
      </c>
      <c r="J20" s="399"/>
      <c r="K20" s="564"/>
      <c r="L20" s="2722"/>
      <c r="M20" s="2716"/>
      <c r="N20" s="2716"/>
      <c r="O20" s="2716"/>
      <c r="P20" s="3687"/>
      <c r="Q20" s="1352"/>
      <c r="R20" s="705"/>
      <c r="S20" s="706"/>
      <c r="T20" s="705"/>
      <c r="U20" s="706"/>
      <c r="V20" s="705"/>
      <c r="W20" s="706"/>
      <c r="X20" s="1355"/>
      <c r="Y20" s="368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87"/>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t="s">
        <v>3477</v>
      </c>
      <c r="D22" s="399"/>
      <c r="E22" s="1901" t="s">
        <v>3477</v>
      </c>
      <c r="F22" s="400"/>
      <c r="G22" s="1901" t="s">
        <v>3477</v>
      </c>
      <c r="H22" s="399"/>
      <c r="I22" s="1901" t="s">
        <v>3477</v>
      </c>
      <c r="J22" s="399"/>
      <c r="K22" s="1130"/>
      <c r="L22" s="2722"/>
      <c r="M22" s="2716"/>
      <c r="N22" s="2716"/>
      <c r="O22" s="2716"/>
      <c r="P22" s="3687"/>
      <c r="Q22" s="1352"/>
      <c r="R22" s="705"/>
      <c r="S22" s="706"/>
      <c r="T22" s="705"/>
      <c r="U22" s="706"/>
      <c r="V22" s="705"/>
      <c r="W22" s="706"/>
      <c r="X22" s="1355"/>
      <c r="Y22" s="368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87"/>
      <c r="Q23" s="1352" t="str">
        <f>B23</f>
        <v>自然及人文环境</v>
      </c>
      <c r="R23" s="705" t="s">
        <v>14</v>
      </c>
      <c r="S23" s="706">
        <f>F23</f>
        <v>100</v>
      </c>
      <c r="T23" s="705" t="s">
        <v>14</v>
      </c>
      <c r="U23" s="706">
        <f>H23</f>
        <v>100</v>
      </c>
      <c r="V23" s="705" t="s">
        <v>14</v>
      </c>
      <c r="W23" s="706">
        <f>J23</f>
        <v>100</v>
      </c>
      <c r="X23" s="1355"/>
      <c r="Y23" s="3689"/>
      <c r="Z23" s="1356" t="str">
        <f>Q23</f>
        <v>自然及人文环境</v>
      </c>
      <c r="AA23" s="1353">
        <f t="shared" si="3"/>
        <v>1</v>
      </c>
      <c r="AB23" s="1353">
        <f t="shared" si="4"/>
        <v>1</v>
      </c>
      <c r="AC23" s="1353">
        <f t="shared" si="5"/>
        <v>1</v>
      </c>
    </row>
    <row r="24" spans="1:29" ht="15">
      <c r="A24" s="379"/>
      <c r="B24" s="407"/>
      <c r="C24" s="398" t="s">
        <v>3429</v>
      </c>
      <c r="D24" s="399"/>
      <c r="E24" s="398" t="s">
        <v>3429</v>
      </c>
      <c r="F24" s="400"/>
      <c r="G24" s="398" t="s">
        <v>3429</v>
      </c>
      <c r="H24" s="399"/>
      <c r="I24" s="398" t="s">
        <v>3429</v>
      </c>
      <c r="J24" s="399"/>
      <c r="K24" s="564"/>
      <c r="L24" s="2722"/>
      <c r="M24" s="2716"/>
      <c r="N24" s="2716"/>
      <c r="O24" s="2716"/>
      <c r="P24" s="3687"/>
      <c r="Q24" s="1352"/>
      <c r="R24" s="705"/>
      <c r="S24" s="706"/>
      <c r="T24" s="705"/>
      <c r="U24" s="706"/>
      <c r="V24" s="705"/>
      <c r="W24" s="706"/>
      <c r="X24" s="1355"/>
      <c r="Y24" s="3689"/>
      <c r="Z24" s="1356"/>
      <c r="AA24" s="1353">
        <v>1</v>
      </c>
      <c r="AB24" s="1353">
        <v>1</v>
      </c>
      <c r="AC24" s="1353">
        <v>1</v>
      </c>
    </row>
    <row r="25" spans="1:29" ht="15">
      <c r="A25" s="379"/>
      <c r="B25" s="375" t="s">
        <v>1780</v>
      </c>
      <c r="C25" s="565" t="s">
        <v>3432</v>
      </c>
      <c r="D25" s="386">
        <v>100</v>
      </c>
      <c r="E25" s="565" t="s">
        <v>3436</v>
      </c>
      <c r="F25" s="412">
        <f>SUMIF(86:86,E25,87:87)-SUMIF(86:86,C25,87:87)+100</f>
        <v>98</v>
      </c>
      <c r="G25" s="565" t="s">
        <v>3434</v>
      </c>
      <c r="H25" s="386">
        <f>SUMIF(86:86,G25,87:87)-SUMIF(86:86,C25,87:87)+100</f>
        <v>99</v>
      </c>
      <c r="I25" s="565" t="s">
        <v>3436</v>
      </c>
      <c r="J25" s="386">
        <f>SUMIF(86:86,I25,87:87)-SUMIF(86:86,C25,87:87)+100</f>
        <v>98</v>
      </c>
      <c r="K25" s="561">
        <v>1</v>
      </c>
      <c r="L25" s="2722"/>
      <c r="M25" s="2716"/>
      <c r="N25" s="2716"/>
      <c r="O25" s="2716"/>
      <c r="P25" s="3687"/>
      <c r="Q25" s="1352" t="str">
        <f t="shared" ref="Q25:Q46" si="11">B25</f>
        <v>临街状况</v>
      </c>
      <c r="R25" s="705" t="s">
        <v>14</v>
      </c>
      <c r="S25" s="706">
        <f>F25</f>
        <v>98</v>
      </c>
      <c r="T25" s="705" t="s">
        <v>14</v>
      </c>
      <c r="U25" s="706">
        <f>H25</f>
        <v>99</v>
      </c>
      <c r="V25" s="705" t="s">
        <v>14</v>
      </c>
      <c r="W25" s="706">
        <f>J25</f>
        <v>98</v>
      </c>
      <c r="X25" s="1355"/>
      <c r="Y25" s="3689"/>
      <c r="Z25" s="1356" t="str">
        <f>Q25</f>
        <v>临街状况</v>
      </c>
      <c r="AA25" s="1353">
        <f t="shared" si="3"/>
        <v>1.0204081632653061</v>
      </c>
      <c r="AB25" s="1353">
        <f t="shared" si="4"/>
        <v>1.0101010101010102</v>
      </c>
      <c r="AC25" s="1353">
        <f t="shared" si="5"/>
        <v>1.0204081632653061</v>
      </c>
    </row>
    <row r="26" spans="1:29" ht="15">
      <c r="A26" s="379"/>
      <c r="B26" s="1133" t="s">
        <v>1781</v>
      </c>
      <c r="C26" s="3457" t="s">
        <v>3439</v>
      </c>
      <c r="D26" s="386">
        <v>100</v>
      </c>
      <c r="E26" s="3457" t="s">
        <v>3440</v>
      </c>
      <c r="F26" s="412">
        <f>SUMIF(88:88,E26,89:89)-SUMIF(88:88,C26,89:89)+100</f>
        <v>99</v>
      </c>
      <c r="G26" s="3457" t="s">
        <v>3440</v>
      </c>
      <c r="H26" s="386">
        <f>SUMIF(88:88,G26,89:89)-SUMIF(88:88,C26,89:89)+100</f>
        <v>99</v>
      </c>
      <c r="I26" s="3457" t="s">
        <v>3439</v>
      </c>
      <c r="J26" s="386">
        <f>SUMIF(88:88,I26,89:89)-SUMIF(88:88,C26,89:89)+100</f>
        <v>100</v>
      </c>
      <c r="K26" s="562"/>
      <c r="L26" s="2722"/>
      <c r="M26" s="2716"/>
      <c r="N26" s="2716"/>
      <c r="O26" s="2716"/>
      <c r="P26" s="3687"/>
      <c r="Q26" s="1352" t="str">
        <f t="shared" si="11"/>
        <v>平面位置/可视性</v>
      </c>
      <c r="R26" s="705" t="s">
        <v>14</v>
      </c>
      <c r="S26" s="706">
        <f>F26</f>
        <v>99</v>
      </c>
      <c r="T26" s="705" t="s">
        <v>14</v>
      </c>
      <c r="U26" s="706">
        <f>H26</f>
        <v>99</v>
      </c>
      <c r="V26" s="705" t="s">
        <v>14</v>
      </c>
      <c r="W26" s="706">
        <f>J26</f>
        <v>100</v>
      </c>
      <c r="X26" s="1355"/>
      <c r="Y26" s="3689"/>
      <c r="Z26" s="1356" t="str">
        <f>Q26</f>
        <v>平面位置/可视性</v>
      </c>
      <c r="AA26" s="1353">
        <f t="shared" si="3"/>
        <v>1.0101010101010102</v>
      </c>
      <c r="AB26" s="1353">
        <f t="shared" si="4"/>
        <v>1.0101010101010102</v>
      </c>
      <c r="AC26" s="1353">
        <f t="shared" si="5"/>
        <v>1</v>
      </c>
    </row>
    <row r="27" spans="1:29" s="108" customFormat="1" ht="15">
      <c r="A27" s="382"/>
      <c r="B27" s="402" t="s">
        <v>1782</v>
      </c>
      <c r="C27" s="1956" t="s">
        <v>3404</v>
      </c>
      <c r="D27" s="413">
        <v>100</v>
      </c>
      <c r="E27" s="1956" t="s">
        <v>3404</v>
      </c>
      <c r="F27" s="415">
        <f>SUMIF(90:90,E27,91:91)-SUMIF(90:90,C27,91:91)+100</f>
        <v>100</v>
      </c>
      <c r="G27" s="1956" t="s">
        <v>3404</v>
      </c>
      <c r="H27" s="413">
        <f>SUMIF(90:90,G27,91:91)-SUMIF(90:90,C27,91:91)+100</f>
        <v>100</v>
      </c>
      <c r="I27" s="1956" t="s">
        <v>3404</v>
      </c>
      <c r="J27" s="413">
        <f>SUMIF(90:90,I27,91:91)-SUMIF(90:90,C27,91:91)+100</f>
        <v>100</v>
      </c>
      <c r="K27" s="561">
        <v>2</v>
      </c>
      <c r="L27" s="2717"/>
      <c r="M27" s="2718"/>
      <c r="N27" s="2718"/>
      <c r="O27" s="2718"/>
      <c r="P27" s="3687"/>
      <c r="Q27" s="1343" t="str">
        <f t="shared" si="11"/>
        <v>人流量</v>
      </c>
      <c r="R27" s="701" t="s">
        <v>14</v>
      </c>
      <c r="S27" s="702">
        <f>F27</f>
        <v>100</v>
      </c>
      <c r="T27" s="701" t="s">
        <v>14</v>
      </c>
      <c r="U27" s="702">
        <f>H27</f>
        <v>100</v>
      </c>
      <c r="V27" s="701" t="s">
        <v>14</v>
      </c>
      <c r="W27" s="702">
        <f>J27</f>
        <v>100</v>
      </c>
      <c r="X27" s="703"/>
      <c r="Y27" s="3689"/>
      <c r="Z27" s="52" t="str">
        <f>Q27</f>
        <v>人流量</v>
      </c>
      <c r="AA27" s="1353">
        <f>D27/F27</f>
        <v>1</v>
      </c>
      <c r="AB27" s="1353">
        <f>D27/H27</f>
        <v>1</v>
      </c>
      <c r="AC27" s="1353">
        <f>D27/J27</f>
        <v>1</v>
      </c>
    </row>
    <row r="28" spans="1:29" ht="15.75" thickBot="1">
      <c r="A28" s="379"/>
      <c r="B28" s="375" t="s">
        <v>1783</v>
      </c>
      <c r="C28" s="565" t="s">
        <v>3460</v>
      </c>
      <c r="D28" s="386">
        <v>100</v>
      </c>
      <c r="E28" s="565" t="s">
        <v>3460</v>
      </c>
      <c r="F28" s="412">
        <f>SUMIF(92:92,E28,93:93)-SUMIF(92:92,C28,93:93)+100</f>
        <v>100</v>
      </c>
      <c r="G28" s="565" t="s">
        <v>3460</v>
      </c>
      <c r="H28" s="386">
        <f>SUMIF(92:92,G28,93:93)-SUMIF(92:92,C28,93:93)+100</f>
        <v>100</v>
      </c>
      <c r="I28" s="565" t="s">
        <v>3460</v>
      </c>
      <c r="J28" s="386">
        <f>SUMIF(92:92,I28,93:93)-SUMIF(92:92,C28,93:93)+100</f>
        <v>100</v>
      </c>
      <c r="K28" s="562"/>
      <c r="L28" s="2722"/>
      <c r="M28" s="2716"/>
      <c r="N28" s="2716"/>
      <c r="O28" s="2716"/>
      <c r="P28" s="368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9"/>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7"/>
      <c r="Q29" s="1352">
        <f t="shared" si="11"/>
        <v>111</v>
      </c>
      <c r="R29" s="705" t="s">
        <v>14</v>
      </c>
      <c r="S29" s="706">
        <f t="shared" si="12"/>
        <v>100</v>
      </c>
      <c r="T29" s="705" t="s">
        <v>14</v>
      </c>
      <c r="U29" s="706">
        <f t="shared" si="13"/>
        <v>100</v>
      </c>
      <c r="V29" s="705" t="s">
        <v>14</v>
      </c>
      <c r="W29" s="706">
        <f t="shared" si="14"/>
        <v>100</v>
      </c>
      <c r="X29" s="1355"/>
      <c r="Y29" s="3689"/>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7"/>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7"/>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353">
        <f t="shared" si="5"/>
        <v>1</v>
      </c>
    </row>
    <row r="32" spans="1:29" ht="15">
      <c r="A32" s="391" t="s">
        <v>1694</v>
      </c>
      <c r="B32" s="63" t="s">
        <v>1784</v>
      </c>
      <c r="C32" s="1910" t="s">
        <v>3444</v>
      </c>
      <c r="D32" s="418">
        <v>100</v>
      </c>
      <c r="E32" s="1910" t="s">
        <v>3444</v>
      </c>
      <c r="F32" s="412">
        <f>SUMIF(100:100,E32,101:101)-SUMIF(100:100,C32,101:101)+100</f>
        <v>100</v>
      </c>
      <c r="G32" s="1910" t="s">
        <v>3444</v>
      </c>
      <c r="H32" s="386">
        <f>SUMIF(100:100,G32,101:101)-SUMIF(100:100,C32,101:101)+100</f>
        <v>100</v>
      </c>
      <c r="I32" s="1910" t="s">
        <v>3444</v>
      </c>
      <c r="J32" s="418">
        <f>SUMIF(100:100,I32,101:101)-SUMIF(100:100,C32,101:101)+100</f>
        <v>100</v>
      </c>
      <c r="K32" s="561"/>
      <c r="L32" s="2722"/>
      <c r="M32" s="2716"/>
      <c r="N32" s="2716"/>
      <c r="O32" s="2716"/>
      <c r="P32" s="3690" t="s">
        <v>1696</v>
      </c>
      <c r="Q32" s="1352" t="str">
        <f t="shared" si="11"/>
        <v>商业类型</v>
      </c>
      <c r="R32" s="705" t="s">
        <v>14</v>
      </c>
      <c r="S32" s="706">
        <f t="shared" si="12"/>
        <v>100</v>
      </c>
      <c r="T32" s="705" t="s">
        <v>14</v>
      </c>
      <c r="U32" s="706">
        <f t="shared" si="13"/>
        <v>100</v>
      </c>
      <c r="V32" s="705" t="s">
        <v>14</v>
      </c>
      <c r="W32" s="706">
        <f t="shared" si="14"/>
        <v>100</v>
      </c>
      <c r="X32" s="1355"/>
      <c r="Y32" s="3693" t="s">
        <v>1696</v>
      </c>
      <c r="Z32" s="1356" t="str">
        <f t="shared" si="15"/>
        <v>商业类型</v>
      </c>
      <c r="AA32" s="1353">
        <f t="shared" si="3"/>
        <v>1</v>
      </c>
      <c r="AB32" s="1353">
        <f t="shared" si="4"/>
        <v>1</v>
      </c>
      <c r="AC32" s="1353">
        <f t="shared" si="5"/>
        <v>1</v>
      </c>
    </row>
    <row r="33" spans="1:29" s="422" customFormat="1" ht="15">
      <c r="A33" s="419"/>
      <c r="B33" s="375" t="s">
        <v>1697</v>
      </c>
      <c r="C33" s="420">
        <f>汇总表!$B$5</f>
        <v>1189.08</v>
      </c>
      <c r="D33" s="127">
        <v>100</v>
      </c>
      <c r="E33" s="381">
        <f>商业售价案例!C2</f>
        <v>55</v>
      </c>
      <c r="F33" s="376">
        <f>LOOKUP(E33,103:103,104:104)-LOOKUP(C33,103:103,104:104)+100</f>
        <v>98</v>
      </c>
      <c r="G33" s="380">
        <f>商业售价案例!C3</f>
        <v>3011</v>
      </c>
      <c r="H33" s="127">
        <f>LOOKUP(G33,103:103,104:104)-LOOKUP(C33,103:103,104:104)+100</f>
        <v>98</v>
      </c>
      <c r="I33" s="380">
        <f>商业售价案例!C4</f>
        <v>300</v>
      </c>
      <c r="J33" s="127">
        <f>LOOKUP(I33,103:103,104:104)-LOOKUP(C33,103:103,104:104)+100</f>
        <v>98</v>
      </c>
      <c r="K33" s="562"/>
      <c r="L33" s="2721"/>
      <c r="M33" s="2723"/>
      <c r="N33" s="2723"/>
      <c r="O33" s="2723"/>
      <c r="P33" s="3691"/>
      <c r="Q33" s="707" t="str">
        <f t="shared" si="11"/>
        <v>项目建筑规模</v>
      </c>
      <c r="R33" s="708" t="s">
        <v>14</v>
      </c>
      <c r="S33" s="709">
        <f t="shared" si="12"/>
        <v>98</v>
      </c>
      <c r="T33" s="708" t="s">
        <v>14</v>
      </c>
      <c r="U33" s="709">
        <f t="shared" si="13"/>
        <v>98</v>
      </c>
      <c r="V33" s="708" t="s">
        <v>14</v>
      </c>
      <c r="W33" s="709">
        <f t="shared" si="14"/>
        <v>98</v>
      </c>
      <c r="X33" s="710"/>
      <c r="Y33" s="3693"/>
      <c r="Z33" s="711" t="str">
        <f t="shared" si="15"/>
        <v>项目建筑规模</v>
      </c>
      <c r="AA33" s="1353">
        <f t="shared" si="3"/>
        <v>1.0204081632653061</v>
      </c>
      <c r="AB33" s="1353">
        <f t="shared" si="4"/>
        <v>1.0204081632653061</v>
      </c>
      <c r="AC33" s="1353">
        <f t="shared" si="5"/>
        <v>1.0204081632653061</v>
      </c>
    </row>
    <row r="34" spans="1:29" ht="15">
      <c r="A34" s="423"/>
      <c r="B34" s="375" t="s">
        <v>1698</v>
      </c>
      <c r="C34" s="1912" t="s">
        <v>3407</v>
      </c>
      <c r="D34" s="386">
        <v>100</v>
      </c>
      <c r="E34" s="1912" t="s">
        <v>3407</v>
      </c>
      <c r="F34" s="412">
        <f>SUMIF(105:105,E34,106:106)-SUMIF(105:105,C34,106:106)+100</f>
        <v>100</v>
      </c>
      <c r="G34" s="1912" t="s">
        <v>3407</v>
      </c>
      <c r="H34" s="386">
        <f>SUMIF(105:105,G34,106:106)-SUMIF(105:105,C34,106:106)+100</f>
        <v>100</v>
      </c>
      <c r="I34" s="1912" t="s">
        <v>3407</v>
      </c>
      <c r="J34" s="386">
        <f>SUMIF(105:105,I34,106:106)-SUMIF(105:105,C34,106:106)+100</f>
        <v>100</v>
      </c>
      <c r="K34" s="561">
        <v>2</v>
      </c>
      <c r="L34" s="2722"/>
      <c r="M34" s="2716"/>
      <c r="N34" s="2716"/>
      <c r="O34" s="2716"/>
      <c r="P34" s="3691"/>
      <c r="Q34" s="1352" t="str">
        <f t="shared" si="11"/>
        <v>建筑结构</v>
      </c>
      <c r="R34" s="705" t="s">
        <v>14</v>
      </c>
      <c r="S34" s="706">
        <f t="shared" si="12"/>
        <v>100</v>
      </c>
      <c r="T34" s="705" t="s">
        <v>14</v>
      </c>
      <c r="U34" s="706">
        <f t="shared" si="13"/>
        <v>100</v>
      </c>
      <c r="V34" s="705" t="s">
        <v>14</v>
      </c>
      <c r="W34" s="706">
        <f t="shared" si="14"/>
        <v>100</v>
      </c>
      <c r="X34" s="1355"/>
      <c r="Y34" s="3693"/>
      <c r="Z34" s="1356" t="str">
        <f t="shared" si="15"/>
        <v>建筑结构</v>
      </c>
      <c r="AA34" s="1353">
        <f t="shared" si="3"/>
        <v>1</v>
      </c>
      <c r="AB34" s="1353">
        <f t="shared" si="4"/>
        <v>1</v>
      </c>
      <c r="AC34" s="1353">
        <f t="shared" si="5"/>
        <v>1</v>
      </c>
    </row>
    <row r="35" spans="1:29" ht="15">
      <c r="A35" s="423"/>
      <c r="B35" s="375" t="s">
        <v>1785</v>
      </c>
      <c r="C35" s="1906" t="s">
        <v>3448</v>
      </c>
      <c r="D35" s="386">
        <v>100</v>
      </c>
      <c r="E35" s="1906" t="s">
        <v>3448</v>
      </c>
      <c r="F35" s="412">
        <f>SUMIF(107:107,E35,108:108)-SUMIF(107:107,C35,108:108)+100</f>
        <v>100</v>
      </c>
      <c r="G35" s="1906" t="s">
        <v>3448</v>
      </c>
      <c r="H35" s="386">
        <f>SUMIF(107:107,G35,108:108)-SUMIF(107:107,C35,108:108)+100</f>
        <v>100</v>
      </c>
      <c r="I35" s="1906" t="s">
        <v>3448</v>
      </c>
      <c r="J35" s="386">
        <f>SUMIF(107:107,I35,108:108)-SUMIF(107:107,C35,108:108)+100</f>
        <v>100</v>
      </c>
      <c r="K35" s="561">
        <v>2</v>
      </c>
      <c r="L35" s="2722"/>
      <c r="M35" s="2716"/>
      <c r="N35" s="2716"/>
      <c r="O35" s="2716"/>
      <c r="P35" s="3691"/>
      <c r="Q35" s="1352" t="str">
        <f t="shared" si="11"/>
        <v>公共部分装修</v>
      </c>
      <c r="R35" s="705" t="s">
        <v>14</v>
      </c>
      <c r="S35" s="706">
        <f t="shared" si="12"/>
        <v>100</v>
      </c>
      <c r="T35" s="705" t="s">
        <v>14</v>
      </c>
      <c r="U35" s="706">
        <f t="shared" si="13"/>
        <v>100</v>
      </c>
      <c r="V35" s="705" t="s">
        <v>14</v>
      </c>
      <c r="W35" s="706">
        <f t="shared" si="14"/>
        <v>100</v>
      </c>
      <c r="X35" s="1355"/>
      <c r="Y35" s="3693"/>
      <c r="Z35" s="1356" t="str">
        <f t="shared" si="15"/>
        <v>公共部分装修</v>
      </c>
      <c r="AA35" s="1353">
        <f t="shared" si="3"/>
        <v>1</v>
      </c>
      <c r="AB35" s="1353">
        <f t="shared" si="4"/>
        <v>1</v>
      </c>
      <c r="AC35" s="1353">
        <f t="shared" si="5"/>
        <v>1</v>
      </c>
    </row>
    <row r="36" spans="1:29" ht="15">
      <c r="A36" s="423"/>
      <c r="B36" s="375" t="s">
        <v>1786</v>
      </c>
      <c r="C36" s="425">
        <f>'数据-取费表'!N6</f>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v>1</v>
      </c>
      <c r="L36" s="2722"/>
      <c r="M36" s="2716"/>
      <c r="N36" s="2716"/>
      <c r="O36" s="2716"/>
      <c r="P36" s="3691"/>
      <c r="Q36" s="1352" t="str">
        <f t="shared" si="11"/>
        <v>成新度</v>
      </c>
      <c r="R36" s="705" t="s">
        <v>14</v>
      </c>
      <c r="S36" s="706">
        <f t="shared" si="12"/>
        <v>100</v>
      </c>
      <c r="T36" s="705" t="s">
        <v>14</v>
      </c>
      <c r="U36" s="706">
        <f t="shared" si="13"/>
        <v>100</v>
      </c>
      <c r="V36" s="705" t="s">
        <v>14</v>
      </c>
      <c r="W36" s="706">
        <f t="shared" si="14"/>
        <v>100</v>
      </c>
      <c r="X36" s="1355"/>
      <c r="Y36" s="3693"/>
      <c r="Z36" s="1356" t="str">
        <f t="shared" si="15"/>
        <v>成新度</v>
      </c>
      <c r="AA36" s="1353">
        <f t="shared" si="3"/>
        <v>1</v>
      </c>
      <c r="AB36" s="1353">
        <f t="shared" si="4"/>
        <v>1</v>
      </c>
      <c r="AC36" s="1353">
        <f t="shared" si="5"/>
        <v>1</v>
      </c>
    </row>
    <row r="37" spans="1:29" s="108" customFormat="1" ht="15">
      <c r="A37" s="424"/>
      <c r="B37" s="375" t="s">
        <v>1787</v>
      </c>
      <c r="C37" s="1906" t="s">
        <v>3452</v>
      </c>
      <c r="D37" s="127">
        <v>100</v>
      </c>
      <c r="E37" s="1906" t="s">
        <v>3428</v>
      </c>
      <c r="F37" s="412">
        <f>SUMIF(112:112,E37,113:113)-SUMIF(112:112,C37,113:113)+100</f>
        <v>99</v>
      </c>
      <c r="G37" s="1906" t="s">
        <v>3428</v>
      </c>
      <c r="H37" s="386">
        <f>SUMIF(112:112,G37,113:113)-SUMIF(112:112,C37,113:113)+100</f>
        <v>99</v>
      </c>
      <c r="I37" s="1906" t="s">
        <v>3428</v>
      </c>
      <c r="J37" s="386">
        <f>SUMIF(112:112,I37,113:113)-SUMIF(112:112,C37,113:113)+100</f>
        <v>99</v>
      </c>
      <c r="K37" s="561">
        <v>1</v>
      </c>
      <c r="L37" s="2717"/>
      <c r="M37" s="2718"/>
      <c r="N37" s="2718"/>
      <c r="O37" s="2718"/>
      <c r="P37" s="3691"/>
      <c r="Q37" s="1343" t="str">
        <f t="shared" si="11"/>
        <v>市政基础设施</v>
      </c>
      <c r="R37" s="701" t="s">
        <v>14</v>
      </c>
      <c r="S37" s="702">
        <f t="shared" si="12"/>
        <v>99</v>
      </c>
      <c r="T37" s="701" t="s">
        <v>14</v>
      </c>
      <c r="U37" s="702">
        <f t="shared" si="13"/>
        <v>99</v>
      </c>
      <c r="V37" s="701" t="s">
        <v>14</v>
      </c>
      <c r="W37" s="702">
        <f t="shared" si="14"/>
        <v>99</v>
      </c>
      <c r="X37" s="703"/>
      <c r="Y37" s="3693"/>
      <c r="Z37" s="52" t="str">
        <f t="shared" si="15"/>
        <v>市政基础设施</v>
      </c>
      <c r="AA37" s="704">
        <f t="shared" si="3"/>
        <v>1.0101010101010102</v>
      </c>
      <c r="AB37" s="704">
        <f t="shared" si="4"/>
        <v>1.0101010101010102</v>
      </c>
      <c r="AC37" s="704">
        <f t="shared" si="5"/>
        <v>1.0101010101010102</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1" t="s">
        <v>1696</v>
      </c>
      <c r="Q38" s="1352" t="str">
        <f t="shared" si="11"/>
        <v>业态</v>
      </c>
      <c r="R38" s="705" t="s">
        <v>14</v>
      </c>
      <c r="S38" s="706">
        <f t="shared" si="12"/>
        <v>100</v>
      </c>
      <c r="T38" s="705" t="s">
        <v>14</v>
      </c>
      <c r="U38" s="706">
        <f t="shared" si="13"/>
        <v>100</v>
      </c>
      <c r="V38" s="705" t="s">
        <v>14</v>
      </c>
      <c r="W38" s="706">
        <f t="shared" si="14"/>
        <v>100</v>
      </c>
      <c r="X38" s="1355"/>
      <c r="Y38" s="3693" t="s">
        <v>1696</v>
      </c>
      <c r="Z38" s="1356" t="str">
        <f t="shared" si="15"/>
        <v>业态</v>
      </c>
      <c r="AA38" s="1353">
        <f t="shared" si="3"/>
        <v>1</v>
      </c>
      <c r="AB38" s="1353">
        <f t="shared" si="4"/>
        <v>1</v>
      </c>
      <c r="AC38" s="1353">
        <f t="shared" si="5"/>
        <v>1</v>
      </c>
    </row>
    <row r="39" spans="1:29" ht="15">
      <c r="A39" s="423"/>
      <c r="B39" s="375" t="s">
        <v>1789</v>
      </c>
      <c r="C39" s="1906" t="s">
        <v>3455</v>
      </c>
      <c r="D39" s="386">
        <v>100</v>
      </c>
      <c r="E39" s="1906" t="s">
        <v>3455</v>
      </c>
      <c r="F39" s="412">
        <f>SUMIF(116:116,E39,117:117)-SUMIF(116:116,C39,117:117)+100</f>
        <v>100</v>
      </c>
      <c r="G39" s="1906" t="s">
        <v>3455</v>
      </c>
      <c r="H39" s="386">
        <f>SUMIF(116:116,G39,117:117)-SUMIF(116:116,C39,117:117)+100</f>
        <v>100</v>
      </c>
      <c r="I39" s="1906" t="s">
        <v>3455</v>
      </c>
      <c r="J39" s="386">
        <f>SUMIF(116:116,I39,117:117)-SUMIF(116:116,C39,117:117)+100</f>
        <v>100</v>
      </c>
      <c r="K39" s="561">
        <v>2</v>
      </c>
      <c r="L39" s="2722"/>
      <c r="M39" s="2716"/>
      <c r="N39" s="2716"/>
      <c r="O39" s="2716"/>
      <c r="P39" s="3691"/>
      <c r="Q39" s="1352" t="str">
        <f t="shared" si="11"/>
        <v>层高</v>
      </c>
      <c r="R39" s="705" t="s">
        <v>14</v>
      </c>
      <c r="S39" s="706">
        <f t="shared" si="12"/>
        <v>100</v>
      </c>
      <c r="T39" s="705" t="s">
        <v>14</v>
      </c>
      <c r="U39" s="706">
        <f t="shared" si="13"/>
        <v>100</v>
      </c>
      <c r="V39" s="705" t="s">
        <v>14</v>
      </c>
      <c r="W39" s="706">
        <f t="shared" si="14"/>
        <v>100</v>
      </c>
      <c r="X39" s="1355"/>
      <c r="Y39" s="369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1"/>
      <c r="Q40" s="1352" t="str">
        <f t="shared" si="11"/>
        <v>单套建筑面积</v>
      </c>
      <c r="R40" s="705" t="s">
        <v>14</v>
      </c>
      <c r="S40" s="706">
        <f t="shared" si="12"/>
        <v>100</v>
      </c>
      <c r="T40" s="705" t="s">
        <v>14</v>
      </c>
      <c r="U40" s="706">
        <f t="shared" si="13"/>
        <v>100</v>
      </c>
      <c r="V40" s="705" t="s">
        <v>14</v>
      </c>
      <c r="W40" s="706">
        <f t="shared" si="14"/>
        <v>100</v>
      </c>
      <c r="X40" s="1355"/>
      <c r="Y40" s="369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1"/>
      <c r="Q41" s="707" t="str">
        <f t="shared" si="11"/>
        <v>进深比</v>
      </c>
      <c r="R41" s="708" t="s">
        <v>14</v>
      </c>
      <c r="S41" s="709">
        <f t="shared" si="12"/>
        <v>100</v>
      </c>
      <c r="T41" s="708" t="s">
        <v>14</v>
      </c>
      <c r="U41" s="709">
        <f t="shared" si="13"/>
        <v>100</v>
      </c>
      <c r="V41" s="708" t="s">
        <v>14</v>
      </c>
      <c r="W41" s="709">
        <f t="shared" si="14"/>
        <v>100</v>
      </c>
      <c r="X41" s="710"/>
      <c r="Y41" s="3693"/>
      <c r="Z41" s="711" t="str">
        <f t="shared" si="15"/>
        <v>进深比</v>
      </c>
      <c r="AA41" s="1353">
        <f t="shared" si="3"/>
        <v>1</v>
      </c>
      <c r="AB41" s="1353">
        <f t="shared" si="4"/>
        <v>1</v>
      </c>
      <c r="AC41" s="1353">
        <f t="shared" si="5"/>
        <v>1</v>
      </c>
    </row>
    <row r="42" spans="1:29" ht="15">
      <c r="A42" s="423"/>
      <c r="B42" s="375" t="s">
        <v>1792</v>
      </c>
      <c r="C42" s="1906" t="s">
        <v>3448</v>
      </c>
      <c r="D42" s="386">
        <v>100</v>
      </c>
      <c r="E42" s="1906" t="s">
        <v>3448</v>
      </c>
      <c r="F42" s="412">
        <f>SUMIF(122:122,E42,123:123)-SUMIF(122:122,C42,123:123)+100</f>
        <v>100</v>
      </c>
      <c r="G42" s="1906" t="s">
        <v>3448</v>
      </c>
      <c r="H42" s="386">
        <f>SUMIF(122:122,G42,123:123)-SUMIF(122:122,C42,123:123)+100</f>
        <v>100</v>
      </c>
      <c r="I42" s="1906" t="s">
        <v>3448</v>
      </c>
      <c r="J42" s="386">
        <f>SUMIF(122:122,I42,123:123)-SUMIF(122:122,C42,123:123)+100</f>
        <v>100</v>
      </c>
      <c r="K42" s="561">
        <v>2</v>
      </c>
      <c r="L42" s="2722"/>
      <c r="M42" s="2716"/>
      <c r="N42" s="2716"/>
      <c r="O42" s="2716"/>
      <c r="P42" s="3691"/>
      <c r="Q42" s="1352" t="str">
        <f t="shared" si="11"/>
        <v>内部装修</v>
      </c>
      <c r="R42" s="705" t="s">
        <v>14</v>
      </c>
      <c r="S42" s="706">
        <f t="shared" si="12"/>
        <v>100</v>
      </c>
      <c r="T42" s="705" t="s">
        <v>14</v>
      </c>
      <c r="U42" s="706">
        <f t="shared" si="13"/>
        <v>100</v>
      </c>
      <c r="V42" s="705" t="s">
        <v>14</v>
      </c>
      <c r="W42" s="706">
        <f t="shared" si="14"/>
        <v>100</v>
      </c>
      <c r="X42" s="1355"/>
      <c r="Y42" s="369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1"/>
      <c r="Q43" s="1352" t="str">
        <f t="shared" si="11"/>
        <v>内部装修维护情况</v>
      </c>
      <c r="R43" s="705" t="s">
        <v>14</v>
      </c>
      <c r="S43" s="706">
        <f t="shared" si="12"/>
        <v>100</v>
      </c>
      <c r="T43" s="705" t="s">
        <v>14</v>
      </c>
      <c r="U43" s="706">
        <f t="shared" si="13"/>
        <v>100</v>
      </c>
      <c r="V43" s="705" t="s">
        <v>14</v>
      </c>
      <c r="W43" s="706">
        <f t="shared" si="14"/>
        <v>100</v>
      </c>
      <c r="X43" s="1355"/>
      <c r="Y43" s="369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1"/>
      <c r="Q44" s="1343">
        <f t="shared" si="11"/>
        <v>111</v>
      </c>
      <c r="R44" s="701" t="s">
        <v>14</v>
      </c>
      <c r="S44" s="702">
        <f t="shared" si="12"/>
        <v>100</v>
      </c>
      <c r="T44" s="701" t="s">
        <v>14</v>
      </c>
      <c r="U44" s="702">
        <f t="shared" si="13"/>
        <v>100</v>
      </c>
      <c r="V44" s="701" t="s">
        <v>14</v>
      </c>
      <c r="W44" s="702">
        <f t="shared" si="14"/>
        <v>100</v>
      </c>
      <c r="X44" s="703"/>
      <c r="Y44" s="369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1"/>
      <c r="Q45" s="1352">
        <f t="shared" si="11"/>
        <v>111</v>
      </c>
      <c r="R45" s="705" t="s">
        <v>14</v>
      </c>
      <c r="S45" s="706">
        <f t="shared" si="12"/>
        <v>100</v>
      </c>
      <c r="T45" s="705" t="s">
        <v>14</v>
      </c>
      <c r="U45" s="706">
        <f t="shared" si="13"/>
        <v>100</v>
      </c>
      <c r="V45" s="705" t="s">
        <v>14</v>
      </c>
      <c r="W45" s="706">
        <f t="shared" si="14"/>
        <v>100</v>
      </c>
      <c r="X45" s="1355"/>
      <c r="Y45" s="369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2"/>
      <c r="Q46" s="1352">
        <f t="shared" si="11"/>
        <v>111</v>
      </c>
      <c r="R46" s="705" t="s">
        <v>14</v>
      </c>
      <c r="S46" s="706">
        <f t="shared" si="12"/>
        <v>100</v>
      </c>
      <c r="T46" s="705" t="s">
        <v>14</v>
      </c>
      <c r="U46" s="706">
        <f t="shared" si="13"/>
        <v>100</v>
      </c>
      <c r="V46" s="705" t="s">
        <v>14</v>
      </c>
      <c r="W46" s="706">
        <f t="shared" si="14"/>
        <v>100</v>
      </c>
      <c r="X46" s="1355"/>
      <c r="Y46" s="3694"/>
      <c r="Z46" s="1356">
        <f t="shared" si="15"/>
        <v>111</v>
      </c>
      <c r="AA46" s="1353">
        <f t="shared" si="3"/>
        <v>1</v>
      </c>
      <c r="AB46" s="1353">
        <f t="shared" si="4"/>
        <v>1</v>
      </c>
      <c r="AC46" s="1353">
        <f t="shared" si="5"/>
        <v>1</v>
      </c>
    </row>
    <row r="47" spans="1:29" ht="15">
      <c r="A47" s="430" t="s">
        <v>1708</v>
      </c>
      <c r="B47" s="431"/>
      <c r="C47" s="1154" t="s">
        <v>0</v>
      </c>
      <c r="D47" s="1155"/>
      <c r="E47" s="1156">
        <f>商业售价案例!D2</f>
        <v>14261</v>
      </c>
      <c r="F47" s="1157"/>
      <c r="G47" s="1158">
        <f>商业售价案例!D3</f>
        <v>14945</v>
      </c>
      <c r="H47" s="1159"/>
      <c r="I47" s="1156">
        <f>商业售价案例!D4</f>
        <v>12677</v>
      </c>
      <c r="J47" s="1159"/>
      <c r="K47" s="714"/>
      <c r="L47" s="2724"/>
      <c r="M47" s="2725"/>
      <c r="N47" s="2716"/>
      <c r="O47" s="2725"/>
      <c r="P47" s="3695" t="str">
        <f>A47</f>
        <v>成交单价（元/平方米）</v>
      </c>
      <c r="Q47" s="3695"/>
      <c r="R47" s="3656">
        <f>E47</f>
        <v>14261</v>
      </c>
      <c r="S47" s="3656"/>
      <c r="T47" s="3656">
        <f>G47</f>
        <v>14945</v>
      </c>
      <c r="U47" s="3656"/>
      <c r="V47" s="3656">
        <f>I47</f>
        <v>12677</v>
      </c>
      <c r="W47" s="3656"/>
      <c r="X47" s="690"/>
      <c r="Y47" s="712"/>
      <c r="Z47" s="690"/>
      <c r="AA47" s="690"/>
      <c r="AB47" s="690"/>
      <c r="AC47" s="690"/>
    </row>
    <row r="48" spans="1:29" ht="15.75" thickBot="1">
      <c r="A48" s="437" t="s">
        <v>1793</v>
      </c>
      <c r="B48" s="438"/>
      <c r="C48" s="1160">
        <f>R49</f>
        <v>14832</v>
      </c>
      <c r="D48" s="2317" t="s">
        <v>2138</v>
      </c>
      <c r="E48" s="1161">
        <f>R48</f>
        <v>15151</v>
      </c>
      <c r="F48" s="2318"/>
      <c r="G48" s="1160">
        <f>T48</f>
        <v>15876</v>
      </c>
      <c r="H48" s="2318"/>
      <c r="I48" s="1161">
        <f>V48</f>
        <v>13468</v>
      </c>
      <c r="J48" s="2318"/>
      <c r="K48" s="2320">
        <f>F48+H48+J48</f>
        <v>0</v>
      </c>
      <c r="L48" s="2724"/>
      <c r="M48" s="2725"/>
      <c r="N48" s="2716"/>
      <c r="O48" s="2725"/>
      <c r="P48" s="3695" t="str">
        <f>A48</f>
        <v>比较价值（元/平方米）</v>
      </c>
      <c r="Q48" s="3695"/>
      <c r="R48" s="3696">
        <f>IF(F1="售价",ROUND(PRODUCT(R47,AA7:AA46),0),ROUND(PRODUCT(R47,AA7:AA46),1))</f>
        <v>15151</v>
      </c>
      <c r="S48" s="3696"/>
      <c r="T48" s="3696">
        <f>IF(F1="售价",ROUND(PRODUCT(T47,AB7:AB46),0),ROUND(PRODUCT(T47,AB7:AB46),1))</f>
        <v>15876</v>
      </c>
      <c r="U48" s="3696"/>
      <c r="V48" s="3696">
        <f>IF(F1="售价",ROUND(PRODUCT(V47,AC7:AC46),0),ROUND(PRODUCT(V47,AC7:AC46),1))</f>
        <v>13468</v>
      </c>
      <c r="W48" s="3696"/>
      <c r="X48" s="690"/>
      <c r="Y48" s="690"/>
      <c r="Z48" s="690"/>
      <c r="AA48" s="690"/>
      <c r="AB48" s="690"/>
      <c r="AC48" s="690"/>
    </row>
    <row r="49" spans="1:29" ht="15.75" thickBot="1">
      <c r="A49" s="441" t="s">
        <v>1794</v>
      </c>
      <c r="B49" s="442"/>
      <c r="C49" s="1163">
        <f>R49</f>
        <v>14832</v>
      </c>
      <c r="D49" s="1163"/>
      <c r="E49" s="1163"/>
      <c r="F49" s="1163"/>
      <c r="G49" s="1163"/>
      <c r="H49" s="1163"/>
      <c r="I49" s="1163"/>
      <c r="J49" s="1163"/>
      <c r="K49" s="715"/>
      <c r="L49" s="2724"/>
      <c r="M49" s="2725"/>
      <c r="N49" s="2716"/>
      <c r="O49" s="2725"/>
      <c r="P49" s="3697" t="str">
        <f>A49</f>
        <v>估价对象XX用房的比较价值（楼面单价，元/平方米）</v>
      </c>
      <c r="Q49" s="3698"/>
      <c r="R49" s="3699">
        <f>IF(F1="售价",ROUND(IF(D48="简单平均",AVERAGE(R48:V48),R48*F48+T48*H48+V48*J48),0),ROUND(IF(D48="简单平均",AVERAGE(R48:V48),R48*F48+T48*H48+V48*J48),1))</f>
        <v>14832</v>
      </c>
      <c r="S49" s="3699"/>
      <c r="T49" s="3699"/>
      <c r="U49" s="3699"/>
      <c r="V49" s="3699"/>
      <c r="W49" s="369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6.2407965780800767E-2</v>
      </c>
      <c r="F52" s="449" t="str">
        <f>IF(OR(E52&gt;=0.3,E52&lt;=-0.3),"超过30%","")</f>
        <v/>
      </c>
      <c r="G52" s="448">
        <f>IF(G47&lt;G48,G48/G47-1,G47/G48-1)</f>
        <v>6.2295081967213006E-2</v>
      </c>
      <c r="H52" s="449" t="str">
        <f>IF(OR(G52&gt;=0.3,G52&lt;=-0.3),"超过30%","")</f>
        <v/>
      </c>
      <c r="I52" s="448">
        <f>IF(I47&lt;I48,I48/I47-1,I47/I48-1)</f>
        <v>6.2396466040861354E-2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4.7851626955316418E-2</v>
      </c>
      <c r="F53" s="449" t="str">
        <f>IF(OR(E53&gt;=0.2,E53&lt;=-0.2),"超过20%","")</f>
        <v/>
      </c>
      <c r="G53" s="448">
        <f>IF(G48&lt;I48,I48/G48-1,G48/I48-1)</f>
        <v>0.17879417879417869</v>
      </c>
      <c r="H53" s="449" t="str">
        <f>IF(OR(G53&gt;=0.2,G53&lt;=-0.2),"超过20%","")</f>
        <v/>
      </c>
      <c r="I53" s="448">
        <f>IF(I48&lt;E48,E48/I48-1,I48/E48-1)</f>
        <v>0.12496287496287506</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4.7962975948390607E-2</v>
      </c>
      <c r="F54" s="449" t="str">
        <f>IF(OR(E54&gt;=0.3,E54&lt;=-0.3),"超过30%","")</f>
        <v/>
      </c>
      <c r="G54" s="448">
        <f>IF(G47&lt;I47,I47/G47-1,G47/I47-1)</f>
        <v>0.17890668139149635</v>
      </c>
      <c r="H54" s="449" t="str">
        <f>IF(OR(G54&gt;=0.3,G54&lt;=-0.3),"超过30%","")</f>
        <v/>
      </c>
      <c r="I54" s="448">
        <f>IF(I47&lt;E47,E47/I47-1,I47/E47-1)</f>
        <v>0.12495069811469595</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v>100</v>
      </c>
      <c r="E59" s="461">
        <v>99.5</v>
      </c>
      <c r="F59" s="461">
        <v>99.5</v>
      </c>
      <c r="G59" s="461">
        <v>99.5</v>
      </c>
      <c r="H59" s="461">
        <v>99</v>
      </c>
      <c r="I59" s="461">
        <v>99</v>
      </c>
      <c r="J59" s="461">
        <v>99</v>
      </c>
      <c r="K59" s="461">
        <v>98.5</v>
      </c>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1（含）-1.5</v>
      </c>
      <c r="D67" s="496" t="str">
        <f t="shared" ref="D67:L67" si="17">D68&amp;"（含）"&amp;"-"&amp;E68</f>
        <v>1.5（含）-2</v>
      </c>
      <c r="E67" s="496" t="str">
        <f t="shared" si="17"/>
        <v>2（含）-2.5</v>
      </c>
      <c r="F67" s="496" t="str">
        <f t="shared" si="17"/>
        <v>2.5（含）-3</v>
      </c>
      <c r="G67" s="496" t="str">
        <f t="shared" si="17"/>
        <v>3（含）-3.5</v>
      </c>
      <c r="H67" s="496" t="str">
        <f t="shared" si="17"/>
        <v>3.5（含）-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1</v>
      </c>
      <c r="D68" s="498">
        <v>1.5</v>
      </c>
      <c r="E68" s="498">
        <v>2</v>
      </c>
      <c r="F68" s="498">
        <v>2.5</v>
      </c>
      <c r="G68" s="498">
        <v>3</v>
      </c>
      <c r="H68" s="498">
        <v>3.5</v>
      </c>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99</v>
      </c>
      <c r="E69" s="493">
        <f t="shared" si="18"/>
        <v>98</v>
      </c>
      <c r="F69" s="493">
        <f t="shared" si="18"/>
        <v>97</v>
      </c>
      <c r="G69" s="493">
        <f t="shared" si="18"/>
        <v>96</v>
      </c>
      <c r="H69" s="493">
        <f t="shared" si="18"/>
        <v>95</v>
      </c>
      <c r="I69" s="493">
        <f t="shared" si="18"/>
        <v>94</v>
      </c>
      <c r="J69" s="493">
        <f t="shared" si="18"/>
        <v>93</v>
      </c>
      <c r="K69" s="493">
        <f t="shared" si="18"/>
        <v>92</v>
      </c>
      <c r="L69" s="493">
        <f t="shared" si="18"/>
        <v>91</v>
      </c>
      <c r="M69" s="494">
        <f t="shared" si="18"/>
        <v>90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98</v>
      </c>
      <c r="E77" s="493">
        <f>D77-$K15</f>
        <v>96</v>
      </c>
      <c r="F77" s="493">
        <f>E77-$K15</f>
        <v>94</v>
      </c>
      <c r="G77" s="493">
        <f>F77-$K15</f>
        <v>92</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3454" t="s">
        <v>3430</v>
      </c>
      <c r="D86" s="3454" t="s">
        <v>3431</v>
      </c>
      <c r="E86" s="3454" t="s">
        <v>3433</v>
      </c>
      <c r="F86" s="3454" t="s">
        <v>3435</v>
      </c>
      <c r="G86" s="3454" t="s">
        <v>3437</v>
      </c>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99</v>
      </c>
      <c r="E87" s="493">
        <f t="shared" si="20"/>
        <v>98</v>
      </c>
      <c r="F87" s="493">
        <f t="shared" si="20"/>
        <v>97</v>
      </c>
      <c r="G87" s="493">
        <f t="shared" si="20"/>
        <v>96</v>
      </c>
      <c r="H87" s="493">
        <f t="shared" si="20"/>
        <v>95</v>
      </c>
      <c r="I87" s="493">
        <f t="shared" si="20"/>
        <v>94</v>
      </c>
      <c r="J87" s="493">
        <f t="shared" si="20"/>
        <v>93</v>
      </c>
      <c r="K87" s="493">
        <f t="shared" si="20"/>
        <v>92</v>
      </c>
      <c r="L87" s="493">
        <f t="shared" si="20"/>
        <v>91</v>
      </c>
      <c r="M87" s="493">
        <f t="shared" si="20"/>
        <v>90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3454" t="s">
        <v>3438</v>
      </c>
      <c r="D88" s="3454" t="s">
        <v>3439</v>
      </c>
      <c r="E88" s="3454" t="s">
        <v>3440</v>
      </c>
      <c r="F88" s="3455" t="s">
        <v>3441</v>
      </c>
      <c r="G88" s="3454" t="s">
        <v>3442</v>
      </c>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v>100</v>
      </c>
      <c r="D89" s="485">
        <v>99</v>
      </c>
      <c r="E89" s="485">
        <v>98</v>
      </c>
      <c r="F89" s="485">
        <v>97</v>
      </c>
      <c r="G89" s="485">
        <v>96</v>
      </c>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4" t="s">
        <v>3438</v>
      </c>
      <c r="D90" s="3454" t="s">
        <v>3439</v>
      </c>
      <c r="E90" s="3454" t="s">
        <v>3440</v>
      </c>
      <c r="F90" s="3455" t="s">
        <v>3441</v>
      </c>
      <c r="G90" s="3454" t="s">
        <v>3442</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98</v>
      </c>
      <c r="E91" s="493">
        <f t="shared" ref="E91:M91" si="21">D91-$K27</f>
        <v>96</v>
      </c>
      <c r="F91" s="493">
        <f t="shared" si="21"/>
        <v>94</v>
      </c>
      <c r="G91" s="493">
        <f t="shared" si="21"/>
        <v>92</v>
      </c>
      <c r="H91" s="493">
        <f t="shared" si="21"/>
        <v>90</v>
      </c>
      <c r="I91" s="493">
        <f t="shared" si="21"/>
        <v>88</v>
      </c>
      <c r="J91" s="493">
        <f t="shared" si="21"/>
        <v>86</v>
      </c>
      <c r="K91" s="493">
        <f t="shared" si="21"/>
        <v>84</v>
      </c>
      <c r="L91" s="493">
        <f t="shared" si="21"/>
        <v>82</v>
      </c>
      <c r="M91" s="493">
        <f t="shared" si="21"/>
        <v>80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3443</v>
      </c>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6" t="s">
        <v>3445</v>
      </c>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0(含)-500</v>
      </c>
      <c r="D102" s="527" t="str">
        <f t="shared" ref="D102:L102" si="23">D103&amp;"(含)"&amp;"-"&amp;E103</f>
        <v>500(含)-800</v>
      </c>
      <c r="E102" s="527" t="str">
        <f t="shared" si="23"/>
        <v>800(含)-1000</v>
      </c>
      <c r="F102" s="527" t="str">
        <f t="shared" si="23"/>
        <v>1000(含)-2000</v>
      </c>
      <c r="G102" s="527" t="str">
        <f t="shared" si="23"/>
        <v>2000(含)-4000</v>
      </c>
      <c r="H102" s="527" t="str">
        <f t="shared" si="23"/>
        <v>4000(含)-6000</v>
      </c>
      <c r="I102" s="527" t="str">
        <f t="shared" si="23"/>
        <v>6000(含)-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500</v>
      </c>
      <c r="E103" s="544">
        <v>800</v>
      </c>
      <c r="F103" s="544">
        <v>1000</v>
      </c>
      <c r="G103" s="544">
        <v>2000</v>
      </c>
      <c r="H103" s="544">
        <v>4000</v>
      </c>
      <c r="I103" s="544">
        <v>6000</v>
      </c>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v>102</v>
      </c>
      <c r="E104" s="485">
        <v>104</v>
      </c>
      <c r="F104" s="485">
        <v>102</v>
      </c>
      <c r="G104" s="485">
        <v>100</v>
      </c>
      <c r="H104" s="485">
        <v>98</v>
      </c>
      <c r="I104" s="485">
        <v>96</v>
      </c>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4" t="s">
        <v>3446</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98</v>
      </c>
      <c r="E106" s="493">
        <f t="shared" si="24"/>
        <v>96</v>
      </c>
      <c r="F106" s="493">
        <f t="shared" si="24"/>
        <v>94</v>
      </c>
      <c r="G106" s="493">
        <f t="shared" si="24"/>
        <v>92</v>
      </c>
      <c r="H106" s="493">
        <f t="shared" si="24"/>
        <v>90</v>
      </c>
      <c r="I106" s="493">
        <f t="shared" si="24"/>
        <v>88</v>
      </c>
      <c r="J106" s="493">
        <f t="shared" si="24"/>
        <v>86</v>
      </c>
      <c r="K106" s="493">
        <f t="shared" si="24"/>
        <v>84</v>
      </c>
      <c r="L106" s="493">
        <f t="shared" si="24"/>
        <v>82</v>
      </c>
      <c r="M106" s="494">
        <f t="shared" si="24"/>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4" t="s">
        <v>3447</v>
      </c>
      <c r="D107" s="3454" t="s">
        <v>3449</v>
      </c>
      <c r="E107" s="3454" t="s">
        <v>3450</v>
      </c>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4">
        <f t="shared" si="25"/>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101</v>
      </c>
      <c r="E111" s="493">
        <f t="shared" ref="E111:M111" si="26">D111+$K36</f>
        <v>102</v>
      </c>
      <c r="F111" s="493">
        <f t="shared" si="26"/>
        <v>103</v>
      </c>
      <c r="G111" s="493">
        <f t="shared" si="26"/>
        <v>104</v>
      </c>
      <c r="H111" s="493">
        <f t="shared" si="26"/>
        <v>105</v>
      </c>
      <c r="I111" s="493">
        <f t="shared" si="26"/>
        <v>106</v>
      </c>
      <c r="J111" s="493">
        <f t="shared" si="26"/>
        <v>107</v>
      </c>
      <c r="K111" s="493">
        <f t="shared" si="26"/>
        <v>108</v>
      </c>
      <c r="L111" s="493">
        <f t="shared" si="26"/>
        <v>109</v>
      </c>
      <c r="M111" s="493">
        <f t="shared" si="26"/>
        <v>110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3454" t="s">
        <v>3451</v>
      </c>
      <c r="D112" s="3454" t="s">
        <v>3453</v>
      </c>
      <c r="E112" s="3454" t="s">
        <v>3454</v>
      </c>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99</v>
      </c>
      <c r="E113" s="493">
        <f t="shared" ref="E113:M113" si="27">D113-$K37</f>
        <v>98</v>
      </c>
      <c r="F113" s="493">
        <f t="shared" si="27"/>
        <v>97</v>
      </c>
      <c r="G113" s="493">
        <f t="shared" si="27"/>
        <v>96</v>
      </c>
      <c r="H113" s="493">
        <f t="shared" si="27"/>
        <v>95</v>
      </c>
      <c r="I113" s="493">
        <f t="shared" si="27"/>
        <v>94</v>
      </c>
      <c r="J113" s="493">
        <f t="shared" si="27"/>
        <v>93</v>
      </c>
      <c r="K113" s="493">
        <f t="shared" si="27"/>
        <v>92</v>
      </c>
      <c r="L113" s="493">
        <f t="shared" si="27"/>
        <v>91</v>
      </c>
      <c r="M113" s="493">
        <f t="shared" si="27"/>
        <v>90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4" t="s">
        <v>3456</v>
      </c>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4" t="s">
        <v>3447</v>
      </c>
      <c r="D122" s="3454" t="s">
        <v>3449</v>
      </c>
      <c r="E122" s="3454" t="s">
        <v>3450</v>
      </c>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98</v>
      </c>
      <c r="E123" s="493">
        <f t="shared" si="30"/>
        <v>96</v>
      </c>
      <c r="F123" s="493">
        <f t="shared" si="30"/>
        <v>94</v>
      </c>
      <c r="G123" s="493">
        <f t="shared" si="30"/>
        <v>92</v>
      </c>
      <c r="H123" s="493">
        <f t="shared" si="30"/>
        <v>90</v>
      </c>
      <c r="I123" s="493">
        <f t="shared" si="30"/>
        <v>88</v>
      </c>
      <c r="J123" s="493">
        <f t="shared" si="30"/>
        <v>86</v>
      </c>
      <c r="K123" s="493">
        <f t="shared" si="30"/>
        <v>84</v>
      </c>
      <c r="L123" s="493">
        <f t="shared" si="30"/>
        <v>82</v>
      </c>
      <c r="M123" s="494">
        <f t="shared" si="30"/>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86" priority="21"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8117-B4C1-4E00-AEBD-4429975C12B3}">
  <dimension ref="A1:G6"/>
  <sheetViews>
    <sheetView topLeftCell="C1" workbookViewId="0">
      <selection activeCell="H5" sqref="H5"/>
    </sheetView>
  </sheetViews>
  <sheetFormatPr defaultRowHeight="13.5"/>
  <cols>
    <col min="1" max="1" width="17" customWidth="1"/>
    <col min="2" max="2" width="18.625" customWidth="1"/>
    <col min="5" max="5" width="10.5" bestFit="1" customWidth="1"/>
    <col min="7" max="7" width="16.875" customWidth="1"/>
  </cols>
  <sheetData>
    <row r="1" spans="1:7">
      <c r="A1" s="3450" t="s">
        <v>669</v>
      </c>
      <c r="B1" s="3450" t="s">
        <v>3415</v>
      </c>
      <c r="C1" s="3450" t="s">
        <v>3385</v>
      </c>
      <c r="D1" s="3450" t="s">
        <v>3411</v>
      </c>
      <c r="E1" s="3450" t="s">
        <v>3412</v>
      </c>
      <c r="F1" s="3450" t="s">
        <v>3413</v>
      </c>
      <c r="G1" s="3450" t="s">
        <v>3457</v>
      </c>
    </row>
    <row r="2" spans="1:7">
      <c r="A2" s="3450" t="s">
        <v>3414</v>
      </c>
      <c r="B2" s="3450" t="s">
        <v>3416</v>
      </c>
      <c r="C2">
        <v>55</v>
      </c>
      <c r="D2">
        <v>14261</v>
      </c>
      <c r="E2" s="3452">
        <v>45147</v>
      </c>
      <c r="F2" s="3450" t="s">
        <v>3417</v>
      </c>
      <c r="G2" s="3450" t="s">
        <v>3458</v>
      </c>
    </row>
    <row r="3" spans="1:7">
      <c r="A3" s="3450" t="s">
        <v>3418</v>
      </c>
      <c r="B3" s="3450" t="s">
        <v>3419</v>
      </c>
      <c r="C3">
        <v>3011</v>
      </c>
      <c r="D3">
        <v>14945</v>
      </c>
      <c r="E3" s="3452">
        <v>44974</v>
      </c>
      <c r="F3" s="3450" t="s">
        <v>3417</v>
      </c>
      <c r="G3" s="3450" t="s">
        <v>3459</v>
      </c>
    </row>
    <row r="4" spans="1:7">
      <c r="A4" s="3450" t="s">
        <v>3420</v>
      </c>
      <c r="B4" s="3450" t="s">
        <v>3421</v>
      </c>
      <c r="C4">
        <v>300</v>
      </c>
      <c r="D4">
        <v>12677</v>
      </c>
      <c r="E4" s="3452">
        <v>44995</v>
      </c>
      <c r="F4" s="3450" t="s">
        <v>3417</v>
      </c>
      <c r="G4" s="3450" t="s">
        <v>3461</v>
      </c>
    </row>
    <row r="5" spans="1:7">
      <c r="A5" s="3450" t="s">
        <v>3422</v>
      </c>
      <c r="B5" s="3450" t="s">
        <v>3423</v>
      </c>
      <c r="C5">
        <v>157</v>
      </c>
      <c r="D5">
        <v>21865</v>
      </c>
      <c r="E5" s="3452">
        <v>45106</v>
      </c>
      <c r="F5" s="3450" t="s">
        <v>3417</v>
      </c>
    </row>
    <row r="6" spans="1:7">
      <c r="A6" s="3450" t="s">
        <v>3424</v>
      </c>
      <c r="B6" s="3450" t="s">
        <v>3424</v>
      </c>
      <c r="C6">
        <v>323</v>
      </c>
      <c r="D6">
        <v>19472</v>
      </c>
      <c r="E6" s="3452">
        <v>45052</v>
      </c>
      <c r="F6" s="3450" t="s">
        <v>3417</v>
      </c>
    </row>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90" zoomScaleNormal="70" zoomScaleSheetLayoutView="90" workbookViewId="0">
      <selection activeCell="E16" sqref="E1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18.100000000000001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1399</v>
      </c>
      <c r="C2" s="1387" t="s">
        <v>805</v>
      </c>
      <c r="D2" s="1387"/>
      <c r="E2" s="1388"/>
      <c r="F2" s="1389"/>
      <c r="G2" s="2706"/>
      <c r="H2" s="2695"/>
      <c r="I2" s="2695"/>
      <c r="J2" s="2695"/>
      <c r="K2" s="2696"/>
      <c r="L2" s="2695"/>
      <c r="M2" s="2695"/>
    </row>
    <row r="3" spans="1:37" ht="18" customHeight="1" thickBot="1">
      <c r="A3" s="1390" t="s">
        <v>806</v>
      </c>
      <c r="B3" s="1391">
        <f ca="1">IF(ISERROR(B2*10000/F43),0,ROUND(B2*10000/F43,0))</f>
        <v>11765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118</v>
      </c>
      <c r="D5" s="1364" t="s">
        <v>693</v>
      </c>
      <c r="E5" s="1071"/>
      <c r="F5" s="1072"/>
      <c r="G5" s="1384"/>
      <c r="H5" s="299">
        <v>1</v>
      </c>
      <c r="I5" s="300" t="s">
        <v>692</v>
      </c>
      <c r="J5" s="1070">
        <f ca="1">J6+J10+J12</f>
        <v>0</v>
      </c>
      <c r="K5" s="1364" t="s">
        <v>693</v>
      </c>
      <c r="L5" s="1071"/>
      <c r="M5" s="1072"/>
    </row>
    <row r="6" spans="1:37" ht="18" customHeight="1">
      <c r="A6" s="1069" t="s">
        <v>398</v>
      </c>
      <c r="B6" s="3702" t="s">
        <v>694</v>
      </c>
      <c r="C6" s="1074">
        <f ca="1">ROUND(F6*F8*F7*(1-F9)/10000,0)</f>
        <v>118</v>
      </c>
      <c r="D6" s="155" t="s">
        <v>2109</v>
      </c>
      <c r="E6" s="302" t="s">
        <v>696</v>
      </c>
      <c r="F6" s="303">
        <f ca="1">INDIRECT("'数据-取费表'!u"&amp;$G$1)</f>
        <v>2.85</v>
      </c>
      <c r="G6" s="1384"/>
      <c r="H6" s="1069" t="s">
        <v>398</v>
      </c>
      <c r="I6" s="3702" t="s">
        <v>694</v>
      </c>
      <c r="J6" s="301">
        <f ca="1">ROUND(M6*M8*M7*(1-M9)/10000,0)</f>
        <v>0</v>
      </c>
      <c r="K6" s="155" t="s">
        <v>2108</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1189.08</v>
      </c>
      <c r="G7" s="1384"/>
      <c r="H7" s="304"/>
      <c r="I7" s="3703"/>
      <c r="J7" s="306"/>
      <c r="K7" s="307"/>
      <c r="L7" s="302" t="s">
        <v>697</v>
      </c>
      <c r="M7" s="303">
        <f ca="1">F7</f>
        <v>1189.08</v>
      </c>
    </row>
    <row r="8" spans="1:37" ht="18" customHeight="1">
      <c r="A8" s="304"/>
      <c r="B8" s="3703"/>
      <c r="C8" s="306"/>
      <c r="D8" s="307"/>
      <c r="E8" s="302" t="s">
        <v>698</v>
      </c>
      <c r="F8" s="303">
        <f ca="1">INDIRECT("'数据-取费表'!ai"&amp;$G$1)</f>
        <v>365</v>
      </c>
      <c r="G8" s="1384"/>
      <c r="H8" s="304"/>
      <c r="I8" s="3703"/>
      <c r="J8" s="306"/>
      <c r="K8" s="307"/>
      <c r="L8" s="302" t="s">
        <v>698</v>
      </c>
      <c r="M8" s="303">
        <f ca="1">INDIRECT("'数据-取费表'!ai"&amp;$G$1)</f>
        <v>365</v>
      </c>
    </row>
    <row r="9" spans="1:37" ht="18" customHeight="1">
      <c r="A9" s="304"/>
      <c r="B9" s="3704"/>
      <c r="C9" s="306"/>
      <c r="D9" s="307"/>
      <c r="E9" s="302" t="s">
        <v>699</v>
      </c>
      <c r="F9" s="312">
        <f ca="1">INDIRECT("'数据-取费表'!w"&amp;$G$1)</f>
        <v>0.05</v>
      </c>
      <c r="G9" s="1384"/>
      <c r="H9" s="304"/>
      <c r="I9" s="370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3406</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562</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476</v>
      </c>
      <c r="D14" s="1345" t="s">
        <v>708</v>
      </c>
      <c r="E14" s="1342"/>
      <c r="F14" s="319"/>
      <c r="G14" s="1384"/>
      <c r="H14" s="982" t="s">
        <v>398</v>
      </c>
      <c r="I14" s="302" t="s">
        <v>709</v>
      </c>
      <c r="J14" s="21">
        <f ca="1">C29</f>
        <v>702</v>
      </c>
      <c r="K14" s="12"/>
      <c r="L14" s="807"/>
      <c r="M14" s="808"/>
    </row>
    <row r="15" spans="1:37" s="1397" customFormat="1" ht="18" customHeight="1" thickBot="1">
      <c r="A15" s="982" t="s">
        <v>399</v>
      </c>
      <c r="B15" s="302" t="s">
        <v>710</v>
      </c>
      <c r="C15" s="21">
        <f ca="1">ROUND(C14*F15,0)</f>
        <v>14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14</v>
      </c>
      <c r="K16" s="1087" t="s">
        <v>715</v>
      </c>
      <c r="L16" s="1088"/>
      <c r="M16" s="1072"/>
    </row>
    <row r="17" spans="1:37" s="1397" customFormat="1" ht="18" customHeight="1">
      <c r="A17" s="982" t="s">
        <v>681</v>
      </c>
      <c r="B17" s="302" t="s">
        <v>716</v>
      </c>
      <c r="C17" s="21">
        <f ca="1">ROUND(F17*(F43+INDIRECT("'数据-取费表'!S"&amp;$G$1))/10000,0)</f>
        <v>24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521</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10</v>
      </c>
      <c r="D20" s="323" t="s">
        <v>729</v>
      </c>
      <c r="E20" s="302" t="s">
        <v>712</v>
      </c>
      <c r="F20" s="322">
        <f>'数据-取费表'!B37</f>
        <v>0.02</v>
      </c>
      <c r="G20" s="1396"/>
      <c r="H20" s="982" t="s">
        <v>680</v>
      </c>
      <c r="I20" s="155" t="s">
        <v>730</v>
      </c>
      <c r="J20" s="22">
        <f ca="1">ROUND(M20*M21/10000,2)</f>
        <v>0.13</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842.89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14.04</v>
      </c>
      <c r="K22" s="1344" t="s">
        <v>739</v>
      </c>
      <c r="L22" s="302" t="s">
        <v>712</v>
      </c>
      <c r="M22" s="328">
        <f ca="1">INDIRECT("'数据-取费表'!Ak"&amp;$G$1)</f>
        <v>0.02</v>
      </c>
    </row>
    <row r="23" spans="1:37" s="1397" customFormat="1" ht="18" customHeight="1">
      <c r="A23" s="982" t="s">
        <v>397</v>
      </c>
      <c r="B23" s="302" t="s">
        <v>740</v>
      </c>
      <c r="C23" s="21">
        <f ca="1">IF('数据-取费表'!B22&lt;=1,ROUND(C19*F24*F23/2,0)+ROUND(C20*F24*F23/2,0),ROUND(C19*(POWER((1+F24),F23/2)-1),0)+ROUND(C20*(POWER((1+F24),F23/2)-1),0))</f>
        <v>11</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2E-3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ROUND(J5*M24,2)</f>
        <v>0</v>
      </c>
      <c r="K24" s="1092" t="s">
        <v>748</v>
      </c>
      <c r="L24" s="1090" t="s">
        <v>744</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-14</v>
      </c>
      <c r="K25" s="1095" t="s">
        <v>753</v>
      </c>
      <c r="L25" s="1096"/>
      <c r="M25" s="1097"/>
    </row>
    <row r="26" spans="1:37">
      <c r="A26" s="982" t="s">
        <v>397</v>
      </c>
      <c r="B26" s="302" t="s">
        <v>754</v>
      </c>
      <c r="C26" s="21">
        <f ca="1">ROUND((C19+C20)*F26,0)</f>
        <v>106</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702</v>
      </c>
      <c r="D29" s="1092"/>
      <c r="E29" s="1090"/>
      <c r="F29" s="1093"/>
      <c r="G29" s="1396"/>
      <c r="H29" s="334" t="s">
        <v>396</v>
      </c>
      <c r="I29" s="335" t="s">
        <v>768</v>
      </c>
      <c r="J29" s="336">
        <f ca="1">ROUND(J26/(1+F40)^F41,0)</f>
        <v>0</v>
      </c>
      <c r="K29" s="337" t="s">
        <v>769</v>
      </c>
      <c r="L29" s="338"/>
      <c r="M29" s="339">
        <f ca="1">INDIRECT("'数据-取费表'!k"&amp;$G$1)</f>
        <v>1189.08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13.49</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842.89</v>
      </c>
      <c r="G35" s="1384"/>
      <c r="H35" s="2697"/>
      <c r="I35" s="1398"/>
      <c r="J35" s="1399"/>
      <c r="K35" s="2701"/>
      <c r="L35" s="2700"/>
      <c r="M35" s="2700"/>
    </row>
    <row r="36" spans="1:18" ht="18" customHeight="1">
      <c r="A36" s="1102" t="s">
        <v>402</v>
      </c>
      <c r="B36" s="302" t="s">
        <v>738</v>
      </c>
      <c r="C36" s="21">
        <f ca="1">ROUND(C29*F36,2)</f>
        <v>14.04</v>
      </c>
      <c r="D36" s="1344" t="s">
        <v>771</v>
      </c>
      <c r="E36" s="302" t="s">
        <v>712</v>
      </c>
      <c r="F36" s="328">
        <f ca="1">INDIRECT("'数据-取费表'!Ak"&amp;$G$1)</f>
        <v>0.02</v>
      </c>
      <c r="G36" s="1384"/>
      <c r="H36" s="2700"/>
      <c r="I36" s="1398"/>
      <c r="J36" s="1399"/>
      <c r="K36" s="2544"/>
      <c r="L36" s="2700"/>
      <c r="M36" s="2700"/>
    </row>
    <row r="37" spans="1:18" ht="18" customHeight="1">
      <c r="A37" s="982" t="s">
        <v>437</v>
      </c>
      <c r="B37" s="302" t="s">
        <v>742</v>
      </c>
      <c r="C37" s="21">
        <f ca="1">ROUND(C13*F37,2)</f>
        <v>1.1200000000000001</v>
      </c>
      <c r="D37" s="1344" t="s">
        <v>743</v>
      </c>
      <c r="E37" s="302" t="s">
        <v>744</v>
      </c>
      <c r="F37" s="330">
        <f ca="1">INDIRECT("'数据-取费表'!Al"&amp;$G$1)</f>
        <v>2E-3</v>
      </c>
      <c r="G37" s="1384"/>
      <c r="H37" s="2700"/>
      <c r="I37" s="1398"/>
      <c r="J37" s="1399"/>
      <c r="K37" s="2544"/>
      <c r="L37" s="2700"/>
      <c r="M37" s="2700"/>
    </row>
    <row r="38" spans="1:18" ht="18" customHeight="1" thickBot="1">
      <c r="A38" s="1089" t="s">
        <v>684</v>
      </c>
      <c r="B38" s="1090" t="s">
        <v>728</v>
      </c>
      <c r="C38" s="1091">
        <f ca="1">ROUND(C5*F38,2)</f>
        <v>2.36</v>
      </c>
      <c r="D38" s="1092" t="s">
        <v>748</v>
      </c>
      <c r="E38" s="1090" t="s">
        <v>744</v>
      </c>
      <c r="F38" s="1086">
        <f ca="1">INDIRECT("'数据-取费表'!Am"&amp;$G$1)</f>
        <v>0.02</v>
      </c>
      <c r="G38" s="1384"/>
      <c r="H38" s="2700"/>
      <c r="I38" s="1398"/>
      <c r="J38" s="1399"/>
      <c r="K38" s="2704"/>
      <c r="L38" s="2700"/>
      <c r="M38" s="2700"/>
    </row>
    <row r="39" spans="1:18" ht="24.6" customHeight="1" thickTop="1">
      <c r="A39" s="1079" t="s">
        <v>394</v>
      </c>
      <c r="B39" s="1094" t="s">
        <v>772</v>
      </c>
      <c r="C39" s="310">
        <f ca="1">C5-C30</f>
        <v>87</v>
      </c>
      <c r="D39" s="1095" t="s">
        <v>773</v>
      </c>
      <c r="E39" s="1096"/>
      <c r="F39" s="1097"/>
      <c r="G39" s="1384"/>
      <c r="H39" s="2700"/>
      <c r="I39" s="1398"/>
      <c r="J39" s="1399"/>
      <c r="K39" s="2704"/>
      <c r="L39" s="2700"/>
      <c r="M39" s="2700"/>
    </row>
    <row r="40" spans="1:18" ht="18" customHeight="1">
      <c r="A40" s="299" t="s">
        <v>395</v>
      </c>
      <c r="B40" s="300" t="s">
        <v>774</v>
      </c>
      <c r="C40" s="301">
        <f ca="1">ROUND(C39*(1-((1+F42)/(1+F40))^F41)/(F40-F42),0)</f>
        <v>1289</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18.100000000000001</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10840</v>
      </c>
      <c r="D43" s="337" t="s">
        <v>777</v>
      </c>
      <c r="E43" s="338" t="s">
        <v>778</v>
      </c>
      <c r="F43" s="339">
        <f ca="1">INDIRECT("'数据-取费表'!k"&amp;$G$1)</f>
        <v>1189.08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-1480</v>
      </c>
      <c r="D46" s="1406" t="str">
        <f>C2</f>
        <v>万元</v>
      </c>
      <c r="E46" s="1400"/>
      <c r="F46" s="1400"/>
      <c r="I46" s="1407" t="s">
        <v>810</v>
      </c>
      <c r="J46" s="1408"/>
      <c r="K46" s="1409"/>
      <c r="L46" s="1410">
        <f ca="1">IF(M47="住宅",0,IF(L48&gt;J51,L60,J60))</f>
        <v>110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3407</v>
      </c>
      <c r="K47" s="1416" t="s">
        <v>816</v>
      </c>
      <c r="L47" s="1417">
        <f ca="1">INDIRECT("'数据-取费表'!d"&amp;$G$1)</f>
        <v>40</v>
      </c>
      <c r="M47" s="1380" t="str">
        <f>IF(ISNUMBER(FIND("住宅",C1)),"住宅","非住宅")</f>
        <v>非住宅</v>
      </c>
      <c r="O47" s="1418" t="s">
        <v>403</v>
      </c>
      <c r="P47" s="1419" t="s">
        <v>817</v>
      </c>
      <c r="Q47" s="1420">
        <f ca="1">C40+J29</f>
        <v>1289</v>
      </c>
      <c r="R47" s="1420" t="s">
        <v>818</v>
      </c>
    </row>
    <row r="48" spans="1:18" s="1384" customFormat="1" ht="28.5" thickBot="1">
      <c r="A48" s="1110" t="s">
        <v>438</v>
      </c>
      <c r="B48" s="300" t="s">
        <v>692</v>
      </c>
      <c r="C48" s="1359">
        <f ca="1">C49+C53+C55</f>
        <v>0</v>
      </c>
      <c r="D48" s="1112"/>
      <c r="E48" s="1113"/>
      <c r="F48" s="962"/>
      <c r="G48" s="722"/>
      <c r="H48" s="723"/>
      <c r="I48" s="1421" t="s">
        <v>819</v>
      </c>
      <c r="J48" s="1422" t="s">
        <v>3408</v>
      </c>
      <c r="K48" s="1423" t="s">
        <v>820</v>
      </c>
      <c r="L48" s="1424">
        <f ca="1">INDIRECT("'数据-取费表'!f"&amp;$G$1)</f>
        <v>18.100000000000001</v>
      </c>
      <c r="O48" s="1418" t="s">
        <v>404</v>
      </c>
      <c r="P48" s="1419" t="s">
        <v>821</v>
      </c>
      <c r="Q48" s="1420">
        <f ca="1">J60</f>
        <v>110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2013</v>
      </c>
      <c r="K49" s="1423" t="s">
        <v>824</v>
      </c>
      <c r="L49" s="1427"/>
      <c r="O49" s="1428" t="s">
        <v>405</v>
      </c>
      <c r="P49" s="1419" t="s">
        <v>825</v>
      </c>
      <c r="Q49" s="1420">
        <f ca="1">C29</f>
        <v>702</v>
      </c>
      <c r="R49" s="1420" t="s">
        <v>818</v>
      </c>
    </row>
    <row r="50" spans="1:18" s="1384" customFormat="1" ht="13.5" thickBot="1">
      <c r="A50" s="976"/>
      <c r="B50" s="979"/>
      <c r="C50" s="1118"/>
      <c r="D50" s="953"/>
      <c r="E50" s="1056" t="s">
        <v>697</v>
      </c>
      <c r="F50" s="1057">
        <f ca="1">F7</f>
        <v>1189.08</v>
      </c>
      <c r="H50" s="723"/>
      <c r="I50" s="1421" t="s">
        <v>826</v>
      </c>
      <c r="J50" s="1429">
        <f>SUMPRODUCT((I63:I65=J47)*(J62:L62=J48)*(J63:L65))</f>
        <v>60</v>
      </c>
      <c r="K50" s="1423" t="s">
        <v>827</v>
      </c>
      <c r="L50" s="1427"/>
      <c r="M50" s="1430"/>
      <c r="O50" s="1428" t="s">
        <v>406</v>
      </c>
      <c r="P50" s="1419" t="s">
        <v>828</v>
      </c>
      <c r="Q50" s="1431">
        <f ca="1">J58</f>
        <v>0.53200000000000003</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1084</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18.100000000000001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18.100000000000001</v>
      </c>
      <c r="K53" s="3700" t="s">
        <v>837</v>
      </c>
      <c r="L53" s="3701"/>
      <c r="O53" s="1418" t="s">
        <v>409</v>
      </c>
      <c r="P53" s="1419" t="s">
        <v>838</v>
      </c>
      <c r="Q53" s="1420">
        <f ca="1">Q47+Q48</f>
        <v>1399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0.53200000000000003</v>
      </c>
      <c r="K55" s="1445" t="s">
        <v>841</v>
      </c>
      <c r="L55" s="1446"/>
      <c r="O55" s="1411" t="s">
        <v>811</v>
      </c>
      <c r="P55" s="1412" t="s">
        <v>812</v>
      </c>
      <c r="Q55" s="1413" t="s">
        <v>813</v>
      </c>
      <c r="R55" s="1413" t="s">
        <v>814</v>
      </c>
    </row>
    <row r="56" spans="1:18" s="1384" customFormat="1" ht="25.5" thickTop="1" thickBot="1">
      <c r="A56" s="957">
        <v>2</v>
      </c>
      <c r="B56" s="958" t="s">
        <v>704</v>
      </c>
      <c r="C56" s="232">
        <f ca="1">C13</f>
        <v>562</v>
      </c>
      <c r="D56" s="1447"/>
      <c r="E56" s="1448"/>
      <c r="F56" s="1440"/>
      <c r="I56" s="1449" t="s">
        <v>842</v>
      </c>
      <c r="J56" s="1450" t="s">
        <v>3409</v>
      </c>
      <c r="K56" s="1421" t="s">
        <v>843</v>
      </c>
      <c r="L56" s="1424" t="str">
        <f ca="1">IF(L48&lt;J51,"——",L48-J53)</f>
        <v>——</v>
      </c>
      <c r="O56" s="1418" t="s">
        <v>403</v>
      </c>
      <c r="P56" s="1419" t="s">
        <v>817</v>
      </c>
      <c r="Q56" s="1420">
        <f ca="1">C40+J29</f>
        <v>1289</v>
      </c>
      <c r="R56" s="1420" t="s">
        <v>818</v>
      </c>
    </row>
    <row r="57" spans="1:18" s="1384" customFormat="1" ht="24.75" thickBot="1">
      <c r="A57" s="1451"/>
      <c r="B57" s="950" t="s">
        <v>767</v>
      </c>
      <c r="C57" s="238">
        <f ca="1">C29</f>
        <v>702</v>
      </c>
      <c r="D57" s="1452"/>
      <c r="E57" s="1453"/>
      <c r="F57" s="1454"/>
      <c r="I57" s="1455" t="s">
        <v>844</v>
      </c>
      <c r="J57" s="1456">
        <f ca="1">IF(OR(M47="住宅",J51&lt;L48,J56="是"),"——",J51-L48)</f>
        <v>31.9</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15</v>
      </c>
      <c r="D58" s="960" t="s">
        <v>715</v>
      </c>
      <c r="E58" s="961"/>
      <c r="F58" s="962"/>
      <c r="I58" s="1455" t="s">
        <v>848</v>
      </c>
      <c r="J58" s="1457">
        <f ca="1">IF(J55&lt;0.4,0.4,J55)</f>
        <v>0.53200000000000003</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373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f ca="1">IF(OR(M47="住宅",J51&lt;L48,J56="是"),"0",ROUND(J59/(1+J52)^J53,0))</f>
        <v>110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1289</v>
      </c>
      <c r="R62" s="1420" t="s">
        <v>410</v>
      </c>
    </row>
    <row r="63" spans="1:18" s="1384" customFormat="1" ht="13.5" thickBot="1">
      <c r="A63" s="326"/>
      <c r="B63" s="956"/>
      <c r="C63" s="26"/>
      <c r="D63" s="966"/>
      <c r="E63" s="950" t="s">
        <v>788</v>
      </c>
      <c r="F63" s="303">
        <f t="shared" ca="1" si="0"/>
        <v>842.89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14.04</v>
      </c>
      <c r="D64" s="964" t="s">
        <v>791</v>
      </c>
      <c r="E64" s="950" t="s">
        <v>783</v>
      </c>
      <c r="F64" s="328">
        <f t="shared" ca="1" si="0"/>
        <v>0.02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1.1200000000000001</v>
      </c>
      <c r="D65" s="964" t="s">
        <v>743</v>
      </c>
      <c r="E65" s="950" t="s">
        <v>744</v>
      </c>
      <c r="F65" s="330">
        <f t="shared" ca="1" si="0"/>
        <v>2E-3</v>
      </c>
      <c r="I65" s="1462" t="s">
        <v>867</v>
      </c>
      <c r="J65" s="1463">
        <v>40</v>
      </c>
      <c r="K65" s="1463">
        <v>30</v>
      </c>
      <c r="L65" s="1463">
        <v>50</v>
      </c>
      <c r="M65" s="1465">
        <v>0.02</v>
      </c>
      <c r="O65" s="1418" t="s">
        <v>403</v>
      </c>
      <c r="P65" s="1419" t="s">
        <v>868</v>
      </c>
      <c r="Q65" s="1420">
        <f ca="1">C40+J29</f>
        <v>1289</v>
      </c>
      <c r="R65" s="1420" t="s">
        <v>818</v>
      </c>
    </row>
    <row r="66" spans="1:18" s="1384" customFormat="1" ht="16.5" thickBot="1">
      <c r="A66" s="982" t="s">
        <v>793</v>
      </c>
      <c r="B66" s="950" t="s">
        <v>728</v>
      </c>
      <c r="C66" s="21">
        <f ca="1">ROUND(C48*F66,2)</f>
        <v>0</v>
      </c>
      <c r="D66" s="964" t="s">
        <v>794</v>
      </c>
      <c r="E66" s="950" t="s">
        <v>712</v>
      </c>
      <c r="F66" s="312">
        <f t="shared" ca="1" si="0"/>
        <v>0.02</v>
      </c>
      <c r="O66" s="1418" t="s">
        <v>404</v>
      </c>
      <c r="P66" s="1419" t="s">
        <v>846</v>
      </c>
      <c r="Q66" s="1420">
        <f ca="1">L60</f>
        <v>0</v>
      </c>
      <c r="R66" s="1420" t="s">
        <v>869</v>
      </c>
    </row>
    <row r="67" spans="1:18" s="1384" customFormat="1" ht="16.5" thickBot="1">
      <c r="A67" s="957" t="s">
        <v>394</v>
      </c>
      <c r="B67" s="967" t="s">
        <v>752</v>
      </c>
      <c r="C67" s="316">
        <f ca="1">C48-C58</f>
        <v>-15</v>
      </c>
      <c r="D67" s="963" t="s">
        <v>753</v>
      </c>
      <c r="E67" s="968"/>
      <c r="F67" s="969"/>
      <c r="O67" s="1428" t="s">
        <v>405</v>
      </c>
      <c r="P67" s="1419" t="s">
        <v>850</v>
      </c>
      <c r="Q67" s="1466">
        <f ca="1">L51</f>
        <v>1084</v>
      </c>
      <c r="R67" s="1420" t="s">
        <v>870</v>
      </c>
    </row>
    <row r="68" spans="1:18" s="1384" customFormat="1" ht="16.5" thickBot="1">
      <c r="A68" s="947" t="s">
        <v>395</v>
      </c>
      <c r="B68" s="948" t="s">
        <v>774</v>
      </c>
      <c r="C68" s="301">
        <f ca="1">ROUND(C67*(1-((1+F70)/(1+F68))^F69)/(F68-F70),0)</f>
        <v>-191</v>
      </c>
      <c r="D68" s="965" t="s">
        <v>758</v>
      </c>
      <c r="E68" s="950" t="s">
        <v>759</v>
      </c>
      <c r="F68" s="312">
        <f ca="1">F40</f>
        <v>0.04</v>
      </c>
      <c r="O68" s="1428" t="s">
        <v>406</v>
      </c>
      <c r="P68" s="1467" t="s">
        <v>871</v>
      </c>
      <c r="Q68" s="1420">
        <f ca="1">ROUND(Q69-Q70*Q71,0)</f>
        <v>50</v>
      </c>
      <c r="R68" s="1420" t="s">
        <v>414</v>
      </c>
    </row>
    <row r="69" spans="1:18" s="1384" customFormat="1" ht="13.5" thickBot="1">
      <c r="A69" s="951"/>
      <c r="B69" s="952"/>
      <c r="C69" s="306"/>
      <c r="D69" s="970" t="s">
        <v>762</v>
      </c>
      <c r="E69" s="950" t="s">
        <v>763</v>
      </c>
      <c r="F69" s="333">
        <f ca="1">F41</f>
        <v>18.100000000000001</v>
      </c>
      <c r="O69" s="1428" t="s">
        <v>411</v>
      </c>
      <c r="P69" s="1467" t="s">
        <v>872</v>
      </c>
      <c r="Q69" s="1420">
        <f ca="1">C39</f>
        <v>87</v>
      </c>
      <c r="R69" s="1420" t="s">
        <v>818</v>
      </c>
    </row>
    <row r="70" spans="1:18" s="1384" customFormat="1" ht="13.5" thickBot="1">
      <c r="A70" s="954"/>
      <c r="B70" s="955"/>
      <c r="C70" s="310"/>
      <c r="D70" s="966"/>
      <c r="E70" s="950" t="s">
        <v>766</v>
      </c>
      <c r="F70" s="1054"/>
      <c r="O70" s="1428" t="s">
        <v>412</v>
      </c>
      <c r="P70" s="1467" t="s">
        <v>873</v>
      </c>
      <c r="Q70" s="1420">
        <f ca="1">C13</f>
        <v>562</v>
      </c>
      <c r="R70" s="1420" t="s">
        <v>818</v>
      </c>
    </row>
    <row r="71" spans="1:18" s="1384" customFormat="1" ht="13.5" thickBot="1">
      <c r="A71" s="971" t="s">
        <v>396</v>
      </c>
      <c r="B71" s="972" t="s">
        <v>776</v>
      </c>
      <c r="C71" s="336">
        <f ca="1">ROUND(C68*10000/F71,0)</f>
        <v>-1606</v>
      </c>
      <c r="D71" s="973" t="s">
        <v>777</v>
      </c>
      <c r="E71" s="974" t="s">
        <v>778</v>
      </c>
      <c r="F71" s="339">
        <f ca="1">F43</f>
        <v>1189.08</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37</v>
      </c>
      <c r="D75" s="1384"/>
      <c r="E75" s="1384"/>
      <c r="F75" s="1384"/>
      <c r="K75" s="1402"/>
      <c r="L75" s="1384"/>
      <c r="O75" s="1418" t="s">
        <v>409</v>
      </c>
      <c r="P75" s="1419" t="s">
        <v>838</v>
      </c>
      <c r="Q75" s="1420">
        <f ca="1">Q65+Q66</f>
        <v>1289</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0.57499999999999996</v>
      </c>
    </row>
    <row r="80" spans="1:18">
      <c r="B80" s="340" t="s">
        <v>800</v>
      </c>
      <c r="C80" s="274">
        <f ca="1">ROUND(C75/C39,3)</f>
        <v>0.42499999999999999</v>
      </c>
    </row>
    <row r="81" spans="2:3">
      <c r="B81" s="270" t="s">
        <v>801</v>
      </c>
      <c r="C81" s="238"/>
    </row>
    <row r="82" spans="2:3">
      <c r="B82" s="273" t="s">
        <v>802</v>
      </c>
      <c r="C82" s="275">
        <f ca="1">1-C83</f>
        <v>0.56400000000000006</v>
      </c>
    </row>
    <row r="83" spans="2:3">
      <c r="B83" s="273" t="s">
        <v>803</v>
      </c>
      <c r="C83" s="274">
        <f ca="1">ROUND(C13/C40,3)</f>
        <v>0.436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D6B0-2C8E-4647-A4E2-98619DE43190}">
  <sheetPr>
    <tabColor rgb="FF92D050"/>
    <pageSetUpPr fitToPage="1"/>
  </sheetPr>
  <dimension ref="A1:AC131"/>
  <sheetViews>
    <sheetView view="pageBreakPreview" topLeftCell="A21" zoomScale="90" zoomScaleNormal="70" zoomScaleSheetLayoutView="90" workbookViewId="0">
      <selection activeCell="G16" sqref="G1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6"/>
      <c r="F1" s="1879" t="s">
        <v>3463</v>
      </c>
      <c r="G1" s="1235" t="s">
        <v>1663</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685</v>
      </c>
      <c r="B2" s="1164" t="b">
        <f>IF(E1="项目模式",IF(C2="——",ROUND(C49*D3/10000,0),ROUND(C49*D3/10000,0)-D2),IF(E1="单套模式",IF(C2="——",ROUND(C49*D3/10000,4),ROUND(C49*D3/10000,4)-D2)))</f>
        <v>0</v>
      </c>
      <c r="C2" s="1881" t="s">
        <v>43</v>
      </c>
      <c r="D2" s="1115">
        <f ca="1">IF(E1="项目模式",SUMIF(INDIRECT("'"&amp;F2&amp;"'"&amp;"!A:A"),"承租人权益价值",INDIRECT("'"&amp;F2&amp;"'"&amp;"!c:c")),SUMIF(INDIRECT("'"&amp;F2&amp;"'"&amp;"!A:A"),"承租人权益价值（单套）",INDIRECT("'"&amp;F2&amp;"'"&amp;"!c:c")))</f>
        <v>0</v>
      </c>
      <c r="E2" s="1882" t="s">
        <v>1463</v>
      </c>
      <c r="F2" s="1883" t="s">
        <v>3464</v>
      </c>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686</v>
      </c>
      <c r="B3" s="558">
        <f>IF(C2="——",C49,ROUND(B2*10000/D3,0))</f>
        <v>2.85</v>
      </c>
      <c r="C3" s="354" t="s">
        <v>1665</v>
      </c>
      <c r="D3" s="353">
        <f>IF(D1="",'数据-汇总表'!E3,SUMIF('数据-汇总表'!$C19:$C33,D1,'数据-汇总表'!$E19:$E33))</f>
        <v>1189.08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1666</v>
      </c>
      <c r="B4" s="356"/>
      <c r="C4" s="3673" t="s">
        <v>1667</v>
      </c>
      <c r="D4" s="3674"/>
      <c r="E4" s="3675" t="s">
        <v>1668</v>
      </c>
      <c r="F4" s="3676"/>
      <c r="G4" s="3673" t="s">
        <v>1669</v>
      </c>
      <c r="H4" s="3674"/>
      <c r="I4" s="3673" t="s">
        <v>1670</v>
      </c>
      <c r="J4" s="3674"/>
      <c r="K4" s="559" t="s">
        <v>1671</v>
      </c>
      <c r="L4" s="2715"/>
      <c r="M4" s="2716"/>
      <c r="N4" s="2716"/>
      <c r="O4" s="2716"/>
      <c r="P4" s="3677" t="s">
        <v>1672</v>
      </c>
      <c r="Q4" s="3678"/>
      <c r="R4" s="3659" t="s">
        <v>1668</v>
      </c>
      <c r="S4" s="3660"/>
      <c r="T4" s="3659" t="s">
        <v>1669</v>
      </c>
      <c r="U4" s="3660"/>
      <c r="V4" s="3656" t="s">
        <v>1670</v>
      </c>
      <c r="W4" s="3656"/>
      <c r="X4" s="3468"/>
      <c r="Y4" s="3659" t="s">
        <v>1672</v>
      </c>
      <c r="Z4" s="3660"/>
      <c r="AA4" s="3653" t="s">
        <v>1668</v>
      </c>
      <c r="AB4" s="3656" t="s">
        <v>1669</v>
      </c>
      <c r="AC4" s="3653" t="s">
        <v>1670</v>
      </c>
    </row>
    <row r="5" spans="1:29" ht="15">
      <c r="A5" s="358"/>
      <c r="B5" s="359"/>
      <c r="C5" s="3665" t="s">
        <v>3425</v>
      </c>
      <c r="D5" s="3666"/>
      <c r="E5" s="3810" t="s">
        <v>3474</v>
      </c>
      <c r="F5" s="3664"/>
      <c r="G5" s="3665" t="s">
        <v>3475</v>
      </c>
      <c r="H5" s="3666"/>
      <c r="I5" s="3811" t="s">
        <v>3476</v>
      </c>
      <c r="J5" s="3666"/>
      <c r="K5" s="559"/>
      <c r="L5" s="2715"/>
      <c r="M5" s="2716"/>
      <c r="N5" s="2716"/>
      <c r="O5" s="2716"/>
      <c r="P5" s="3679"/>
      <c r="Q5" s="3680"/>
      <c r="R5" s="3661"/>
      <c r="S5" s="3662"/>
      <c r="T5" s="3661"/>
      <c r="U5" s="3662"/>
      <c r="V5" s="3656"/>
      <c r="W5" s="3656"/>
      <c r="X5" s="3468"/>
      <c r="Y5" s="3661"/>
      <c r="Z5" s="3662"/>
      <c r="AA5" s="3654"/>
      <c r="AB5" s="3656"/>
      <c r="AC5" s="3654"/>
    </row>
    <row r="6" spans="1:29" ht="15.75" thickBot="1">
      <c r="A6" s="360"/>
      <c r="B6" s="361"/>
      <c r="C6" s="3667" t="s">
        <v>1677</v>
      </c>
      <c r="D6" s="3668"/>
      <c r="E6" s="3670" t="s">
        <v>1677</v>
      </c>
      <c r="F6" s="3671"/>
      <c r="G6" s="3667" t="s">
        <v>1677</v>
      </c>
      <c r="H6" s="3668"/>
      <c r="I6" s="3667" t="s">
        <v>1677</v>
      </c>
      <c r="J6" s="3668"/>
      <c r="K6" s="559" t="s">
        <v>1678</v>
      </c>
      <c r="L6" s="2715"/>
      <c r="M6" s="2716"/>
      <c r="N6" s="2716"/>
      <c r="O6" s="2716"/>
      <c r="P6" s="3681"/>
      <c r="Q6" s="3682"/>
      <c r="R6" s="3661"/>
      <c r="S6" s="3662"/>
      <c r="T6" s="3683"/>
      <c r="U6" s="3684"/>
      <c r="V6" s="3656"/>
      <c r="W6" s="3656"/>
      <c r="X6" s="3468"/>
      <c r="Y6" s="3683"/>
      <c r="Z6" s="3684"/>
      <c r="AA6" s="3655"/>
      <c r="AB6" s="3656"/>
      <c r="AC6" s="3655"/>
    </row>
    <row r="7" spans="1:29" s="108" customFormat="1" ht="15.75" thickBot="1">
      <c r="A7" s="362" t="s">
        <v>1679</v>
      </c>
      <c r="B7" s="363"/>
      <c r="C7" s="364">
        <f>'数据-取费表'!B2</f>
        <v>45148</v>
      </c>
      <c r="D7" s="365">
        <v>100</v>
      </c>
      <c r="E7" s="366">
        <f>C7</f>
        <v>45148</v>
      </c>
      <c r="F7" s="367">
        <f>SUMIF(58:58,YEAR(E7)&amp;"-"&amp;MONTH(E7),59:59)</f>
        <v>100</v>
      </c>
      <c r="G7" s="366">
        <f>C7</f>
        <v>45148</v>
      </c>
      <c r="H7" s="365">
        <f>SUMIF(58:58,YEAR(G7)&amp;"-"&amp;MONTH(G7),59:59)</f>
        <v>100</v>
      </c>
      <c r="I7" s="366">
        <f>C7</f>
        <v>45148</v>
      </c>
      <c r="J7" s="365">
        <f>SUMIF(58:58,YEAR(I7)&amp;"-"&amp;MONTH(I7),59:59)</f>
        <v>100</v>
      </c>
      <c r="K7" s="560"/>
      <c r="L7" s="2717"/>
      <c r="M7" s="2718"/>
      <c r="N7" s="2718"/>
      <c r="O7" s="2718"/>
      <c r="P7" s="3657" t="s">
        <v>1680</v>
      </c>
      <c r="Q7" s="3685"/>
      <c r="R7" s="701" t="s">
        <v>14</v>
      </c>
      <c r="S7" s="702">
        <f t="shared" ref="S7:S15" si="0">F7</f>
        <v>100</v>
      </c>
      <c r="T7" s="701" t="s">
        <v>14</v>
      </c>
      <c r="U7" s="702">
        <f t="shared" ref="U7:U15" si="1">H7</f>
        <v>100</v>
      </c>
      <c r="V7" s="701" t="s">
        <v>14</v>
      </c>
      <c r="W7" s="702">
        <f t="shared" ref="W7:W15" si="2">J7</f>
        <v>100</v>
      </c>
      <c r="X7" s="703"/>
      <c r="Y7" s="3657" t="s">
        <v>1680</v>
      </c>
      <c r="Z7" s="3658"/>
      <c r="AA7" s="704">
        <f>D7/F7</f>
        <v>1</v>
      </c>
      <c r="AB7" s="704">
        <f>D7/H7</f>
        <v>1</v>
      </c>
      <c r="AC7" s="704">
        <f>D7/J7</f>
        <v>1</v>
      </c>
    </row>
    <row r="8" spans="1:29" s="108" customFormat="1" ht="15.75" thickBot="1">
      <c r="A8" s="362" t="s">
        <v>1681</v>
      </c>
      <c r="B8" s="363"/>
      <c r="C8" s="368" t="s">
        <v>3426</v>
      </c>
      <c r="D8" s="365">
        <v>100</v>
      </c>
      <c r="E8" s="368" t="s">
        <v>3426</v>
      </c>
      <c r="F8" s="367">
        <f>SUMIF(61:61,E8,62:62)-SUMIF(61:61,C8,62:62)+100</f>
        <v>100</v>
      </c>
      <c r="G8" s="368" t="s">
        <v>3426</v>
      </c>
      <c r="H8" s="365">
        <f>SUMIF(61:61,G8,62:62)-SUMIF(61:61,C8,62:62)+100</f>
        <v>100</v>
      </c>
      <c r="I8" s="368" t="s">
        <v>3426</v>
      </c>
      <c r="J8" s="365">
        <f>SUMIF(61:61,I8,62:62)-SUMIF(61:61,C8,62:62)+100</f>
        <v>100</v>
      </c>
      <c r="K8" s="560"/>
      <c r="L8" s="2717"/>
      <c r="M8" s="2718"/>
      <c r="N8" s="2718"/>
      <c r="O8" s="2718"/>
      <c r="P8" s="3657" t="s">
        <v>1683</v>
      </c>
      <c r="Q8" s="3658"/>
      <c r="R8" s="701" t="s">
        <v>14</v>
      </c>
      <c r="S8" s="702">
        <f t="shared" si="0"/>
        <v>100</v>
      </c>
      <c r="T8" s="701" t="s">
        <v>14</v>
      </c>
      <c r="U8" s="702">
        <f t="shared" si="1"/>
        <v>100</v>
      </c>
      <c r="V8" s="701" t="s">
        <v>14</v>
      </c>
      <c r="W8" s="702">
        <f t="shared" si="2"/>
        <v>100</v>
      </c>
      <c r="X8" s="703"/>
      <c r="Y8" s="3657" t="s">
        <v>1683</v>
      </c>
      <c r="Z8" s="3658"/>
      <c r="AA8" s="704">
        <f t="shared" ref="AA8:AA46" si="3">D8/F8</f>
        <v>1</v>
      </c>
      <c r="AB8" s="704">
        <f t="shared" ref="AB8:AB46" si="4">D8/H8</f>
        <v>1</v>
      </c>
      <c r="AC8" s="704">
        <f t="shared" ref="AC8:AC46" si="5">D8/J8</f>
        <v>1</v>
      </c>
    </row>
    <row r="9" spans="1:29" s="108" customFormat="1" ht="15" thickBot="1">
      <c r="A9" s="369" t="s">
        <v>1684</v>
      </c>
      <c r="B9" s="63" t="s">
        <v>1685</v>
      </c>
      <c r="C9" s="3453" t="s">
        <v>3427</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72" t="s">
        <v>1686</v>
      </c>
      <c r="Q9" s="3463" t="str">
        <f t="shared" ref="Q9:Q15" si="6">B9</f>
        <v>用途</v>
      </c>
      <c r="R9" s="701" t="s">
        <v>14</v>
      </c>
      <c r="S9" s="702">
        <f t="shared" si="0"/>
        <v>100</v>
      </c>
      <c r="T9" s="701" t="s">
        <v>14</v>
      </c>
      <c r="U9" s="702">
        <f t="shared" si="1"/>
        <v>100</v>
      </c>
      <c r="V9" s="701" t="s">
        <v>14</v>
      </c>
      <c r="W9" s="702">
        <f t="shared" si="2"/>
        <v>100</v>
      </c>
      <c r="X9" s="703"/>
      <c r="Y9" s="3629" t="s">
        <v>1687</v>
      </c>
      <c r="Z9" s="3462" t="str">
        <f t="shared" ref="Z9:Z15" si="7">Q9</f>
        <v>用途</v>
      </c>
      <c r="AA9" s="704">
        <f t="shared" si="3"/>
        <v>1</v>
      </c>
      <c r="AB9" s="704">
        <f t="shared" si="4"/>
        <v>1</v>
      </c>
      <c r="AC9" s="704">
        <f t="shared" si="5"/>
        <v>1</v>
      </c>
    </row>
    <row r="10" spans="1:29" s="378" customFormat="1" ht="27.75" hidden="1" thickBot="1">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2"/>
      <c r="Q10" s="3463" t="str">
        <f t="shared" si="6"/>
        <v>土地使用年限（年）</v>
      </c>
      <c r="R10" s="701" t="s">
        <v>14</v>
      </c>
      <c r="S10" s="702">
        <f t="shared" si="0"/>
        <v>100</v>
      </c>
      <c r="T10" s="701" t="s">
        <v>14</v>
      </c>
      <c r="U10" s="702">
        <f t="shared" si="1"/>
        <v>100</v>
      </c>
      <c r="V10" s="701" t="s">
        <v>14</v>
      </c>
      <c r="W10" s="702">
        <f t="shared" si="2"/>
        <v>100</v>
      </c>
      <c r="X10" s="703"/>
      <c r="Y10" s="3629"/>
      <c r="Z10" s="3462" t="str">
        <f t="shared" si="7"/>
        <v>土地使用年限（年）</v>
      </c>
      <c r="AA10" s="704">
        <f t="shared" si="3"/>
        <v>1</v>
      </c>
      <c r="AB10" s="704">
        <f t="shared" si="4"/>
        <v>1</v>
      </c>
      <c r="AC10" s="704">
        <f t="shared" si="5"/>
        <v>1</v>
      </c>
    </row>
    <row r="11" spans="1:29" ht="15.75" hidden="1" thickBot="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561">
        <v>1</v>
      </c>
      <c r="L11" s="2721"/>
      <c r="M11" s="2716"/>
      <c r="N11" s="2716"/>
      <c r="O11" s="2716"/>
      <c r="P11" s="3672"/>
      <c r="Q11" s="3463" t="str">
        <f t="shared" si="6"/>
        <v>容积率</v>
      </c>
      <c r="R11" s="701" t="s">
        <v>14</v>
      </c>
      <c r="S11" s="702">
        <f t="shared" si="0"/>
        <v>100</v>
      </c>
      <c r="T11" s="701" t="s">
        <v>14</v>
      </c>
      <c r="U11" s="702">
        <f t="shared" si="1"/>
        <v>100</v>
      </c>
      <c r="V11" s="701" t="s">
        <v>14</v>
      </c>
      <c r="W11" s="702">
        <f t="shared" si="2"/>
        <v>100</v>
      </c>
      <c r="X11" s="703"/>
      <c r="Y11" s="3629"/>
      <c r="Z11" s="3462"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2"/>
      <c r="Q12" s="3463">
        <f t="shared" si="6"/>
        <v>111</v>
      </c>
      <c r="R12" s="701" t="s">
        <v>14</v>
      </c>
      <c r="S12" s="702">
        <f t="shared" si="0"/>
        <v>100</v>
      </c>
      <c r="T12" s="701" t="s">
        <v>14</v>
      </c>
      <c r="U12" s="702">
        <f t="shared" si="1"/>
        <v>100</v>
      </c>
      <c r="V12" s="701" t="s">
        <v>14</v>
      </c>
      <c r="W12" s="702">
        <f t="shared" si="2"/>
        <v>100</v>
      </c>
      <c r="X12" s="703"/>
      <c r="Y12" s="3629"/>
      <c r="Z12" s="3462">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2"/>
      <c r="Q13" s="3463">
        <f t="shared" si="6"/>
        <v>111</v>
      </c>
      <c r="R13" s="701" t="s">
        <v>14</v>
      </c>
      <c r="S13" s="702">
        <f t="shared" si="0"/>
        <v>100</v>
      </c>
      <c r="T13" s="701" t="s">
        <v>14</v>
      </c>
      <c r="U13" s="702">
        <f t="shared" si="1"/>
        <v>100</v>
      </c>
      <c r="V13" s="701" t="s">
        <v>14</v>
      </c>
      <c r="W13" s="702">
        <f t="shared" si="2"/>
        <v>100</v>
      </c>
      <c r="X13" s="703"/>
      <c r="Y13" s="3629"/>
      <c r="Z13" s="346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2"/>
      <c r="Q14" s="3463">
        <f t="shared" si="6"/>
        <v>111</v>
      </c>
      <c r="R14" s="701" t="s">
        <v>14</v>
      </c>
      <c r="S14" s="702">
        <f t="shared" si="0"/>
        <v>100</v>
      </c>
      <c r="T14" s="701" t="s">
        <v>14</v>
      </c>
      <c r="U14" s="702">
        <f t="shared" si="1"/>
        <v>100</v>
      </c>
      <c r="V14" s="701" t="s">
        <v>14</v>
      </c>
      <c r="W14" s="702">
        <f t="shared" si="2"/>
        <v>100</v>
      </c>
      <c r="X14" s="703"/>
      <c r="Y14" s="3629"/>
      <c r="Z14" s="346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2"/>
      <c r="M15" s="2716"/>
      <c r="N15" s="2716"/>
      <c r="O15" s="2716"/>
      <c r="P15" s="3686" t="s">
        <v>1691</v>
      </c>
      <c r="Q15" s="3464" t="str">
        <f t="shared" si="6"/>
        <v>商业繁华度</v>
      </c>
      <c r="R15" s="705" t="s">
        <v>14</v>
      </c>
      <c r="S15" s="706">
        <f t="shared" si="0"/>
        <v>100</v>
      </c>
      <c r="T15" s="705" t="s">
        <v>14</v>
      </c>
      <c r="U15" s="706">
        <f t="shared" si="1"/>
        <v>100</v>
      </c>
      <c r="V15" s="705" t="s">
        <v>14</v>
      </c>
      <c r="W15" s="706">
        <f t="shared" si="2"/>
        <v>100</v>
      </c>
      <c r="X15" s="3468"/>
      <c r="Y15" s="3688" t="s">
        <v>1691</v>
      </c>
      <c r="Z15" s="3467" t="str">
        <f t="shared" si="7"/>
        <v>商业繁华度</v>
      </c>
      <c r="AA15" s="3465">
        <f t="shared" si="3"/>
        <v>1</v>
      </c>
      <c r="AB15" s="3465">
        <f t="shared" si="4"/>
        <v>1</v>
      </c>
      <c r="AC15" s="3465">
        <f t="shared" si="5"/>
        <v>1</v>
      </c>
    </row>
    <row r="16" spans="1:29" ht="15">
      <c r="A16" s="379"/>
      <c r="B16" s="397"/>
      <c r="C16" s="398" t="s">
        <v>3404</v>
      </c>
      <c r="D16" s="399"/>
      <c r="E16" s="398" t="s">
        <v>3404</v>
      </c>
      <c r="F16" s="400"/>
      <c r="G16" s="398" t="s">
        <v>3404</v>
      </c>
      <c r="H16" s="401"/>
      <c r="I16" s="398" t="s">
        <v>3404</v>
      </c>
      <c r="J16" s="399"/>
      <c r="K16" s="564"/>
      <c r="L16" s="2722"/>
      <c r="M16" s="2716"/>
      <c r="N16" s="2716"/>
      <c r="O16" s="2716"/>
      <c r="P16" s="3687"/>
      <c r="Q16" s="3464"/>
      <c r="R16" s="705"/>
      <c r="S16" s="706"/>
      <c r="T16" s="705"/>
      <c r="U16" s="706"/>
      <c r="V16" s="705"/>
      <c r="W16" s="706"/>
      <c r="X16" s="3468"/>
      <c r="Y16" s="3689"/>
      <c r="Z16" s="3467"/>
      <c r="AA16" s="3465">
        <v>1</v>
      </c>
      <c r="AB16" s="3465">
        <v>1</v>
      </c>
      <c r="AC16" s="3465">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87"/>
      <c r="Q17" s="3464" t="str">
        <f>B17</f>
        <v>交通便捷度</v>
      </c>
      <c r="R17" s="705" t="s">
        <v>14</v>
      </c>
      <c r="S17" s="706">
        <f>F17</f>
        <v>100</v>
      </c>
      <c r="T17" s="705" t="s">
        <v>14</v>
      </c>
      <c r="U17" s="706">
        <f>H17</f>
        <v>100</v>
      </c>
      <c r="V17" s="705" t="s">
        <v>14</v>
      </c>
      <c r="W17" s="706">
        <f>J17</f>
        <v>100</v>
      </c>
      <c r="X17" s="3468"/>
      <c r="Y17" s="3689"/>
      <c r="Z17" s="3467" t="str">
        <f>Q17</f>
        <v>交通便捷度</v>
      </c>
      <c r="AA17" s="3465">
        <f t="shared" si="3"/>
        <v>1</v>
      </c>
      <c r="AB17" s="3465">
        <f t="shared" si="4"/>
        <v>1</v>
      </c>
      <c r="AC17" s="3465">
        <f t="shared" si="5"/>
        <v>1</v>
      </c>
    </row>
    <row r="18" spans="1:29" ht="15">
      <c r="A18" s="379"/>
      <c r="B18" s="407"/>
      <c r="C18" s="398" t="s">
        <v>3404</v>
      </c>
      <c r="D18" s="401"/>
      <c r="E18" s="398" t="s">
        <v>3404</v>
      </c>
      <c r="F18" s="404"/>
      <c r="G18" s="398" t="s">
        <v>3404</v>
      </c>
      <c r="H18" s="399"/>
      <c r="I18" s="398" t="s">
        <v>3404</v>
      </c>
      <c r="J18" s="399"/>
      <c r="K18" s="564"/>
      <c r="L18" s="2722"/>
      <c r="M18" s="2716"/>
      <c r="N18" s="2716"/>
      <c r="O18" s="2716"/>
      <c r="P18" s="3687"/>
      <c r="Q18" s="3464"/>
      <c r="R18" s="705"/>
      <c r="S18" s="706"/>
      <c r="T18" s="705"/>
      <c r="U18" s="706"/>
      <c r="V18" s="705"/>
      <c r="W18" s="706"/>
      <c r="X18" s="3468"/>
      <c r="Y18" s="3689"/>
      <c r="Z18" s="3467"/>
      <c r="AA18" s="3465">
        <v>1</v>
      </c>
      <c r="AB18" s="3465">
        <v>1</v>
      </c>
      <c r="AC18" s="3465">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87"/>
      <c r="Q19" s="3464" t="str">
        <f>B19</f>
        <v>公共配套设施</v>
      </c>
      <c r="R19" s="705" t="s">
        <v>14</v>
      </c>
      <c r="S19" s="706">
        <f>F19</f>
        <v>100</v>
      </c>
      <c r="T19" s="705" t="s">
        <v>14</v>
      </c>
      <c r="U19" s="706">
        <f>H19</f>
        <v>100</v>
      </c>
      <c r="V19" s="705" t="s">
        <v>14</v>
      </c>
      <c r="W19" s="706">
        <f>J19</f>
        <v>100</v>
      </c>
      <c r="X19" s="3468"/>
      <c r="Y19" s="3689"/>
      <c r="Z19" s="3467" t="str">
        <f>Q19</f>
        <v>公共配套设施</v>
      </c>
      <c r="AA19" s="3465">
        <f t="shared" si="3"/>
        <v>1</v>
      </c>
      <c r="AB19" s="3465">
        <f t="shared" si="4"/>
        <v>1</v>
      </c>
      <c r="AC19" s="3465">
        <f t="shared" si="5"/>
        <v>1</v>
      </c>
    </row>
    <row r="20" spans="1:29" ht="15">
      <c r="A20" s="379"/>
      <c r="B20" s="407"/>
      <c r="C20" s="398" t="s">
        <v>3404</v>
      </c>
      <c r="D20" s="399"/>
      <c r="E20" s="398" t="s">
        <v>3404</v>
      </c>
      <c r="F20" s="400"/>
      <c r="G20" s="398" t="s">
        <v>3404</v>
      </c>
      <c r="H20" s="399"/>
      <c r="I20" s="398" t="s">
        <v>3404</v>
      </c>
      <c r="J20" s="399"/>
      <c r="K20" s="564"/>
      <c r="L20" s="2722"/>
      <c r="M20" s="2716"/>
      <c r="N20" s="2716"/>
      <c r="O20" s="2716"/>
      <c r="P20" s="3687"/>
      <c r="Q20" s="3464"/>
      <c r="R20" s="705"/>
      <c r="S20" s="706"/>
      <c r="T20" s="705"/>
      <c r="U20" s="706"/>
      <c r="V20" s="705"/>
      <c r="W20" s="706"/>
      <c r="X20" s="3468"/>
      <c r="Y20" s="3689"/>
      <c r="Z20" s="3467"/>
      <c r="AA20" s="3465">
        <v>1</v>
      </c>
      <c r="AB20" s="3465">
        <v>1</v>
      </c>
      <c r="AC20" s="3465">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87"/>
      <c r="Q21" s="3464" t="str">
        <f>B21</f>
        <v>基础设施水平</v>
      </c>
      <c r="R21" s="705" t="s">
        <v>14</v>
      </c>
      <c r="S21" s="706">
        <f>F21</f>
        <v>100</v>
      </c>
      <c r="T21" s="705" t="s">
        <v>14</v>
      </c>
      <c r="U21" s="706">
        <f>H21</f>
        <v>100</v>
      </c>
      <c r="V21" s="705" t="s">
        <v>14</v>
      </c>
      <c r="W21" s="706">
        <f>J21</f>
        <v>100</v>
      </c>
      <c r="X21" s="3468"/>
      <c r="Y21" s="3689"/>
      <c r="Z21" s="3467" t="str">
        <f>Q21</f>
        <v>基础设施水平</v>
      </c>
      <c r="AA21" s="3465">
        <f t="shared" ref="AA21" si="8">D21/F21</f>
        <v>1</v>
      </c>
      <c r="AB21" s="3465">
        <f t="shared" ref="AB21" si="9">D21/H21</f>
        <v>1</v>
      </c>
      <c r="AC21" s="3465">
        <f t="shared" ref="AC21" si="10">D21/J21</f>
        <v>1</v>
      </c>
    </row>
    <row r="22" spans="1:29" ht="15">
      <c r="A22" s="379"/>
      <c r="B22" s="1131"/>
      <c r="C22" s="1901" t="s">
        <v>3477</v>
      </c>
      <c r="D22" s="399"/>
      <c r="E22" s="1901" t="s">
        <v>3477</v>
      </c>
      <c r="F22" s="400"/>
      <c r="G22" s="1901" t="s">
        <v>3477</v>
      </c>
      <c r="H22" s="399"/>
      <c r="I22" s="1901" t="s">
        <v>3477</v>
      </c>
      <c r="J22" s="399"/>
      <c r="K22" s="1130"/>
      <c r="L22" s="2722"/>
      <c r="M22" s="2716"/>
      <c r="N22" s="2716"/>
      <c r="O22" s="2716"/>
      <c r="P22" s="3687"/>
      <c r="Q22" s="3464"/>
      <c r="R22" s="705"/>
      <c r="S22" s="706"/>
      <c r="T22" s="705"/>
      <c r="U22" s="706"/>
      <c r="V22" s="705"/>
      <c r="W22" s="706"/>
      <c r="X22" s="3468"/>
      <c r="Y22" s="3689"/>
      <c r="Z22" s="3467"/>
      <c r="AA22" s="3465">
        <v>1</v>
      </c>
      <c r="AB22" s="3465">
        <v>1</v>
      </c>
      <c r="AC22" s="3465">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87"/>
      <c r="Q23" s="3464" t="str">
        <f>B23</f>
        <v>自然及人文环境</v>
      </c>
      <c r="R23" s="705" t="s">
        <v>14</v>
      </c>
      <c r="S23" s="706">
        <f>F23</f>
        <v>100</v>
      </c>
      <c r="T23" s="705" t="s">
        <v>14</v>
      </c>
      <c r="U23" s="706">
        <f>H23</f>
        <v>100</v>
      </c>
      <c r="V23" s="705" t="s">
        <v>14</v>
      </c>
      <c r="W23" s="706">
        <f>J23</f>
        <v>100</v>
      </c>
      <c r="X23" s="3468"/>
      <c r="Y23" s="3689"/>
      <c r="Z23" s="3467" t="str">
        <f>Q23</f>
        <v>自然及人文环境</v>
      </c>
      <c r="AA23" s="3465">
        <f t="shared" si="3"/>
        <v>1</v>
      </c>
      <c r="AB23" s="3465">
        <f t="shared" si="4"/>
        <v>1</v>
      </c>
      <c r="AC23" s="3465">
        <f t="shared" si="5"/>
        <v>1</v>
      </c>
    </row>
    <row r="24" spans="1:29" ht="15">
      <c r="A24" s="379"/>
      <c r="B24" s="407"/>
      <c r="C24" s="398" t="s">
        <v>3429</v>
      </c>
      <c r="D24" s="399"/>
      <c r="E24" s="398" t="s">
        <v>3429</v>
      </c>
      <c r="F24" s="400"/>
      <c r="G24" s="398" t="s">
        <v>3429</v>
      </c>
      <c r="H24" s="399"/>
      <c r="I24" s="398" t="s">
        <v>3429</v>
      </c>
      <c r="J24" s="399"/>
      <c r="K24" s="564"/>
      <c r="L24" s="2722"/>
      <c r="M24" s="2716"/>
      <c r="N24" s="2716"/>
      <c r="O24" s="2716"/>
      <c r="P24" s="3687"/>
      <c r="Q24" s="3464"/>
      <c r="R24" s="705"/>
      <c r="S24" s="706"/>
      <c r="T24" s="705"/>
      <c r="U24" s="706"/>
      <c r="V24" s="705"/>
      <c r="W24" s="706"/>
      <c r="X24" s="3468"/>
      <c r="Y24" s="3689"/>
      <c r="Z24" s="3467"/>
      <c r="AA24" s="3465">
        <v>1</v>
      </c>
      <c r="AB24" s="3465">
        <v>1</v>
      </c>
      <c r="AC24" s="3465">
        <v>1</v>
      </c>
    </row>
    <row r="25" spans="1:29" ht="15">
      <c r="A25" s="379"/>
      <c r="B25" s="375" t="s">
        <v>1780</v>
      </c>
      <c r="C25" s="565" t="s">
        <v>3432</v>
      </c>
      <c r="D25" s="386">
        <v>100</v>
      </c>
      <c r="E25" s="565" t="s">
        <v>3434</v>
      </c>
      <c r="F25" s="412">
        <f>SUMIF(86:86,E25,87:87)-SUMIF(86:86,C25,87:87)+100</f>
        <v>99</v>
      </c>
      <c r="G25" s="565" t="s">
        <v>3434</v>
      </c>
      <c r="H25" s="386">
        <f>SUMIF(86:86,G25,87:87)-SUMIF(86:86,C25,87:87)+100</f>
        <v>99</v>
      </c>
      <c r="I25" s="565" t="s">
        <v>3434</v>
      </c>
      <c r="J25" s="386">
        <f>SUMIF(86:86,I25,87:87)-SUMIF(86:86,C25,87:87)+100</f>
        <v>99</v>
      </c>
      <c r="K25" s="561">
        <v>1</v>
      </c>
      <c r="L25" s="2722"/>
      <c r="M25" s="2716"/>
      <c r="N25" s="2716"/>
      <c r="O25" s="2716"/>
      <c r="P25" s="3687"/>
      <c r="Q25" s="3464" t="str">
        <f t="shared" ref="Q25:Q46" si="11">B25</f>
        <v>临街状况</v>
      </c>
      <c r="R25" s="705" t="s">
        <v>14</v>
      </c>
      <c r="S25" s="706">
        <f>F25</f>
        <v>99</v>
      </c>
      <c r="T25" s="705" t="s">
        <v>14</v>
      </c>
      <c r="U25" s="706">
        <f>H25</f>
        <v>99</v>
      </c>
      <c r="V25" s="705" t="s">
        <v>14</v>
      </c>
      <c r="W25" s="706">
        <f>J25</f>
        <v>99</v>
      </c>
      <c r="X25" s="3468"/>
      <c r="Y25" s="3689"/>
      <c r="Z25" s="3467" t="str">
        <f>Q25</f>
        <v>临街状况</v>
      </c>
      <c r="AA25" s="3465">
        <f t="shared" si="3"/>
        <v>1.0101010101010102</v>
      </c>
      <c r="AB25" s="3465">
        <f t="shared" si="4"/>
        <v>1.0101010101010102</v>
      </c>
      <c r="AC25" s="3465">
        <f t="shared" si="5"/>
        <v>1.0101010101010102</v>
      </c>
    </row>
    <row r="26" spans="1:29" ht="15">
      <c r="A26" s="379"/>
      <c r="B26" s="1133" t="s">
        <v>1781</v>
      </c>
      <c r="C26" s="3457" t="s">
        <v>3439</v>
      </c>
      <c r="D26" s="386">
        <v>100</v>
      </c>
      <c r="E26" s="3457" t="s">
        <v>3439</v>
      </c>
      <c r="F26" s="412">
        <f>SUMIF(88:88,E26,89:89)-SUMIF(88:88,C26,89:89)+100</f>
        <v>100</v>
      </c>
      <c r="G26" s="3457" t="s">
        <v>3439</v>
      </c>
      <c r="H26" s="386">
        <f>SUMIF(88:88,G26,89:89)-SUMIF(88:88,C26,89:89)+100</f>
        <v>100</v>
      </c>
      <c r="I26" s="3457" t="s">
        <v>3439</v>
      </c>
      <c r="J26" s="386">
        <f>SUMIF(88:88,I26,89:89)-SUMIF(88:88,C26,89:89)+100</f>
        <v>100</v>
      </c>
      <c r="K26" s="562"/>
      <c r="L26" s="2722"/>
      <c r="M26" s="2716"/>
      <c r="N26" s="2716"/>
      <c r="O26" s="2716"/>
      <c r="P26" s="3687"/>
      <c r="Q26" s="3464" t="str">
        <f t="shared" si="11"/>
        <v>平面位置/可视性</v>
      </c>
      <c r="R26" s="705" t="s">
        <v>14</v>
      </c>
      <c r="S26" s="706">
        <f>F26</f>
        <v>100</v>
      </c>
      <c r="T26" s="705" t="s">
        <v>14</v>
      </c>
      <c r="U26" s="706">
        <f>H26</f>
        <v>100</v>
      </c>
      <c r="V26" s="705" t="s">
        <v>14</v>
      </c>
      <c r="W26" s="706">
        <f>J26</f>
        <v>100</v>
      </c>
      <c r="X26" s="3468"/>
      <c r="Y26" s="3689"/>
      <c r="Z26" s="3467" t="str">
        <f>Q26</f>
        <v>平面位置/可视性</v>
      </c>
      <c r="AA26" s="3465">
        <f t="shared" si="3"/>
        <v>1</v>
      </c>
      <c r="AB26" s="3465">
        <f t="shared" si="4"/>
        <v>1</v>
      </c>
      <c r="AC26" s="3465">
        <f t="shared" si="5"/>
        <v>1</v>
      </c>
    </row>
    <row r="27" spans="1:29" s="108" customFormat="1" ht="15">
      <c r="A27" s="382"/>
      <c r="B27" s="402" t="s">
        <v>1782</v>
      </c>
      <c r="C27" s="1956" t="s">
        <v>3404</v>
      </c>
      <c r="D27" s="413">
        <v>100</v>
      </c>
      <c r="E27" s="1956" t="s">
        <v>3404</v>
      </c>
      <c r="F27" s="415">
        <f>SUMIF(90:90,E27,91:91)-SUMIF(90:90,C27,91:91)+100</f>
        <v>100</v>
      </c>
      <c r="G27" s="1956" t="s">
        <v>3404</v>
      </c>
      <c r="H27" s="413">
        <f>SUMIF(90:90,G27,91:91)-SUMIF(90:90,C27,91:91)+100</f>
        <v>100</v>
      </c>
      <c r="I27" s="1956" t="s">
        <v>3404</v>
      </c>
      <c r="J27" s="413">
        <f>SUMIF(90:90,I27,91:91)-SUMIF(90:90,C27,91:91)+100</f>
        <v>100</v>
      </c>
      <c r="K27" s="561">
        <v>2</v>
      </c>
      <c r="L27" s="2717"/>
      <c r="M27" s="2718"/>
      <c r="N27" s="2718"/>
      <c r="O27" s="2718"/>
      <c r="P27" s="3687"/>
      <c r="Q27" s="3463" t="str">
        <f t="shared" si="11"/>
        <v>人流量</v>
      </c>
      <c r="R27" s="701" t="s">
        <v>14</v>
      </c>
      <c r="S27" s="702">
        <f>F27</f>
        <v>100</v>
      </c>
      <c r="T27" s="701" t="s">
        <v>14</v>
      </c>
      <c r="U27" s="702">
        <f>H27</f>
        <v>100</v>
      </c>
      <c r="V27" s="701" t="s">
        <v>14</v>
      </c>
      <c r="W27" s="702">
        <f>J27</f>
        <v>100</v>
      </c>
      <c r="X27" s="703"/>
      <c r="Y27" s="3689"/>
      <c r="Z27" s="3462" t="str">
        <f>Q27</f>
        <v>人流量</v>
      </c>
      <c r="AA27" s="3465">
        <f>D27/F27</f>
        <v>1</v>
      </c>
      <c r="AB27" s="3465">
        <f>D27/H27</f>
        <v>1</v>
      </c>
      <c r="AC27" s="3465">
        <f>D27/J27</f>
        <v>1</v>
      </c>
    </row>
    <row r="28" spans="1:29" ht="15.75" thickBot="1">
      <c r="A28" s="379"/>
      <c r="B28" s="375" t="s">
        <v>1783</v>
      </c>
      <c r="C28" s="565" t="s">
        <v>3460</v>
      </c>
      <c r="D28" s="386">
        <v>100</v>
      </c>
      <c r="E28" s="565" t="s">
        <v>3460</v>
      </c>
      <c r="F28" s="412">
        <f>SUMIF(92:92,E28,93:93)-SUMIF(92:92,C28,93:93)+100</f>
        <v>100</v>
      </c>
      <c r="G28" s="565" t="s">
        <v>3460</v>
      </c>
      <c r="H28" s="386">
        <f>SUMIF(92:92,G28,93:93)-SUMIF(92:92,C28,93:93)+100</f>
        <v>100</v>
      </c>
      <c r="I28" s="565" t="s">
        <v>3460</v>
      </c>
      <c r="J28" s="386">
        <f>SUMIF(92:92,I28,93:93)-SUMIF(92:92,C28,93:93)+100</f>
        <v>100</v>
      </c>
      <c r="K28" s="562"/>
      <c r="L28" s="2722"/>
      <c r="M28" s="2716"/>
      <c r="N28" s="2716"/>
      <c r="O28" s="2716"/>
      <c r="P28" s="3687"/>
      <c r="Q28" s="3464" t="str">
        <f t="shared" si="11"/>
        <v>楼层</v>
      </c>
      <c r="R28" s="705" t="s">
        <v>14</v>
      </c>
      <c r="S28" s="706">
        <f t="shared" ref="S28:S46" si="12">F28</f>
        <v>100</v>
      </c>
      <c r="T28" s="705" t="s">
        <v>14</v>
      </c>
      <c r="U28" s="706">
        <f t="shared" ref="U28:U46" si="13">H28</f>
        <v>100</v>
      </c>
      <c r="V28" s="705" t="s">
        <v>14</v>
      </c>
      <c r="W28" s="706">
        <f t="shared" ref="W28:W46" si="14">J28</f>
        <v>100</v>
      </c>
      <c r="X28" s="3468"/>
      <c r="Y28" s="3689"/>
      <c r="Z28" s="3467" t="str">
        <f t="shared" ref="Z28:Z46" si="15">Q28</f>
        <v>楼层</v>
      </c>
      <c r="AA28" s="3465">
        <f t="shared" si="3"/>
        <v>1</v>
      </c>
      <c r="AB28" s="3465">
        <f t="shared" si="4"/>
        <v>1</v>
      </c>
      <c r="AC28" s="3465">
        <f t="shared" si="5"/>
        <v>1</v>
      </c>
    </row>
    <row r="29" spans="1:29" ht="15.75" hidden="1" thickBot="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7"/>
      <c r="Q29" s="3464">
        <f t="shared" si="11"/>
        <v>111</v>
      </c>
      <c r="R29" s="705" t="s">
        <v>14</v>
      </c>
      <c r="S29" s="706">
        <f t="shared" si="12"/>
        <v>100</v>
      </c>
      <c r="T29" s="705" t="s">
        <v>14</v>
      </c>
      <c r="U29" s="706">
        <f t="shared" si="13"/>
        <v>100</v>
      </c>
      <c r="V29" s="705" t="s">
        <v>14</v>
      </c>
      <c r="W29" s="706">
        <f t="shared" si="14"/>
        <v>100</v>
      </c>
      <c r="X29" s="3468"/>
      <c r="Y29" s="3689"/>
      <c r="Z29" s="3467">
        <f t="shared" si="15"/>
        <v>111</v>
      </c>
      <c r="AA29" s="3465">
        <f t="shared" si="3"/>
        <v>1</v>
      </c>
      <c r="AB29" s="3465">
        <f t="shared" si="4"/>
        <v>1</v>
      </c>
      <c r="AC29" s="3465">
        <f t="shared" si="5"/>
        <v>1</v>
      </c>
    </row>
    <row r="30" spans="1:29" ht="15.75" hidden="1" thickBot="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7"/>
      <c r="Q30" s="3464">
        <f t="shared" si="11"/>
        <v>111</v>
      </c>
      <c r="R30" s="705" t="s">
        <v>14</v>
      </c>
      <c r="S30" s="706">
        <f t="shared" si="12"/>
        <v>100</v>
      </c>
      <c r="T30" s="705" t="s">
        <v>14</v>
      </c>
      <c r="U30" s="706">
        <f t="shared" si="13"/>
        <v>100</v>
      </c>
      <c r="V30" s="705" t="s">
        <v>14</v>
      </c>
      <c r="W30" s="706">
        <f t="shared" si="14"/>
        <v>100</v>
      </c>
      <c r="X30" s="3468"/>
      <c r="Y30" s="3689"/>
      <c r="Z30" s="3467">
        <f t="shared" si="15"/>
        <v>111</v>
      </c>
      <c r="AA30" s="3465">
        <f t="shared" si="3"/>
        <v>1</v>
      </c>
      <c r="AB30" s="3465">
        <f t="shared" si="4"/>
        <v>1</v>
      </c>
      <c r="AC30" s="3465">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7"/>
      <c r="Q31" s="3464">
        <f t="shared" si="11"/>
        <v>111</v>
      </c>
      <c r="R31" s="705" t="s">
        <v>14</v>
      </c>
      <c r="S31" s="706">
        <f t="shared" si="12"/>
        <v>100</v>
      </c>
      <c r="T31" s="705" t="s">
        <v>14</v>
      </c>
      <c r="U31" s="706">
        <f t="shared" si="13"/>
        <v>100</v>
      </c>
      <c r="V31" s="705" t="s">
        <v>14</v>
      </c>
      <c r="W31" s="706">
        <f t="shared" si="14"/>
        <v>100</v>
      </c>
      <c r="X31" s="3468"/>
      <c r="Y31" s="3689"/>
      <c r="Z31" s="3467">
        <f t="shared" si="15"/>
        <v>111</v>
      </c>
      <c r="AA31" s="3465">
        <f t="shared" si="3"/>
        <v>1</v>
      </c>
      <c r="AB31" s="3465">
        <f t="shared" si="4"/>
        <v>1</v>
      </c>
      <c r="AC31" s="3465">
        <f t="shared" si="5"/>
        <v>1</v>
      </c>
    </row>
    <row r="32" spans="1:29" ht="15">
      <c r="A32" s="391" t="s">
        <v>1694</v>
      </c>
      <c r="B32" s="63" t="s">
        <v>1784</v>
      </c>
      <c r="C32" s="1910" t="s">
        <v>3444</v>
      </c>
      <c r="D32" s="418">
        <v>100</v>
      </c>
      <c r="E32" s="1910" t="s">
        <v>3444</v>
      </c>
      <c r="F32" s="412">
        <f>SUMIF(100:100,E32,101:101)-SUMIF(100:100,C32,101:101)+100</f>
        <v>100</v>
      </c>
      <c r="G32" s="1910" t="s">
        <v>3444</v>
      </c>
      <c r="H32" s="386">
        <f>SUMIF(100:100,G32,101:101)-SUMIF(100:100,C32,101:101)+100</f>
        <v>100</v>
      </c>
      <c r="I32" s="1910" t="s">
        <v>3444</v>
      </c>
      <c r="J32" s="418">
        <f>SUMIF(100:100,I32,101:101)-SUMIF(100:100,C32,101:101)+100</f>
        <v>100</v>
      </c>
      <c r="K32" s="561"/>
      <c r="L32" s="2722"/>
      <c r="M32" s="2716"/>
      <c r="N32" s="2716"/>
      <c r="O32" s="2716"/>
      <c r="P32" s="3690" t="s">
        <v>1696</v>
      </c>
      <c r="Q32" s="3464" t="str">
        <f t="shared" si="11"/>
        <v>商业类型</v>
      </c>
      <c r="R32" s="705" t="s">
        <v>14</v>
      </c>
      <c r="S32" s="706">
        <f t="shared" si="12"/>
        <v>100</v>
      </c>
      <c r="T32" s="705" t="s">
        <v>14</v>
      </c>
      <c r="U32" s="706">
        <f t="shared" si="13"/>
        <v>100</v>
      </c>
      <c r="V32" s="705" t="s">
        <v>14</v>
      </c>
      <c r="W32" s="706">
        <f t="shared" si="14"/>
        <v>100</v>
      </c>
      <c r="X32" s="3468"/>
      <c r="Y32" s="3693" t="s">
        <v>1696</v>
      </c>
      <c r="Z32" s="3467" t="str">
        <f t="shared" si="15"/>
        <v>商业类型</v>
      </c>
      <c r="AA32" s="3465">
        <f t="shared" si="3"/>
        <v>1</v>
      </c>
      <c r="AB32" s="3465">
        <f t="shared" si="4"/>
        <v>1</v>
      </c>
      <c r="AC32" s="3465">
        <f t="shared" si="5"/>
        <v>1</v>
      </c>
    </row>
    <row r="33" spans="1:29" s="422" customFormat="1" ht="15">
      <c r="A33" s="419"/>
      <c r="B33" s="375" t="s">
        <v>1697</v>
      </c>
      <c r="C33" s="420">
        <f>'比较法-商业'!C33</f>
        <v>1189.08</v>
      </c>
      <c r="D33" s="127">
        <v>100</v>
      </c>
      <c r="E33" s="381">
        <v>1735</v>
      </c>
      <c r="F33" s="376">
        <f>LOOKUP(E33,103:103,104:104)-LOOKUP(C33,103:103,104:104)+100</f>
        <v>100</v>
      </c>
      <c r="G33" s="380">
        <v>60</v>
      </c>
      <c r="H33" s="127">
        <f>LOOKUP(G33,103:103,104:104)-LOOKUP(C33,103:103,104:104)+100</f>
        <v>98</v>
      </c>
      <c r="I33" s="380">
        <v>40</v>
      </c>
      <c r="J33" s="127">
        <f>LOOKUP(I33,103:103,104:104)-LOOKUP(C33,103:103,104:104)+100</f>
        <v>98</v>
      </c>
      <c r="K33" s="562"/>
      <c r="L33" s="2721"/>
      <c r="M33" s="2723"/>
      <c r="N33" s="2723"/>
      <c r="O33" s="2723"/>
      <c r="P33" s="3691"/>
      <c r="Q33" s="707" t="str">
        <f t="shared" si="11"/>
        <v>项目建筑规模</v>
      </c>
      <c r="R33" s="708" t="s">
        <v>14</v>
      </c>
      <c r="S33" s="709">
        <f t="shared" si="12"/>
        <v>100</v>
      </c>
      <c r="T33" s="708" t="s">
        <v>14</v>
      </c>
      <c r="U33" s="709">
        <f t="shared" si="13"/>
        <v>98</v>
      </c>
      <c r="V33" s="708" t="s">
        <v>14</v>
      </c>
      <c r="W33" s="709">
        <f t="shared" si="14"/>
        <v>98</v>
      </c>
      <c r="X33" s="710"/>
      <c r="Y33" s="3693"/>
      <c r="Z33" s="711" t="str">
        <f t="shared" si="15"/>
        <v>项目建筑规模</v>
      </c>
      <c r="AA33" s="3465">
        <f t="shared" si="3"/>
        <v>1</v>
      </c>
      <c r="AB33" s="3465">
        <f t="shared" si="4"/>
        <v>1.0204081632653061</v>
      </c>
      <c r="AC33" s="3465">
        <f t="shared" si="5"/>
        <v>1.0204081632653061</v>
      </c>
    </row>
    <row r="34" spans="1:29" ht="15">
      <c r="A34" s="423"/>
      <c r="B34" s="375" t="s">
        <v>1698</v>
      </c>
      <c r="C34" s="1912" t="s">
        <v>3407</v>
      </c>
      <c r="D34" s="386">
        <v>100</v>
      </c>
      <c r="E34" s="1912" t="s">
        <v>3407</v>
      </c>
      <c r="F34" s="412">
        <f>SUMIF(105:105,E34,106:106)-SUMIF(105:105,C34,106:106)+100</f>
        <v>100</v>
      </c>
      <c r="G34" s="1912" t="s">
        <v>3407</v>
      </c>
      <c r="H34" s="386">
        <f>SUMIF(105:105,G34,106:106)-SUMIF(105:105,C34,106:106)+100</f>
        <v>100</v>
      </c>
      <c r="I34" s="1912" t="s">
        <v>3407</v>
      </c>
      <c r="J34" s="386">
        <f>SUMIF(105:105,I34,106:106)-SUMIF(105:105,C34,106:106)+100</f>
        <v>100</v>
      </c>
      <c r="K34" s="561">
        <v>2</v>
      </c>
      <c r="L34" s="2722"/>
      <c r="M34" s="2716"/>
      <c r="N34" s="2716"/>
      <c r="O34" s="2716"/>
      <c r="P34" s="3691"/>
      <c r="Q34" s="3464" t="str">
        <f t="shared" si="11"/>
        <v>建筑结构</v>
      </c>
      <c r="R34" s="705" t="s">
        <v>14</v>
      </c>
      <c r="S34" s="706">
        <f t="shared" si="12"/>
        <v>100</v>
      </c>
      <c r="T34" s="705" t="s">
        <v>14</v>
      </c>
      <c r="U34" s="706">
        <f t="shared" si="13"/>
        <v>100</v>
      </c>
      <c r="V34" s="705" t="s">
        <v>14</v>
      </c>
      <c r="W34" s="706">
        <f t="shared" si="14"/>
        <v>100</v>
      </c>
      <c r="X34" s="3468"/>
      <c r="Y34" s="3693"/>
      <c r="Z34" s="3467" t="str">
        <f t="shared" si="15"/>
        <v>建筑结构</v>
      </c>
      <c r="AA34" s="3465">
        <f t="shared" si="3"/>
        <v>1</v>
      </c>
      <c r="AB34" s="3465">
        <f t="shared" si="4"/>
        <v>1</v>
      </c>
      <c r="AC34" s="3465">
        <f t="shared" si="5"/>
        <v>1</v>
      </c>
    </row>
    <row r="35" spans="1:29" ht="15">
      <c r="A35" s="423"/>
      <c r="B35" s="375" t="s">
        <v>1785</v>
      </c>
      <c r="C35" s="1906" t="s">
        <v>3448</v>
      </c>
      <c r="D35" s="386">
        <v>100</v>
      </c>
      <c r="E35" s="1906" t="s">
        <v>3448</v>
      </c>
      <c r="F35" s="412">
        <f>SUMIF(107:107,E35,108:108)-SUMIF(107:107,C35,108:108)+100</f>
        <v>100</v>
      </c>
      <c r="G35" s="1906" t="s">
        <v>3448</v>
      </c>
      <c r="H35" s="386">
        <f>SUMIF(107:107,G35,108:108)-SUMIF(107:107,C35,108:108)+100</f>
        <v>100</v>
      </c>
      <c r="I35" s="1906" t="s">
        <v>3448</v>
      </c>
      <c r="J35" s="386">
        <f>SUMIF(107:107,I35,108:108)-SUMIF(107:107,C35,108:108)+100</f>
        <v>100</v>
      </c>
      <c r="K35" s="561">
        <v>2</v>
      </c>
      <c r="L35" s="2722"/>
      <c r="M35" s="2716"/>
      <c r="N35" s="2716"/>
      <c r="O35" s="2716"/>
      <c r="P35" s="3691"/>
      <c r="Q35" s="3464" t="str">
        <f t="shared" si="11"/>
        <v>公共部分装修</v>
      </c>
      <c r="R35" s="705" t="s">
        <v>14</v>
      </c>
      <c r="S35" s="706">
        <f t="shared" si="12"/>
        <v>100</v>
      </c>
      <c r="T35" s="705" t="s">
        <v>14</v>
      </c>
      <c r="U35" s="706">
        <f t="shared" si="13"/>
        <v>100</v>
      </c>
      <c r="V35" s="705" t="s">
        <v>14</v>
      </c>
      <c r="W35" s="706">
        <f t="shared" si="14"/>
        <v>100</v>
      </c>
      <c r="X35" s="3468"/>
      <c r="Y35" s="3693"/>
      <c r="Z35" s="3467" t="str">
        <f t="shared" si="15"/>
        <v>公共部分装修</v>
      </c>
      <c r="AA35" s="3465">
        <f t="shared" si="3"/>
        <v>1</v>
      </c>
      <c r="AB35" s="3465">
        <f t="shared" si="4"/>
        <v>1</v>
      </c>
      <c r="AC35" s="3465">
        <f t="shared" si="5"/>
        <v>1</v>
      </c>
    </row>
    <row r="36" spans="1:29" ht="15">
      <c r="A36" s="423"/>
      <c r="B36" s="375" t="s">
        <v>1786</v>
      </c>
      <c r="C36" s="425">
        <f>'数据-取费表'!N6</f>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v>1</v>
      </c>
      <c r="L36" s="2722"/>
      <c r="M36" s="2716"/>
      <c r="N36" s="2716"/>
      <c r="O36" s="2716"/>
      <c r="P36" s="3691"/>
      <c r="Q36" s="3464" t="str">
        <f t="shared" si="11"/>
        <v>成新度</v>
      </c>
      <c r="R36" s="705" t="s">
        <v>14</v>
      </c>
      <c r="S36" s="706">
        <f t="shared" si="12"/>
        <v>100</v>
      </c>
      <c r="T36" s="705" t="s">
        <v>14</v>
      </c>
      <c r="U36" s="706">
        <f t="shared" si="13"/>
        <v>100</v>
      </c>
      <c r="V36" s="705" t="s">
        <v>14</v>
      </c>
      <c r="W36" s="706">
        <f t="shared" si="14"/>
        <v>100</v>
      </c>
      <c r="X36" s="3468"/>
      <c r="Y36" s="3693"/>
      <c r="Z36" s="3467" t="str">
        <f t="shared" si="15"/>
        <v>成新度</v>
      </c>
      <c r="AA36" s="3465">
        <f t="shared" si="3"/>
        <v>1</v>
      </c>
      <c r="AB36" s="3465">
        <f t="shared" si="4"/>
        <v>1</v>
      </c>
      <c r="AC36" s="3465">
        <f t="shared" si="5"/>
        <v>1</v>
      </c>
    </row>
    <row r="37" spans="1:29" s="108" customFormat="1" ht="15">
      <c r="A37" s="424"/>
      <c r="B37" s="375" t="s">
        <v>1787</v>
      </c>
      <c r="C37" s="1906" t="s">
        <v>3452</v>
      </c>
      <c r="D37" s="127">
        <v>100</v>
      </c>
      <c r="E37" s="1906" t="s">
        <v>3428</v>
      </c>
      <c r="F37" s="412">
        <f>SUMIF(112:112,E37,113:113)-SUMIF(112:112,C37,113:113)+100</f>
        <v>99</v>
      </c>
      <c r="G37" s="1906" t="s">
        <v>3428</v>
      </c>
      <c r="H37" s="386">
        <f>SUMIF(112:112,G37,113:113)-SUMIF(112:112,C37,113:113)+100</f>
        <v>99</v>
      </c>
      <c r="I37" s="1906" t="s">
        <v>3428</v>
      </c>
      <c r="J37" s="386">
        <f>SUMIF(112:112,I37,113:113)-SUMIF(112:112,C37,113:113)+100</f>
        <v>99</v>
      </c>
      <c r="K37" s="561">
        <v>1</v>
      </c>
      <c r="L37" s="2717"/>
      <c r="M37" s="2718"/>
      <c r="N37" s="2718"/>
      <c r="O37" s="2718"/>
      <c r="P37" s="3691"/>
      <c r="Q37" s="3463" t="str">
        <f t="shared" si="11"/>
        <v>市政基础设施</v>
      </c>
      <c r="R37" s="701" t="s">
        <v>14</v>
      </c>
      <c r="S37" s="702">
        <f t="shared" si="12"/>
        <v>99</v>
      </c>
      <c r="T37" s="701" t="s">
        <v>14</v>
      </c>
      <c r="U37" s="702">
        <f t="shared" si="13"/>
        <v>99</v>
      </c>
      <c r="V37" s="701" t="s">
        <v>14</v>
      </c>
      <c r="W37" s="702">
        <f t="shared" si="14"/>
        <v>99</v>
      </c>
      <c r="X37" s="703"/>
      <c r="Y37" s="3693"/>
      <c r="Z37" s="3462" t="str">
        <f t="shared" si="15"/>
        <v>市政基础设施</v>
      </c>
      <c r="AA37" s="704">
        <f t="shared" si="3"/>
        <v>1.0101010101010102</v>
      </c>
      <c r="AB37" s="704">
        <f t="shared" si="4"/>
        <v>1.0101010101010102</v>
      </c>
      <c r="AC37" s="704">
        <f t="shared" si="5"/>
        <v>1.0101010101010102</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1" t="s">
        <v>1696</v>
      </c>
      <c r="Q38" s="3464" t="str">
        <f t="shared" si="11"/>
        <v>业态</v>
      </c>
      <c r="R38" s="705" t="s">
        <v>14</v>
      </c>
      <c r="S38" s="706">
        <f t="shared" si="12"/>
        <v>100</v>
      </c>
      <c r="T38" s="705" t="s">
        <v>14</v>
      </c>
      <c r="U38" s="706">
        <f t="shared" si="13"/>
        <v>100</v>
      </c>
      <c r="V38" s="705" t="s">
        <v>14</v>
      </c>
      <c r="W38" s="706">
        <f t="shared" si="14"/>
        <v>100</v>
      </c>
      <c r="X38" s="3468"/>
      <c r="Y38" s="3693" t="s">
        <v>1696</v>
      </c>
      <c r="Z38" s="3467" t="str">
        <f t="shared" si="15"/>
        <v>业态</v>
      </c>
      <c r="AA38" s="3465">
        <f t="shared" si="3"/>
        <v>1</v>
      </c>
      <c r="AB38" s="3465">
        <f t="shared" si="4"/>
        <v>1</v>
      </c>
      <c r="AC38" s="3465">
        <f t="shared" si="5"/>
        <v>1</v>
      </c>
    </row>
    <row r="39" spans="1:29" ht="15">
      <c r="A39" s="423"/>
      <c r="B39" s="375" t="s">
        <v>1789</v>
      </c>
      <c r="C39" s="1906" t="s">
        <v>3455</v>
      </c>
      <c r="D39" s="386">
        <v>100</v>
      </c>
      <c r="E39" s="1906" t="s">
        <v>3455</v>
      </c>
      <c r="F39" s="412">
        <f>SUMIF(116:116,E39,117:117)-SUMIF(116:116,C39,117:117)+100</f>
        <v>100</v>
      </c>
      <c r="G39" s="1906" t="s">
        <v>3455</v>
      </c>
      <c r="H39" s="386">
        <f>SUMIF(116:116,G39,117:117)-SUMIF(116:116,C39,117:117)+100</f>
        <v>100</v>
      </c>
      <c r="I39" s="1906" t="s">
        <v>3455</v>
      </c>
      <c r="J39" s="386">
        <f>SUMIF(116:116,I39,117:117)-SUMIF(116:116,C39,117:117)+100</f>
        <v>100</v>
      </c>
      <c r="K39" s="561">
        <v>2</v>
      </c>
      <c r="L39" s="2722"/>
      <c r="M39" s="2716"/>
      <c r="N39" s="2716"/>
      <c r="O39" s="2716"/>
      <c r="P39" s="3691"/>
      <c r="Q39" s="3464" t="str">
        <f t="shared" si="11"/>
        <v>层高</v>
      </c>
      <c r="R39" s="705" t="s">
        <v>14</v>
      </c>
      <c r="S39" s="706">
        <f t="shared" si="12"/>
        <v>100</v>
      </c>
      <c r="T39" s="705" t="s">
        <v>14</v>
      </c>
      <c r="U39" s="706">
        <f t="shared" si="13"/>
        <v>100</v>
      </c>
      <c r="V39" s="705" t="s">
        <v>14</v>
      </c>
      <c r="W39" s="706">
        <f t="shared" si="14"/>
        <v>100</v>
      </c>
      <c r="X39" s="3468"/>
      <c r="Y39" s="3693"/>
      <c r="Z39" s="3467" t="str">
        <f t="shared" si="15"/>
        <v>层高</v>
      </c>
      <c r="AA39" s="3465">
        <f t="shared" si="3"/>
        <v>1</v>
      </c>
      <c r="AB39" s="3465">
        <f t="shared" si="4"/>
        <v>1</v>
      </c>
      <c r="AC39" s="3465">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1"/>
      <c r="Q40" s="3464" t="str">
        <f t="shared" si="11"/>
        <v>单套建筑面积</v>
      </c>
      <c r="R40" s="705" t="s">
        <v>14</v>
      </c>
      <c r="S40" s="706">
        <f t="shared" si="12"/>
        <v>100</v>
      </c>
      <c r="T40" s="705" t="s">
        <v>14</v>
      </c>
      <c r="U40" s="706">
        <f t="shared" si="13"/>
        <v>100</v>
      </c>
      <c r="V40" s="705" t="s">
        <v>14</v>
      </c>
      <c r="W40" s="706">
        <f t="shared" si="14"/>
        <v>100</v>
      </c>
      <c r="X40" s="3468"/>
      <c r="Y40" s="3693"/>
      <c r="Z40" s="3467" t="str">
        <f t="shared" si="15"/>
        <v>单套建筑面积</v>
      </c>
      <c r="AA40" s="3465">
        <f t="shared" si="3"/>
        <v>1</v>
      </c>
      <c r="AB40" s="3465">
        <f t="shared" si="4"/>
        <v>1</v>
      </c>
      <c r="AC40" s="3465">
        <f t="shared" si="5"/>
        <v>1</v>
      </c>
    </row>
    <row r="41" spans="1:29" s="422" customFormat="1" ht="15">
      <c r="A41" s="419"/>
      <c r="B41" s="3466"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1"/>
      <c r="Q41" s="707" t="str">
        <f t="shared" si="11"/>
        <v>进深比</v>
      </c>
      <c r="R41" s="708" t="s">
        <v>14</v>
      </c>
      <c r="S41" s="709">
        <f t="shared" si="12"/>
        <v>100</v>
      </c>
      <c r="T41" s="708" t="s">
        <v>14</v>
      </c>
      <c r="U41" s="709">
        <f t="shared" si="13"/>
        <v>100</v>
      </c>
      <c r="V41" s="708" t="s">
        <v>14</v>
      </c>
      <c r="W41" s="709">
        <f t="shared" si="14"/>
        <v>100</v>
      </c>
      <c r="X41" s="710"/>
      <c r="Y41" s="3693"/>
      <c r="Z41" s="711" t="str">
        <f t="shared" si="15"/>
        <v>进深比</v>
      </c>
      <c r="AA41" s="3465">
        <f t="shared" si="3"/>
        <v>1</v>
      </c>
      <c r="AB41" s="3465">
        <f t="shared" si="4"/>
        <v>1</v>
      </c>
      <c r="AC41" s="3465">
        <f t="shared" si="5"/>
        <v>1</v>
      </c>
    </row>
    <row r="42" spans="1:29" ht="15">
      <c r="A42" s="423"/>
      <c r="B42" s="375" t="s">
        <v>1792</v>
      </c>
      <c r="C42" s="1906" t="s">
        <v>3448</v>
      </c>
      <c r="D42" s="386">
        <v>100</v>
      </c>
      <c r="E42" s="1906" t="s">
        <v>3448</v>
      </c>
      <c r="F42" s="412">
        <f>SUMIF(122:122,E42,123:123)-SUMIF(122:122,C42,123:123)+100</f>
        <v>100</v>
      </c>
      <c r="G42" s="1906" t="s">
        <v>3448</v>
      </c>
      <c r="H42" s="386">
        <f>SUMIF(122:122,G42,123:123)-SUMIF(122:122,C42,123:123)+100</f>
        <v>100</v>
      </c>
      <c r="I42" s="1906" t="s">
        <v>3448</v>
      </c>
      <c r="J42" s="386">
        <f>SUMIF(122:122,I42,123:123)-SUMIF(122:122,C42,123:123)+100</f>
        <v>100</v>
      </c>
      <c r="K42" s="561">
        <v>2</v>
      </c>
      <c r="L42" s="2722"/>
      <c r="M42" s="2716"/>
      <c r="N42" s="2716"/>
      <c r="O42" s="2716"/>
      <c r="P42" s="3691"/>
      <c r="Q42" s="3464" t="str">
        <f t="shared" si="11"/>
        <v>内部装修</v>
      </c>
      <c r="R42" s="705" t="s">
        <v>14</v>
      </c>
      <c r="S42" s="706">
        <f t="shared" si="12"/>
        <v>100</v>
      </c>
      <c r="T42" s="705" t="s">
        <v>14</v>
      </c>
      <c r="U42" s="706">
        <f t="shared" si="13"/>
        <v>100</v>
      </c>
      <c r="V42" s="705" t="s">
        <v>14</v>
      </c>
      <c r="W42" s="706">
        <f t="shared" si="14"/>
        <v>100</v>
      </c>
      <c r="X42" s="3468"/>
      <c r="Y42" s="3693"/>
      <c r="Z42" s="3467" t="str">
        <f t="shared" si="15"/>
        <v>内部装修</v>
      </c>
      <c r="AA42" s="3465">
        <f t="shared" si="3"/>
        <v>1</v>
      </c>
      <c r="AB42" s="3465">
        <f t="shared" si="4"/>
        <v>1</v>
      </c>
      <c r="AC42" s="3465">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1"/>
      <c r="Q43" s="3464" t="str">
        <f t="shared" si="11"/>
        <v>内部装修维护情况</v>
      </c>
      <c r="R43" s="705" t="s">
        <v>14</v>
      </c>
      <c r="S43" s="706">
        <f t="shared" si="12"/>
        <v>100</v>
      </c>
      <c r="T43" s="705" t="s">
        <v>14</v>
      </c>
      <c r="U43" s="706">
        <f t="shared" si="13"/>
        <v>100</v>
      </c>
      <c r="V43" s="705" t="s">
        <v>14</v>
      </c>
      <c r="W43" s="706">
        <f t="shared" si="14"/>
        <v>100</v>
      </c>
      <c r="X43" s="3468"/>
      <c r="Y43" s="3693"/>
      <c r="Z43" s="3467" t="str">
        <f t="shared" si="15"/>
        <v>内部装修维护情况</v>
      </c>
      <c r="AA43" s="3465">
        <f t="shared" si="3"/>
        <v>1</v>
      </c>
      <c r="AB43" s="3465">
        <f t="shared" si="4"/>
        <v>1</v>
      </c>
      <c r="AC43" s="3465">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1"/>
      <c r="Q44" s="3463">
        <f t="shared" si="11"/>
        <v>111</v>
      </c>
      <c r="R44" s="701" t="s">
        <v>14</v>
      </c>
      <c r="S44" s="702">
        <f t="shared" si="12"/>
        <v>100</v>
      </c>
      <c r="T44" s="701" t="s">
        <v>14</v>
      </c>
      <c r="U44" s="702">
        <f t="shared" si="13"/>
        <v>100</v>
      </c>
      <c r="V44" s="701" t="s">
        <v>14</v>
      </c>
      <c r="W44" s="702">
        <f t="shared" si="14"/>
        <v>100</v>
      </c>
      <c r="X44" s="703"/>
      <c r="Y44" s="3693"/>
      <c r="Z44" s="346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1"/>
      <c r="Q45" s="3464">
        <f t="shared" si="11"/>
        <v>111</v>
      </c>
      <c r="R45" s="705" t="s">
        <v>14</v>
      </c>
      <c r="S45" s="706">
        <f t="shared" si="12"/>
        <v>100</v>
      </c>
      <c r="T45" s="705" t="s">
        <v>14</v>
      </c>
      <c r="U45" s="706">
        <f t="shared" si="13"/>
        <v>100</v>
      </c>
      <c r="V45" s="705" t="s">
        <v>14</v>
      </c>
      <c r="W45" s="706">
        <f t="shared" si="14"/>
        <v>100</v>
      </c>
      <c r="X45" s="3468"/>
      <c r="Y45" s="3693"/>
      <c r="Z45" s="3467">
        <f t="shared" si="15"/>
        <v>111</v>
      </c>
      <c r="AA45" s="3465">
        <f t="shared" si="3"/>
        <v>1</v>
      </c>
      <c r="AB45" s="3465">
        <f t="shared" si="4"/>
        <v>1</v>
      </c>
      <c r="AC45" s="3465">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2"/>
      <c r="Q46" s="3464">
        <f t="shared" si="11"/>
        <v>111</v>
      </c>
      <c r="R46" s="705" t="s">
        <v>14</v>
      </c>
      <c r="S46" s="706">
        <f t="shared" si="12"/>
        <v>100</v>
      </c>
      <c r="T46" s="705" t="s">
        <v>14</v>
      </c>
      <c r="U46" s="706">
        <f t="shared" si="13"/>
        <v>100</v>
      </c>
      <c r="V46" s="705" t="s">
        <v>14</v>
      </c>
      <c r="W46" s="706">
        <f t="shared" si="14"/>
        <v>100</v>
      </c>
      <c r="X46" s="3468"/>
      <c r="Y46" s="3694"/>
      <c r="Z46" s="3467">
        <f t="shared" si="15"/>
        <v>111</v>
      </c>
      <c r="AA46" s="3465">
        <f t="shared" si="3"/>
        <v>1</v>
      </c>
      <c r="AB46" s="3465">
        <f t="shared" si="4"/>
        <v>1</v>
      </c>
      <c r="AC46" s="3465">
        <f t="shared" si="5"/>
        <v>1</v>
      </c>
    </row>
    <row r="47" spans="1:29" ht="15">
      <c r="A47" s="430" t="s">
        <v>1708</v>
      </c>
      <c r="B47" s="431"/>
      <c r="C47" s="1154" t="s">
        <v>0</v>
      </c>
      <c r="D47" s="1155"/>
      <c r="E47" s="1156">
        <v>3</v>
      </c>
      <c r="F47" s="1157"/>
      <c r="G47" s="1158">
        <v>2.78</v>
      </c>
      <c r="H47" s="1159"/>
      <c r="I47" s="1156">
        <v>2.5</v>
      </c>
      <c r="J47" s="1159"/>
      <c r="K47" s="714"/>
      <c r="L47" s="2724"/>
      <c r="M47" s="2725"/>
      <c r="N47" s="2716"/>
      <c r="O47" s="2725"/>
      <c r="P47" s="3695" t="str">
        <f>A47</f>
        <v>成交单价（元/平方米）</v>
      </c>
      <c r="Q47" s="3695"/>
      <c r="R47" s="3656">
        <f>E47</f>
        <v>3</v>
      </c>
      <c r="S47" s="3656"/>
      <c r="T47" s="3656">
        <f>G47</f>
        <v>2.78</v>
      </c>
      <c r="U47" s="3656"/>
      <c r="V47" s="3656">
        <f>I47</f>
        <v>2.5</v>
      </c>
      <c r="W47" s="3656"/>
      <c r="X47" s="690"/>
      <c r="Y47" s="712"/>
      <c r="Z47" s="690"/>
      <c r="AA47" s="690"/>
      <c r="AB47" s="690"/>
      <c r="AC47" s="690"/>
    </row>
    <row r="48" spans="1:29" ht="15.75" thickBot="1">
      <c r="A48" s="437" t="s">
        <v>1709</v>
      </c>
      <c r="B48" s="438"/>
      <c r="C48" s="1160">
        <f>R49</f>
        <v>2.85</v>
      </c>
      <c r="D48" s="2317" t="s">
        <v>2138</v>
      </c>
      <c r="E48" s="1161">
        <f>R48</f>
        <v>3.06</v>
      </c>
      <c r="F48" s="2318"/>
      <c r="G48" s="1160">
        <f>T48</f>
        <v>2.89</v>
      </c>
      <c r="H48" s="2318"/>
      <c r="I48" s="1161">
        <f>V48</f>
        <v>2.6</v>
      </c>
      <c r="J48" s="2318"/>
      <c r="K48" s="2320">
        <f>F48+H48+J48</f>
        <v>0</v>
      </c>
      <c r="L48" s="2724"/>
      <c r="M48" s="2725"/>
      <c r="N48" s="2716"/>
      <c r="O48" s="2725"/>
      <c r="P48" s="3695" t="str">
        <f>A48</f>
        <v>比较价值（元/平方米）</v>
      </c>
      <c r="Q48" s="3695"/>
      <c r="R48" s="3812">
        <f>IF(F1="售价",ROUND(PRODUCT(R47,AA7:AA46),2),ROUND(PRODUCT(R47,AA7:AA46),2))</f>
        <v>3.06</v>
      </c>
      <c r="S48" s="3812"/>
      <c r="T48" s="3812">
        <f>IF(F1="售价",ROUND(PRODUCT(T47,AB7:AB46),2),ROUND(PRODUCT(T47,AB7:AB46),2))</f>
        <v>2.89</v>
      </c>
      <c r="U48" s="3812"/>
      <c r="V48" s="3812">
        <f>IF(F1="售价",ROUND(PRODUCT(V47,AC7:AC46),2),ROUND(PRODUCT(V47,AC7:AC46),2))</f>
        <v>2.6</v>
      </c>
      <c r="W48" s="3812"/>
      <c r="X48" s="690"/>
      <c r="Y48" s="690"/>
      <c r="Z48" s="690"/>
      <c r="AA48" s="690"/>
      <c r="AB48" s="690"/>
      <c r="AC48" s="690"/>
    </row>
    <row r="49" spans="1:29" ht="15.75" thickBot="1">
      <c r="A49" s="441" t="s">
        <v>1710</v>
      </c>
      <c r="B49" s="442"/>
      <c r="C49" s="1163">
        <f>R49</f>
        <v>2.85</v>
      </c>
      <c r="D49" s="1163"/>
      <c r="E49" s="1163"/>
      <c r="F49" s="1163"/>
      <c r="G49" s="1163"/>
      <c r="H49" s="1163"/>
      <c r="I49" s="1163"/>
      <c r="J49" s="1163"/>
      <c r="K49" s="715"/>
      <c r="L49" s="2724"/>
      <c r="M49" s="2725"/>
      <c r="N49" s="2716"/>
      <c r="O49" s="2725"/>
      <c r="P49" s="3697" t="str">
        <f>A49</f>
        <v>估价对象XX用房的比较价值（楼面单价，元/平方米）</v>
      </c>
      <c r="Q49" s="3698"/>
      <c r="R49" s="3813">
        <f>IF(F1="售价",ROUND(IF(D48="简单平均",AVERAGE(R48:V48),R48*F48+T48*H48+V48*J48),2),ROUND(IF(D48="简单平均",AVERAGE(R48:V48),R48*F48+T48*H48+V48*J48),2))</f>
        <v>2.85</v>
      </c>
      <c r="S49" s="3813"/>
      <c r="T49" s="3813"/>
      <c r="U49" s="3813"/>
      <c r="V49" s="3813"/>
      <c r="W49" s="381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1711</v>
      </c>
      <c r="D52" s="447"/>
      <c r="E52" s="448">
        <f>IF(E47&lt;E48,E48/E47-1,E47/E48-1)</f>
        <v>2.0000000000000018E-2</v>
      </c>
      <c r="F52" s="449" t="str">
        <f>IF(OR(E52&gt;=0.3,E52&lt;=-0.3),"超过30%","")</f>
        <v/>
      </c>
      <c r="G52" s="448">
        <f>IF(G47&lt;G48,G48/G47-1,G47/G48-1)</f>
        <v>3.9568345323741205E-2</v>
      </c>
      <c r="H52" s="449" t="str">
        <f>IF(OR(G52&gt;=0.3,G52&lt;=-0.3),"超过30%","")</f>
        <v/>
      </c>
      <c r="I52" s="448">
        <f>IF(I47&lt;I48,I48/I47-1,I47/I48-1)</f>
        <v>4.0000000000000036E-2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1712</v>
      </c>
      <c r="D53" s="450"/>
      <c r="E53" s="448">
        <f>IF(E48&lt;G48,G48/E48-1,E48/G48-1)</f>
        <v>5.8823529411764719E-2</v>
      </c>
      <c r="F53" s="449" t="str">
        <f>IF(OR(E53&gt;=0.2,E53&lt;=-0.2),"超过20%","")</f>
        <v/>
      </c>
      <c r="G53" s="448">
        <f>IF(G48&lt;I48,I48/G48-1,G48/I48-1)</f>
        <v>0.11153846153846159</v>
      </c>
      <c r="H53" s="449" t="str">
        <f>IF(OR(G53&gt;=0.2,G53&lt;=-0.2),"超过20%","")</f>
        <v/>
      </c>
      <c r="I53" s="448">
        <f>IF(I48&lt;E48,E48/I48-1,I48/E48-1)</f>
        <v>0.17692307692307696</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1713</v>
      </c>
      <c r="D54" s="450"/>
      <c r="E54" s="448">
        <f>IF(E47&lt;G47,G47/E47-1,E47/G47-1)</f>
        <v>7.9136690647482189E-2</v>
      </c>
      <c r="F54" s="449" t="str">
        <f>IF(OR(E54&gt;=0.3,E54&lt;=-0.3),"超过30%","")</f>
        <v/>
      </c>
      <c r="G54" s="448">
        <f>IF(G47&lt;I47,I47/G47-1,G47/I47-1)</f>
        <v>0.11199999999999988</v>
      </c>
      <c r="H54" s="449" t="str">
        <f>IF(OR(G54&gt;=0.3,G54&lt;=-0.3),"超过30%","")</f>
        <v/>
      </c>
      <c r="I54" s="448">
        <f>IF(I47&lt;E47,E47/I47-1,I47/E47-1)</f>
        <v>0.19999999999999996</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1714</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v>100</v>
      </c>
      <c r="E59" s="461">
        <v>99.5</v>
      </c>
      <c r="F59" s="461">
        <v>99.5</v>
      </c>
      <c r="G59" s="461">
        <v>99.5</v>
      </c>
      <c r="H59" s="461">
        <v>99</v>
      </c>
      <c r="I59" s="461">
        <v>99</v>
      </c>
      <c r="J59" s="461">
        <v>99</v>
      </c>
      <c r="K59" s="461">
        <v>98.5</v>
      </c>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1718</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1（含）-1.5</v>
      </c>
      <c r="D67" s="496" t="str">
        <f t="shared" ref="D67:L67" si="17">D68&amp;"（含）"&amp;"-"&amp;E68</f>
        <v>1.5（含）-2</v>
      </c>
      <c r="E67" s="496" t="str">
        <f t="shared" si="17"/>
        <v>2（含）-2.5</v>
      </c>
      <c r="F67" s="496" t="str">
        <f t="shared" si="17"/>
        <v>2.5（含）-3</v>
      </c>
      <c r="G67" s="496" t="str">
        <f t="shared" si="17"/>
        <v>3（含）-3.5</v>
      </c>
      <c r="H67" s="496" t="str">
        <f t="shared" si="17"/>
        <v>3.5（含）-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1</v>
      </c>
      <c r="D68" s="498">
        <v>1.5</v>
      </c>
      <c r="E68" s="498">
        <v>2</v>
      </c>
      <c r="F68" s="498">
        <v>2.5</v>
      </c>
      <c r="G68" s="498">
        <v>3</v>
      </c>
      <c r="H68" s="498">
        <v>3.5</v>
      </c>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99</v>
      </c>
      <c r="E69" s="493">
        <f t="shared" si="18"/>
        <v>98</v>
      </c>
      <c r="F69" s="493">
        <f t="shared" si="18"/>
        <v>97</v>
      </c>
      <c r="G69" s="493">
        <f t="shared" si="18"/>
        <v>96</v>
      </c>
      <c r="H69" s="493">
        <f t="shared" si="18"/>
        <v>95</v>
      </c>
      <c r="I69" s="493">
        <f t="shared" si="18"/>
        <v>94</v>
      </c>
      <c r="J69" s="493">
        <f t="shared" si="18"/>
        <v>93</v>
      </c>
      <c r="K69" s="493">
        <f t="shared" si="18"/>
        <v>92</v>
      </c>
      <c r="L69" s="493">
        <f t="shared" si="18"/>
        <v>91</v>
      </c>
      <c r="M69" s="494">
        <f t="shared" si="18"/>
        <v>90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98</v>
      </c>
      <c r="E77" s="493">
        <f>D77-$K15</f>
        <v>96</v>
      </c>
      <c r="F77" s="493">
        <f>E77-$K15</f>
        <v>94</v>
      </c>
      <c r="G77" s="493">
        <f>F77-$K15</f>
        <v>92</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3454" t="s">
        <v>3430</v>
      </c>
      <c r="D86" s="3454" t="s">
        <v>3431</v>
      </c>
      <c r="E86" s="3454" t="s">
        <v>3433</v>
      </c>
      <c r="F86" s="3454" t="s">
        <v>3435</v>
      </c>
      <c r="G86" s="3454" t="s">
        <v>3437</v>
      </c>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99</v>
      </c>
      <c r="E87" s="493">
        <f t="shared" si="20"/>
        <v>98</v>
      </c>
      <c r="F87" s="493">
        <f t="shared" si="20"/>
        <v>97</v>
      </c>
      <c r="G87" s="493">
        <f t="shared" si="20"/>
        <v>96</v>
      </c>
      <c r="H87" s="493">
        <f t="shared" si="20"/>
        <v>95</v>
      </c>
      <c r="I87" s="493">
        <f t="shared" si="20"/>
        <v>94</v>
      </c>
      <c r="J87" s="493">
        <f t="shared" si="20"/>
        <v>93</v>
      </c>
      <c r="K87" s="493">
        <f t="shared" si="20"/>
        <v>92</v>
      </c>
      <c r="L87" s="493">
        <f t="shared" si="20"/>
        <v>91</v>
      </c>
      <c r="M87" s="493">
        <f t="shared" si="20"/>
        <v>90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3454" t="s">
        <v>3438</v>
      </c>
      <c r="D88" s="3454" t="s">
        <v>3439</v>
      </c>
      <c r="E88" s="3454" t="s">
        <v>3440</v>
      </c>
      <c r="F88" s="3455" t="s">
        <v>3441</v>
      </c>
      <c r="G88" s="3454" t="s">
        <v>3442</v>
      </c>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v>100</v>
      </c>
      <c r="D89" s="485">
        <v>98</v>
      </c>
      <c r="E89" s="485">
        <v>96</v>
      </c>
      <c r="F89" s="485">
        <v>94</v>
      </c>
      <c r="G89" s="485">
        <v>92</v>
      </c>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4" t="s">
        <v>3438</v>
      </c>
      <c r="D90" s="3454" t="s">
        <v>3439</v>
      </c>
      <c r="E90" s="3454" t="s">
        <v>3440</v>
      </c>
      <c r="F90" s="3455" t="s">
        <v>3441</v>
      </c>
      <c r="G90" s="3454" t="s">
        <v>3442</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98</v>
      </c>
      <c r="E91" s="493">
        <f t="shared" ref="E91:M91" si="21">D91-$K27</f>
        <v>96</v>
      </c>
      <c r="F91" s="493">
        <f t="shared" si="21"/>
        <v>94</v>
      </c>
      <c r="G91" s="493">
        <f t="shared" si="21"/>
        <v>92</v>
      </c>
      <c r="H91" s="493">
        <f t="shared" si="21"/>
        <v>90</v>
      </c>
      <c r="I91" s="493">
        <f t="shared" si="21"/>
        <v>88</v>
      </c>
      <c r="J91" s="493">
        <f t="shared" si="21"/>
        <v>86</v>
      </c>
      <c r="K91" s="493">
        <f t="shared" si="21"/>
        <v>84</v>
      </c>
      <c r="L91" s="493">
        <f t="shared" si="21"/>
        <v>82</v>
      </c>
      <c r="M91" s="493">
        <f t="shared" si="21"/>
        <v>80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3443</v>
      </c>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6" t="s">
        <v>3445</v>
      </c>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0(含)-500</v>
      </c>
      <c r="D102" s="527" t="str">
        <f t="shared" ref="D102:L102" si="23">D103&amp;"(含)"&amp;"-"&amp;E103</f>
        <v>500(含)-800</v>
      </c>
      <c r="E102" s="527" t="str">
        <f t="shared" si="23"/>
        <v>800(含)-1000</v>
      </c>
      <c r="F102" s="527" t="str">
        <f t="shared" si="23"/>
        <v>1000(含)-2000</v>
      </c>
      <c r="G102" s="527" t="str">
        <f t="shared" si="23"/>
        <v>2000(含)-4000</v>
      </c>
      <c r="H102" s="527" t="str">
        <f t="shared" si="23"/>
        <v>4000(含)-6000</v>
      </c>
      <c r="I102" s="527" t="str">
        <f t="shared" si="23"/>
        <v>6000(含)-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500</v>
      </c>
      <c r="E103" s="544">
        <v>800</v>
      </c>
      <c r="F103" s="544">
        <v>1000</v>
      </c>
      <c r="G103" s="544">
        <v>2000</v>
      </c>
      <c r="H103" s="544">
        <v>4000</v>
      </c>
      <c r="I103" s="544">
        <v>6000</v>
      </c>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v>102</v>
      </c>
      <c r="E104" s="485">
        <v>104</v>
      </c>
      <c r="F104" s="485">
        <v>102</v>
      </c>
      <c r="G104" s="485">
        <v>100</v>
      </c>
      <c r="H104" s="485">
        <v>98</v>
      </c>
      <c r="I104" s="485">
        <v>96</v>
      </c>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4" t="s">
        <v>3446</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98</v>
      </c>
      <c r="E106" s="493">
        <f t="shared" si="24"/>
        <v>96</v>
      </c>
      <c r="F106" s="493">
        <f t="shared" si="24"/>
        <v>94</v>
      </c>
      <c r="G106" s="493">
        <f t="shared" si="24"/>
        <v>92</v>
      </c>
      <c r="H106" s="493">
        <f t="shared" si="24"/>
        <v>90</v>
      </c>
      <c r="I106" s="493">
        <f t="shared" si="24"/>
        <v>88</v>
      </c>
      <c r="J106" s="493">
        <f t="shared" si="24"/>
        <v>86</v>
      </c>
      <c r="K106" s="493">
        <f t="shared" si="24"/>
        <v>84</v>
      </c>
      <c r="L106" s="493">
        <f t="shared" si="24"/>
        <v>82</v>
      </c>
      <c r="M106" s="494">
        <f t="shared" si="24"/>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4" t="s">
        <v>3447</v>
      </c>
      <c r="D107" s="3454" t="s">
        <v>3449</v>
      </c>
      <c r="E107" s="3454" t="s">
        <v>3450</v>
      </c>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4">
        <f t="shared" si="25"/>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101</v>
      </c>
      <c r="E111" s="493">
        <f t="shared" ref="E111:M111" si="26">D111+$K36</f>
        <v>102</v>
      </c>
      <c r="F111" s="493">
        <f t="shared" si="26"/>
        <v>103</v>
      </c>
      <c r="G111" s="493">
        <f t="shared" si="26"/>
        <v>104</v>
      </c>
      <c r="H111" s="493">
        <f t="shared" si="26"/>
        <v>105</v>
      </c>
      <c r="I111" s="493">
        <f t="shared" si="26"/>
        <v>106</v>
      </c>
      <c r="J111" s="493">
        <f t="shared" si="26"/>
        <v>107</v>
      </c>
      <c r="K111" s="493">
        <f t="shared" si="26"/>
        <v>108</v>
      </c>
      <c r="L111" s="493">
        <f t="shared" si="26"/>
        <v>109</v>
      </c>
      <c r="M111" s="493">
        <f t="shared" si="26"/>
        <v>110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3454" t="s">
        <v>3451</v>
      </c>
      <c r="D112" s="3454" t="s">
        <v>3453</v>
      </c>
      <c r="E112" s="3454" t="s">
        <v>3454</v>
      </c>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99</v>
      </c>
      <c r="E113" s="493">
        <f t="shared" ref="E113:M113" si="27">D113-$K37</f>
        <v>98</v>
      </c>
      <c r="F113" s="493">
        <f t="shared" si="27"/>
        <v>97</v>
      </c>
      <c r="G113" s="493">
        <f t="shared" si="27"/>
        <v>96</v>
      </c>
      <c r="H113" s="493">
        <f t="shared" si="27"/>
        <v>95</v>
      </c>
      <c r="I113" s="493">
        <f t="shared" si="27"/>
        <v>94</v>
      </c>
      <c r="J113" s="493">
        <f t="shared" si="27"/>
        <v>93</v>
      </c>
      <c r="K113" s="493">
        <f t="shared" si="27"/>
        <v>92</v>
      </c>
      <c r="L113" s="493">
        <f t="shared" si="27"/>
        <v>91</v>
      </c>
      <c r="M113" s="493">
        <f t="shared" si="27"/>
        <v>90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4" t="s">
        <v>3456</v>
      </c>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4" t="s">
        <v>3447</v>
      </c>
      <c r="D122" s="3454" t="s">
        <v>3449</v>
      </c>
      <c r="E122" s="3454" t="s">
        <v>3450</v>
      </c>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98</v>
      </c>
      <c r="E123" s="493">
        <f t="shared" si="30"/>
        <v>96</v>
      </c>
      <c r="F123" s="493">
        <f t="shared" si="30"/>
        <v>94</v>
      </c>
      <c r="G123" s="493">
        <f t="shared" si="30"/>
        <v>92</v>
      </c>
      <c r="H123" s="493">
        <f t="shared" si="30"/>
        <v>90</v>
      </c>
      <c r="I123" s="493">
        <f t="shared" si="30"/>
        <v>88</v>
      </c>
      <c r="J123" s="493">
        <f t="shared" si="30"/>
        <v>86</v>
      </c>
      <c r="K123" s="493">
        <f t="shared" si="30"/>
        <v>84</v>
      </c>
      <c r="L123" s="493">
        <f t="shared" si="30"/>
        <v>82</v>
      </c>
      <c r="M123" s="494">
        <f t="shared" si="30"/>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xr:uid="{F1759E25-D829-48AB-8BBE-BE24BB80EA2C}">
      <formula1>"项目模式,单套模式"</formula1>
    </dataValidation>
    <dataValidation type="list" allowBlank="1" showInputMessage="1" showErrorMessage="1" sqref="D48" xr:uid="{6051DE11-BE75-4967-9A88-136FD37C85FF}">
      <formula1>"简单平均,加权平均"</formula1>
    </dataValidation>
    <dataValidation type="list" allowBlank="1" showInputMessage="1" showErrorMessage="1" sqref="F2" xr:uid="{0332584C-6865-4692-B16B-B29B3FA02358}">
      <formula1>估价方法</formula1>
    </dataValidation>
    <dataValidation type="list" allowBlank="1" showInputMessage="1" showErrorMessage="1" sqref="C2" xr:uid="{6A89696F-E8F8-4BDD-9A98-AD5A687EF5F4}">
      <formula1>"需扣减承租人权益,——"</formula1>
    </dataValidation>
    <dataValidation type="list" allowBlank="1" showInputMessage="1" showErrorMessage="1" sqref="F1" xr:uid="{791CCF42-DE60-47D6-B8CA-3A82F907122D}">
      <formula1>"售价,租金"</formula1>
    </dataValidation>
    <dataValidation type="list" allowBlank="1" showInputMessage="1" showErrorMessage="1" sqref="C22 E22 G22 I22" xr:uid="{5B27B6D0-FEBD-4BD0-8C55-A661F6565D91}">
      <formula1>基础设施水平</formula1>
    </dataValidation>
    <dataValidation type="list" allowBlank="1" showInputMessage="1" showErrorMessage="1" sqref="C16 E16 G16 I16" xr:uid="{72727C34-235B-4C95-AAD4-B91D36EDC7BD}">
      <formula1>商业繁华度</formula1>
    </dataValidation>
    <dataValidation type="list" allowBlank="1" showInputMessage="1" showErrorMessage="1" sqref="C8 E8 G8 I8" xr:uid="{8B5FDF0A-70D7-43C0-9D40-717217DC4118}">
      <formula1>商业交易情况</formula1>
    </dataValidation>
    <dataValidation type="list" allowBlank="1" showInputMessage="1" showErrorMessage="1" sqref="C39 E39 G39 I39" xr:uid="{03339DB1-3CA3-49A1-98A4-17D07E94AEF5}">
      <formula1>商业层高</formula1>
    </dataValidation>
    <dataValidation type="list" allowBlank="1" showInputMessage="1" showErrorMessage="1" sqref="C38 E38 G38 I38" xr:uid="{AA52AB3F-B639-4CF6-96EA-A2D5BB67B5B9}">
      <formula1>商业业态</formula1>
    </dataValidation>
    <dataValidation type="list" allowBlank="1" showInputMessage="1" showErrorMessage="1" sqref="E9 G9 I9" xr:uid="{049C3245-F378-41EB-880E-BB5517976E8A}">
      <formula1>商业用途</formula1>
    </dataValidation>
    <dataValidation type="list" allowBlank="1" showInputMessage="1" showErrorMessage="1" sqref="C42 E42 G42 I42" xr:uid="{5F9709D8-8010-46D7-9223-5DF94B0F384F}">
      <formula1>商业内部装修</formula1>
    </dataValidation>
    <dataValidation type="list" allowBlank="1" showInputMessage="1" showErrorMessage="1" sqref="C41 E41 G41 I41" xr:uid="{90B69BEE-D565-476B-8CAD-59C5B859990F}">
      <formula1>商业进深比</formula1>
    </dataValidation>
    <dataValidation type="list" allowBlank="1" showInputMessage="1" showErrorMessage="1" sqref="C37 E37 G37 I37" xr:uid="{448B5071-6CF0-4A10-9E8E-BB284FD7F2F2}">
      <formula1>商业基础设施水平</formula1>
    </dataValidation>
    <dataValidation type="list" allowBlank="1" showInputMessage="1" showErrorMessage="1" sqref="C35 E35 G35 I35" xr:uid="{569CB3EC-0150-43D4-B6A2-F960F76D422F}">
      <formula1>商业公共部分装修</formula1>
    </dataValidation>
    <dataValidation type="list" allowBlank="1" showInputMessage="1" showErrorMessage="1" sqref="C34 E34 G34 I34" xr:uid="{A3E28B77-4766-4F9D-BCBA-EFC7AD1E1DAA}">
      <formula1>商业建筑结构</formula1>
    </dataValidation>
    <dataValidation type="list" allowBlank="1" showInputMessage="1" showErrorMessage="1" sqref="C32 E32 G32 I32" xr:uid="{088AD1EE-AACC-4128-80CF-0F6FE9AC33F4}">
      <formula1>商业类型</formula1>
    </dataValidation>
    <dataValidation type="list" allowBlank="1" showInputMessage="1" showErrorMessage="1" sqref="C28 E28 G28 I28" xr:uid="{15DB323A-1D8B-4358-8AA0-3564043F0A24}">
      <formula1>商业楼层</formula1>
    </dataValidation>
    <dataValidation type="list" allowBlank="1" showInputMessage="1" showErrorMessage="1" sqref="C27 E27 G27 I27" xr:uid="{3411AF82-BBE1-4691-8299-9AD3C6C957A5}">
      <formula1>商业人流量</formula1>
    </dataValidation>
    <dataValidation type="list" allowBlank="1" showInputMessage="1" showErrorMessage="1" sqref="C25 E25 G25 I25" xr:uid="{410C6395-443E-43DA-BA5B-E820FD8B0325}">
      <formula1>商业临街状况</formula1>
    </dataValidation>
    <dataValidation type="list" allowBlank="1" showInputMessage="1" showErrorMessage="1" sqref="E24 G24 I24 C24" xr:uid="{093F5953-7163-4A47-9B22-EAD9424F1BCD}">
      <formula1>环境</formula1>
    </dataValidation>
    <dataValidation type="list" allowBlank="1" showInputMessage="1" showErrorMessage="1" sqref="E18 G18 I18 C18" xr:uid="{B703F170-C055-4722-93A7-59A9CE02C9A9}">
      <formula1>交通便捷度</formula1>
    </dataValidation>
    <dataValidation type="list" allowBlank="1" showInputMessage="1" showErrorMessage="1" sqref="E20 I20 G20 C20" xr:uid="{14C09C3A-386C-4D51-B649-4F9A72CB03D2}">
      <formula1>公共配套设施</formula1>
    </dataValidation>
    <dataValidation type="list" allowBlank="1" showInputMessage="1" showErrorMessage="1" sqref="C43 E43 G43 I43" xr:uid="{F6BC7BDE-D8DD-46CF-BC72-B82E7CE79916}">
      <formula1>内部装修维护情况</formula1>
    </dataValidation>
    <dataValidation type="list" allowBlank="1" showInputMessage="1" showErrorMessage="1" sqref="D1" xr:uid="{0D966957-F66F-437E-AE03-4C843DC1B3E9}">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C4F1-1BFC-438F-B43D-DD04A9ACE172}">
  <dimension ref="A1"/>
  <sheetViews>
    <sheetView topLeftCell="A37" workbookViewId="0">
      <selection activeCell="K89" sqref="K89"/>
    </sheetView>
  </sheetViews>
  <sheetFormatPr defaultRowHeight="13.5"/>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Normal="70" zoomScaleSheetLayoutView="100" workbookViewId="0">
      <selection activeCell="C25" sqref="C2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673</v>
      </c>
      <c r="C1" s="198"/>
      <c r="D1" s="198"/>
      <c r="E1" s="198"/>
      <c r="F1" s="198"/>
      <c r="G1" s="1126">
        <f>MATCH(B1,'数据-取费表'!A6:A16,0)+5</f>
        <v>6</v>
      </c>
    </row>
    <row r="2" spans="1:9" s="200" customFormat="1" ht="18" customHeight="1">
      <c r="A2" s="201" t="s">
        <v>1462</v>
      </c>
      <c r="B2" s="202">
        <f ca="1">IF(D2="——",C52,C52-E2)</f>
        <v>1909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16054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957</v>
      </c>
      <c r="D5" s="211" t="s">
        <v>1469</v>
      </c>
      <c r="E5" s="212" t="s">
        <v>1470</v>
      </c>
      <c r="F5" s="212" t="s">
        <v>1471</v>
      </c>
      <c r="G5" s="213"/>
    </row>
    <row r="6" spans="1:9" s="214" customFormat="1" ht="13.5" customHeight="1">
      <c r="A6" s="778" t="s">
        <v>1472</v>
      </c>
      <c r="B6" s="215" t="s">
        <v>1473</v>
      </c>
      <c r="C6" s="216">
        <f>基准地价修正!E33</f>
        <v>929</v>
      </c>
      <c r="D6" s="217"/>
      <c r="E6" s="218"/>
      <c r="F6" s="218"/>
      <c r="G6" s="219"/>
    </row>
    <row r="7" spans="1:9" s="214" customFormat="1" ht="13.5" customHeight="1">
      <c r="A7" s="778" t="s">
        <v>1474</v>
      </c>
      <c r="B7" s="215" t="s">
        <v>1475</v>
      </c>
      <c r="C7" s="220">
        <f>ROUND(C6*F7,0)</f>
        <v>28</v>
      </c>
      <c r="D7" s="220"/>
      <c r="E7" s="218"/>
      <c r="F7" s="221">
        <f>IF(项目基本情况!B8="出让",0,'数据-取费表'!B48+'数据-取费表'!B49)</f>
        <v>3.0499999999999999E-2</v>
      </c>
      <c r="G7" s="219"/>
    </row>
    <row r="8" spans="1:9" s="223" customFormat="1">
      <c r="A8" s="778" t="s">
        <v>1476</v>
      </c>
      <c r="B8" s="215" t="s">
        <v>1477</v>
      </c>
      <c r="C8" s="220" t="str">
        <f>IF(G8="已包含在土地购买价格中","0",IF(B1="",'数据-取费表'!B29,IF(G9="全部缴纳",C9+C10,H9)))</f>
        <v>0</v>
      </c>
      <c r="D8" s="222"/>
      <c r="E8" s="220"/>
      <c r="F8" s="221"/>
      <c r="G8" s="1856" t="s">
        <v>451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3405</v>
      </c>
      <c r="H9" s="1137"/>
      <c r="I9" s="1858" t="s">
        <v>1479</v>
      </c>
    </row>
    <row r="10" spans="1:9" s="214" customFormat="1" ht="13.5" customHeight="1">
      <c r="A10" s="779" t="s">
        <v>356</v>
      </c>
      <c r="B10" s="224" t="s">
        <v>1480</v>
      </c>
      <c r="C10" s="225">
        <f ca="1">ROUND(D10*E10/10000,0)</f>
        <v>24</v>
      </c>
      <c r="D10" s="845">
        <f ca="1">IF(B1="",'数据-汇总表'!E6,IF(INDIRECT("'数据-取费表'!c"&amp;$G$1)="住宅",INDIRECT("'数据-取费表'!s"&amp;$G$1),INDIRECT("'数据-取费表'!k"&amp;$G$1)+INDIRECT("'数据-取费表'!s"&amp;$G$1)))</f>
        <v>1189.08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24</v>
      </c>
      <c r="D19" s="849">
        <f ca="1">D9+D10</f>
        <v>1189.08</v>
      </c>
      <c r="E19" s="211">
        <f>'数据-取费表'!B31</f>
        <v>200</v>
      </c>
      <c r="F19" s="231"/>
      <c r="G19" s="1856" t="s">
        <v>436</v>
      </c>
    </row>
    <row r="20" spans="1:7" s="214" customFormat="1" ht="13.5" customHeight="1">
      <c r="A20" s="255" t="s">
        <v>1493</v>
      </c>
      <c r="B20" s="210" t="s">
        <v>1494</v>
      </c>
      <c r="C20" s="232">
        <f ca="1">ROUND((C5+C19)*F20,0)</f>
        <v>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43</v>
      </c>
      <c r="D22" s="235">
        <f ca="1">C26</f>
        <v>4.0000000000000002E-4</v>
      </c>
      <c r="E22" s="236" t="s">
        <v>1498</v>
      </c>
      <c r="F22" s="237">
        <f ca="1">'数据-取费表'!B40</f>
        <v>4.3499999999999997E-2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42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200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200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1347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521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476</v>
      </c>
      <c r="D34" s="217"/>
      <c r="E34" s="220"/>
      <c r="F34" s="257">
        <f ca="1">IF('数据-取费表'!B24=0,1,IF(B1="",'数据-取费表'!N16,INDIRECT("'数据-取费表'!n"&amp;$G$1)))</f>
        <v>1</v>
      </c>
      <c r="G34" s="219" t="s">
        <v>1526</v>
      </c>
    </row>
    <row r="35" spans="1:7" ht="13.5" customHeight="1">
      <c r="A35" s="780" t="s">
        <v>351</v>
      </c>
      <c r="B35" s="215" t="s">
        <v>1527</v>
      </c>
      <c r="C35" s="220">
        <f ca="1">ROUND(C34*F35,0)</f>
        <v>14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24</v>
      </c>
      <c r="D37" s="217">
        <f ca="1">D19</f>
        <v>1189.08</v>
      </c>
      <c r="E37" s="249">
        <f>'数据-取费表'!B35</f>
        <v>200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v>
      </c>
      <c r="D41" s="235">
        <f ca="1">C44</f>
        <v>4.0000000000000002E-4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11</v>
      </c>
      <c r="D42" s="238"/>
      <c r="E42" s="238"/>
      <c r="F42" s="239"/>
      <c r="G42" s="3705" t="s">
        <v>1544</v>
      </c>
    </row>
    <row r="43" spans="1:7" ht="13.5" customHeight="1">
      <c r="A43" s="780" t="s">
        <v>347</v>
      </c>
      <c r="B43" s="215" t="s">
        <v>1545</v>
      </c>
      <c r="C43" s="238">
        <f ca="1">ROUND(IF('数据-取费表'!B22&lt;=1,C39*F22*'数据-取费表'!B21/2,C39*(POWER((1+F22),'数据-取费表'!B21/2)-1)),0)</f>
        <v>0</v>
      </c>
      <c r="D43" s="238"/>
      <c r="E43" s="238"/>
      <c r="F43" s="239"/>
      <c r="G43" s="3706"/>
    </row>
    <row r="44" spans="1:7" ht="13.5" customHeight="1">
      <c r="A44" s="780" t="s">
        <v>348</v>
      </c>
      <c r="B44" s="215" t="s">
        <v>1546</v>
      </c>
      <c r="C44" s="238">
        <f ca="1">ROUND(IF('数据-取费表'!B22&lt;=1,C40*F22*'数据-取费表'!B21/2,C40*(POWER((1+F22),'数据-取费表'!B21/2)-1)),4)</f>
        <v>4.0000000000000002E-4</v>
      </c>
      <c r="D44" s="238"/>
      <c r="E44" s="238"/>
      <c r="F44" s="239"/>
      <c r="G44" s="3707"/>
    </row>
    <row r="45" spans="1:7" s="214" customFormat="1" ht="13.5" customHeight="1">
      <c r="A45" s="255" t="s">
        <v>1547</v>
      </c>
      <c r="B45" s="244" t="s">
        <v>1513</v>
      </c>
      <c r="C45" s="245">
        <f ca="1">C46</f>
        <v>106</v>
      </c>
      <c r="D45" s="235">
        <f ca="1">C47</f>
        <v>4.0000000000000001E-3</v>
      </c>
      <c r="E45" s="236" t="s">
        <v>1539</v>
      </c>
      <c r="F45" s="246">
        <f ca="1">F27</f>
        <v>0.2</v>
      </c>
      <c r="G45" s="247" t="s">
        <v>1548</v>
      </c>
    </row>
    <row r="46" spans="1:7" s="214" customFormat="1" ht="13.5" customHeight="1">
      <c r="A46" s="780" t="s">
        <v>346</v>
      </c>
      <c r="B46" s="248" t="s">
        <v>1549</v>
      </c>
      <c r="C46" s="249">
        <f ca="1">ROUND((C33+C39)*F27,0)</f>
        <v>106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702</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562</v>
      </c>
      <c r="D51" s="232"/>
      <c r="E51" s="232"/>
      <c r="F51" s="264"/>
      <c r="G51" s="234" t="s">
        <v>1560</v>
      </c>
    </row>
    <row r="52" spans="1:7" s="208" customFormat="1" ht="16.5" thickBot="1">
      <c r="A52" s="265" t="s">
        <v>1561</v>
      </c>
      <c r="B52" s="266"/>
      <c r="C52" s="267">
        <f ca="1">C31+C51</f>
        <v>1909</v>
      </c>
      <c r="D52" s="266"/>
      <c r="E52" s="266"/>
      <c r="F52" s="266"/>
      <c r="G52" s="268"/>
    </row>
    <row r="55" spans="1:7" ht="15">
      <c r="B55" s="270" t="s">
        <v>1562</v>
      </c>
      <c r="C55" s="271"/>
    </row>
    <row r="56" spans="1:7">
      <c r="B56" s="273" t="s">
        <v>802</v>
      </c>
      <c r="C56" s="275">
        <f ca="1">1-C57</f>
        <v>0.70599999999999996</v>
      </c>
    </row>
    <row r="57" spans="1:7">
      <c r="B57" s="273" t="s">
        <v>803</v>
      </c>
      <c r="C57" s="274">
        <f ca="1">ROUND(C51/C52,3)</f>
        <v>0.29399999999999998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627.74559999999997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5279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237816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237816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237816</v>
      </c>
      <c r="D10" s="845">
        <f ca="1">IF(B1="",'数据-汇总表'!E6,IF(INDIRECT("'数据-取费表'!c"&amp;$G$1)="住宅",INDIRECT("'数据-取费表'!s"&amp;$G$1),INDIRECT("'数据-取费表'!k"&amp;$G$1)+INDIRECT("'数据-取费表'!s"&amp;$G$1)))</f>
        <v>1189.08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237816</v>
      </c>
      <c r="D19" s="849">
        <f ca="1">D9+D10</f>
        <v>1189.08</v>
      </c>
      <c r="E19" s="211">
        <f>'数据-取费表'!B31</f>
        <v>200</v>
      </c>
      <c r="F19" s="231"/>
      <c r="G19" s="1856"/>
    </row>
    <row r="20" spans="1:7" s="214" customFormat="1" ht="13.5" customHeight="1">
      <c r="A20" s="255" t="s">
        <v>1574</v>
      </c>
      <c r="B20" s="210" t="s">
        <v>1575</v>
      </c>
      <c r="C20" s="232">
        <f ca="1">ROUND((C5+C19)*F20,0)</f>
        <v>9513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20897</v>
      </c>
      <c r="D22" s="235">
        <f ca="1">C26</f>
        <v>4.0000000000000002E-4</v>
      </c>
      <c r="E22" s="236" t="s">
        <v>1579</v>
      </c>
      <c r="F22" s="237">
        <f ca="1">'数据-取费表'!B40</f>
        <v>4.3499999999999997E-2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10345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10345</v>
      </c>
      <c r="D24" s="238"/>
      <c r="E24" s="238"/>
      <c r="F24" s="239"/>
      <c r="G24" s="240" t="s">
        <v>1586</v>
      </c>
    </row>
    <row r="25" spans="1:7" s="214" customFormat="1" ht="24">
      <c r="A25" s="780" t="s">
        <v>1476</v>
      </c>
      <c r="B25" s="215" t="s">
        <v>1587</v>
      </c>
      <c r="C25" s="1128">
        <f ca="1">ROUND(IF('数据-取费表'!B22&lt;=1,C20*F22*'数据-取费表'!B22/2,C20*(POWER((1+F22),'数据-取费表'!B22/2)-1)),0)</f>
        <v>207</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97029</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97029</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653240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5208171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4756320</v>
      </c>
      <c r="D34" s="217"/>
      <c r="E34" s="220"/>
      <c r="F34" s="257"/>
      <c r="G34" s="219"/>
    </row>
    <row r="35" spans="1:7" ht="13.5" customHeight="1">
      <c r="A35" s="780" t="s">
        <v>351</v>
      </c>
      <c r="B35" s="215" t="s">
        <v>1527</v>
      </c>
      <c r="C35" s="220">
        <f ca="1">ROUND(C34*F35,0)</f>
        <v>142690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237816</v>
      </c>
      <c r="D37" s="217">
        <f ca="1">D19</f>
        <v>1189.08</v>
      </c>
      <c r="E37" s="249">
        <f>'数据-取费表'!B35</f>
        <v>200</v>
      </c>
      <c r="F37" s="259"/>
      <c r="G37" s="261"/>
    </row>
    <row r="38" spans="1:7" ht="13.5" customHeight="1">
      <c r="A38" s="780" t="s">
        <v>354</v>
      </c>
      <c r="B38" s="215" t="s">
        <v>1533</v>
      </c>
      <c r="C38" s="220">
        <f ca="1">ROUND(C34*F38,0)</f>
        <v>71345</v>
      </c>
      <c r="D38" s="220"/>
      <c r="E38" s="220"/>
      <c r="F38" s="259">
        <f>'数据-取费表'!B36</f>
        <v>1.4999999999999999E-2</v>
      </c>
      <c r="G38" s="219" t="s">
        <v>1528</v>
      </c>
    </row>
    <row r="39" spans="1:7" s="214" customFormat="1" ht="13.5" customHeight="1">
      <c r="A39" s="255" t="s">
        <v>1534</v>
      </c>
      <c r="B39" s="210" t="s">
        <v>1535</v>
      </c>
      <c r="C39" s="232">
        <f ca="1">ROUND(C33*F20,0)</f>
        <v>104163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115544</v>
      </c>
      <c r="D41" s="235">
        <f ca="1">C44</f>
        <v>4.0000000000000002E-4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113278</v>
      </c>
      <c r="D42" s="238"/>
      <c r="E42" s="238"/>
      <c r="F42" s="239"/>
      <c r="G42" s="3705" t="s">
        <v>1591</v>
      </c>
    </row>
    <row r="43" spans="1:7" ht="13.5" customHeight="1">
      <c r="A43" s="780" t="s">
        <v>347</v>
      </c>
      <c r="B43" s="215" t="s">
        <v>1545</v>
      </c>
      <c r="C43" s="238">
        <f ca="1">ROUND(IF('数据-取费表'!B22&lt;=1,C39*F22*'数据-取费表'!B20/2,C39*(POWER((1+F22),'数据-取费表'!B20/2)-1)),0)</f>
        <v>2266</v>
      </c>
      <c r="D43" s="238"/>
      <c r="E43" s="238"/>
      <c r="F43" s="239"/>
      <c r="G43" s="3706"/>
    </row>
    <row r="44" spans="1:7" ht="13.5" customHeight="1">
      <c r="A44" s="780" t="s">
        <v>348</v>
      </c>
      <c r="B44" s="215" t="s">
        <v>1546</v>
      </c>
      <c r="C44" s="238">
        <f ca="1">ROUND(IF('数据-取费表'!B22&lt;=1,C40*F22*'数据-取费表'!B20/2,C40*(POWER((1+F22),'数据-取费表'!B20/2)-1)),4)</f>
        <v>4.0000000000000002E-4</v>
      </c>
      <c r="D44" s="238"/>
      <c r="E44" s="238"/>
      <c r="F44" s="239"/>
      <c r="G44" s="3707"/>
    </row>
    <row r="45" spans="1:7" s="214" customFormat="1" ht="13.5" customHeight="1">
      <c r="A45" s="255" t="s">
        <v>1547</v>
      </c>
      <c r="B45" s="244" t="s">
        <v>1513</v>
      </c>
      <c r="C45" s="245">
        <f ca="1">C46</f>
        <v>1062467</v>
      </c>
      <c r="D45" s="235">
        <f ca="1">C47</f>
        <v>4.0000000000000001E-3</v>
      </c>
      <c r="E45" s="236" t="s">
        <v>1539</v>
      </c>
      <c r="F45" s="246">
        <f ca="1">F27</f>
        <v>0.2</v>
      </c>
      <c r="G45" s="247" t="s">
        <v>1548</v>
      </c>
    </row>
    <row r="46" spans="1:7" s="214" customFormat="1" ht="13.5" customHeight="1">
      <c r="A46" s="780" t="s">
        <v>346</v>
      </c>
      <c r="B46" s="248" t="s">
        <v>1549</v>
      </c>
      <c r="C46" s="249">
        <f ca="1">ROUND((C33+C39)*F27,0)</f>
        <v>1062467</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7030270</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5624216</v>
      </c>
      <c r="D51" s="232"/>
      <c r="E51" s="232"/>
      <c r="F51" s="264"/>
      <c r="G51" s="234" t="s">
        <v>1560</v>
      </c>
    </row>
    <row r="52" spans="1:7" s="208" customFormat="1" ht="16.5" thickBot="1">
      <c r="A52" s="265" t="s">
        <v>1561</v>
      </c>
      <c r="B52" s="266"/>
      <c r="C52" s="267">
        <f ca="1">C31+C51</f>
        <v>6277456</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-28</v>
      </c>
      <c r="C2" s="276" t="s">
        <v>1595</v>
      </c>
      <c r="D2" s="276"/>
      <c r="E2" s="2806"/>
      <c r="F2" s="2806"/>
      <c r="G2" s="2806"/>
      <c r="H2" s="2806"/>
      <c r="I2" s="2806"/>
      <c r="J2" s="2806"/>
      <c r="K2" s="2806"/>
    </row>
    <row r="3" spans="1:33" ht="18" customHeight="1" thickBot="1">
      <c r="A3" s="203" t="s">
        <v>1464</v>
      </c>
      <c r="B3" s="204">
        <f ca="1">ROUND(B2*10000/IF(C1="",'数据-汇总表'!E3,INDIRECT("'数据-取费表'!K"&amp;$K$1)),0)</f>
        <v>-235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1189.08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1189.08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24</v>
      </c>
      <c r="D20" s="846">
        <f ca="1">IF(C1="",'数据-汇总表'!E6,IF(INDIRECT("'数据-取费表'!c"&amp;$K$1)="住宅",INDIRECT("'数据-取费表'!s"&amp;$K$1),INDIRECT("'数据-取费表'!k"&amp;$K$1)+INDIRECT("'数据-取费表'!s"&amp;$K$1)))</f>
        <v>1189.08</v>
      </c>
      <c r="E20" s="21">
        <f>'数据-取费表'!B28</f>
        <v>200</v>
      </c>
      <c r="F20" s="804"/>
      <c r="G20" s="12"/>
      <c r="H20" s="809"/>
      <c r="I20" s="809"/>
      <c r="J20" s="809"/>
      <c r="K20" s="810"/>
    </row>
    <row r="21" spans="1:33" s="803" customFormat="1" ht="13.5" customHeight="1">
      <c r="A21" s="790" t="s">
        <v>357</v>
      </c>
      <c r="B21" s="813" t="s">
        <v>1628</v>
      </c>
      <c r="C21" s="814">
        <f ca="1">C16+C17+C18</f>
        <v>24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4.3499999999999997E-2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5</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5</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02" t="s">
        <v>694</v>
      </c>
      <c r="C6" s="1074">
        <f ca="1">ROUND(F6*F8*F7*(1-F9),0)</f>
        <v>0</v>
      </c>
      <c r="D6" s="155" t="s">
        <v>2106</v>
      </c>
      <c r="E6" s="302" t="s">
        <v>696</v>
      </c>
      <c r="F6" s="303">
        <f ca="1">INDIRECT("'数据-取费表'!u"&amp;$G$1)</f>
        <v>0</v>
      </c>
      <c r="G6" s="1384"/>
      <c r="H6" s="1069" t="s">
        <v>398</v>
      </c>
      <c r="I6" s="3702" t="s">
        <v>694</v>
      </c>
      <c r="J6" s="301">
        <f ca="1">ROUND(M6*M8*M7*(1-M9),0)</f>
        <v>0</v>
      </c>
      <c r="K6" s="1376" t="s">
        <v>2107</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0</v>
      </c>
      <c r="G7" s="1384"/>
      <c r="H7" s="304"/>
      <c r="I7" s="3703"/>
      <c r="J7" s="306"/>
      <c r="K7" s="307"/>
      <c r="L7" s="302" t="s">
        <v>697</v>
      </c>
      <c r="M7" s="303">
        <f ca="1">F7</f>
        <v>0</v>
      </c>
    </row>
    <row r="8" spans="1:37" ht="18" customHeight="1">
      <c r="A8" s="304"/>
      <c r="B8" s="3703"/>
      <c r="C8" s="306"/>
      <c r="D8" s="307"/>
      <c r="E8" s="302" t="s">
        <v>698</v>
      </c>
      <c r="F8" s="303">
        <f ca="1">INDIRECT("'数据-取费表'!ai"&amp;$G$1)</f>
        <v>0</v>
      </c>
      <c r="G8" s="1384"/>
      <c r="H8" s="304"/>
      <c r="I8" s="3703"/>
      <c r="J8" s="306"/>
      <c r="K8" s="307"/>
      <c r="L8" s="302" t="s">
        <v>698</v>
      </c>
      <c r="M8" s="303">
        <f ca="1">INDIRECT("'数据-取费表'!ai"&amp;$G$1)</f>
        <v>0</v>
      </c>
    </row>
    <row r="9" spans="1:37" ht="18" customHeight="1">
      <c r="A9" s="304"/>
      <c r="B9" s="3704"/>
      <c r="C9" s="306"/>
      <c r="D9" s="307"/>
      <c r="E9" s="302" t="s">
        <v>699</v>
      </c>
      <c r="F9" s="312">
        <f ca="1">INDIRECT("'数据-取费表'!w"&amp;$G$1)</f>
        <v>0</v>
      </c>
      <c r="G9" s="1384"/>
      <c r="H9" s="304"/>
      <c r="I9" s="370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00" t="s">
        <v>837</v>
      </c>
      <c r="L53" s="3701"/>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3363</v>
      </c>
      <c r="E2" s="3444"/>
      <c r="F2" s="2846"/>
      <c r="G2" s="2847"/>
      <c r="H2" s="2848"/>
      <c r="I2" s="2849"/>
      <c r="J2" s="3708" t="s">
        <v>2320</v>
      </c>
      <c r="K2" s="3709"/>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10" t="s">
        <v>2330</v>
      </c>
      <c r="K3" s="3711"/>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10" t="s">
        <v>2332</v>
      </c>
      <c r="K4" s="3711"/>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12" t="s">
        <v>2336</v>
      </c>
      <c r="B6" s="3713"/>
      <c r="C6" s="3714"/>
      <c r="D6" s="2870"/>
      <c r="E6" s="2871"/>
      <c r="F6" s="2872"/>
      <c r="G6" s="2873"/>
      <c r="H6" s="2848"/>
      <c r="I6" s="2849"/>
      <c r="J6" s="3715">
        <v>1</v>
      </c>
      <c r="K6" s="3716"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15"/>
      <c r="K7" s="3717"/>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19" t="s">
        <v>2350</v>
      </c>
      <c r="C8" s="3720"/>
      <c r="D8" s="2889" t="s">
        <v>2351</v>
      </c>
      <c r="E8" s="2890" t="s">
        <v>2352</v>
      </c>
      <c r="F8" s="2891" t="s">
        <v>2353</v>
      </c>
      <c r="G8" s="2892"/>
      <c r="H8" s="2848"/>
      <c r="I8" s="2849"/>
      <c r="J8" s="3715"/>
      <c r="K8" s="3717"/>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19" t="s">
        <v>2356</v>
      </c>
      <c r="C9" s="3720"/>
      <c r="D9" s="2889">
        <f>ROUND(D6*E9,0)</f>
        <v>0</v>
      </c>
      <c r="E9" s="2893"/>
      <c r="F9" s="2894" t="s">
        <v>2357</v>
      </c>
      <c r="G9" s="2873"/>
      <c r="H9" s="2848"/>
      <c r="I9" s="2849"/>
      <c r="J9" s="3715"/>
      <c r="K9" s="3717"/>
      <c r="L9" s="2883" t="s">
        <v>2358</v>
      </c>
      <c r="M9" s="2884"/>
      <c r="N9" s="2860"/>
      <c r="O9" s="2885"/>
      <c r="P9" s="2885"/>
      <c r="Q9" s="2886">
        <v>365</v>
      </c>
      <c r="R9" s="2887">
        <f t="shared" si="0"/>
        <v>0</v>
      </c>
      <c r="S9" s="2841"/>
      <c r="T9" s="2841"/>
      <c r="U9" s="2841"/>
      <c r="V9" s="2849"/>
    </row>
    <row r="10" spans="1:22" s="2853" customFormat="1" ht="13.15" customHeight="1">
      <c r="A10" s="2888">
        <v>2</v>
      </c>
      <c r="B10" s="3719" t="s">
        <v>2359</v>
      </c>
      <c r="C10" s="3720"/>
      <c r="D10" s="2889">
        <f>ROUND(D6*E10,0)</f>
        <v>0</v>
      </c>
      <c r="E10" s="2893"/>
      <c r="F10" s="2894" t="s">
        <v>2360</v>
      </c>
      <c r="G10" s="2873"/>
      <c r="H10" s="2848"/>
      <c r="I10" s="2849"/>
      <c r="J10" s="3715"/>
      <c r="K10" s="3717"/>
      <c r="L10" s="2883" t="s">
        <v>2361</v>
      </c>
      <c r="M10" s="2884"/>
      <c r="N10" s="2860"/>
      <c r="O10" s="2885"/>
      <c r="P10" s="2885"/>
      <c r="Q10" s="2886">
        <v>365</v>
      </c>
      <c r="R10" s="2887">
        <f t="shared" si="0"/>
        <v>0</v>
      </c>
      <c r="S10" s="2841"/>
      <c r="T10" s="2841"/>
      <c r="U10" s="2841"/>
      <c r="V10" s="2849"/>
    </row>
    <row r="11" spans="1:22" s="2853" customFormat="1" ht="13.15" customHeight="1">
      <c r="A11" s="2888">
        <v>3</v>
      </c>
      <c r="B11" s="3719" t="s">
        <v>2362</v>
      </c>
      <c r="C11" s="3720"/>
      <c r="D11" s="2889">
        <f>D12+D14+D15+D16</f>
        <v>0</v>
      </c>
      <c r="E11" s="2895" t="e">
        <f>D11/D6</f>
        <v>#DIV/0!</v>
      </c>
      <c r="F11" s="2891"/>
      <c r="G11" s="2892"/>
      <c r="H11" s="2848"/>
      <c r="I11" s="2849"/>
      <c r="J11" s="3715"/>
      <c r="K11" s="3717"/>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1" t="s">
        <v>2365</v>
      </c>
      <c r="C12" s="3722"/>
      <c r="D12" s="2897">
        <f>ROUND(D13*1.2%*(1-30%),0)</f>
        <v>0</v>
      </c>
      <c r="E12" s="2898">
        <v>1.2E-2</v>
      </c>
      <c r="F12" s="2891" t="s">
        <v>2366</v>
      </c>
      <c r="G12" s="2892"/>
      <c r="H12" s="2848"/>
      <c r="I12" s="2849"/>
      <c r="J12" s="3715"/>
      <c r="K12" s="3717"/>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15"/>
      <c r="K13" s="3717"/>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1" t="s">
        <v>2371</v>
      </c>
      <c r="C14" s="3722"/>
      <c r="D14" s="2897">
        <f>ROUND(E14*B5/10000,0)</f>
        <v>0</v>
      </c>
      <c r="E14" s="2886"/>
      <c r="F14" s="2891" t="s">
        <v>2372</v>
      </c>
      <c r="G14" s="2892"/>
      <c r="H14" s="2848"/>
      <c r="I14" s="2849"/>
      <c r="J14" s="3715"/>
      <c r="K14" s="3718"/>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1" t="s">
        <v>2375</v>
      </c>
      <c r="C15" s="3722"/>
      <c r="D15" s="2897">
        <f>ROUND(D6*E15,0)</f>
        <v>0</v>
      </c>
      <c r="E15" s="2898">
        <v>5.5E-2</v>
      </c>
      <c r="F15" s="2891" t="s">
        <v>2376</v>
      </c>
      <c r="G15" s="2873"/>
      <c r="H15" s="2848"/>
      <c r="I15" s="2849"/>
      <c r="J15" s="3715">
        <v>2</v>
      </c>
      <c r="K15" s="3716"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1" t="s">
        <v>2384</v>
      </c>
      <c r="C16" s="3722"/>
      <c r="D16" s="2908">
        <f>D6*E16</f>
        <v>0</v>
      </c>
      <c r="E16" s="2909"/>
      <c r="F16" s="2894" t="s">
        <v>2385</v>
      </c>
      <c r="G16" s="2873"/>
      <c r="H16" s="2848"/>
      <c r="I16" s="2849"/>
      <c r="J16" s="3715"/>
      <c r="K16" s="3717"/>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23" t="s">
        <v>2387</v>
      </c>
      <c r="C17" s="3724"/>
      <c r="D17" s="2911">
        <f>ROUND(D6*E17,0)</f>
        <v>0</v>
      </c>
      <c r="E17" s="2912"/>
      <c r="F17" s="2913" t="s">
        <v>2388</v>
      </c>
      <c r="G17" s="2873"/>
      <c r="H17" s="2848"/>
      <c r="I17" s="2849"/>
      <c r="J17" s="3715"/>
      <c r="K17" s="3717"/>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15"/>
      <c r="K18" s="3717"/>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15"/>
      <c r="K19" s="3718"/>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5">
        <v>3</v>
      </c>
      <c r="K20" s="3716"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15"/>
      <c r="K21" s="3717"/>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15"/>
      <c r="K22" s="3717"/>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15"/>
      <c r="K23" s="3717"/>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15"/>
      <c r="K24" s="3718"/>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2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08" t="s">
        <v>2320</v>
      </c>
      <c r="K32" s="3709"/>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10" t="s">
        <v>2330</v>
      </c>
      <c r="K33" s="3711"/>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10" t="s">
        <v>2332</v>
      </c>
      <c r="K34" s="3711"/>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15">
        <v>1</v>
      </c>
      <c r="K36" s="3716"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15"/>
      <c r="K37" s="3717"/>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5"/>
      <c r="K38" s="3717"/>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15"/>
      <c r="K39" s="3717"/>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15"/>
      <c r="K40" s="3718"/>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1399</v>
      </c>
      <c r="C2" s="1872" t="s">
        <v>1651</v>
      </c>
      <c r="D2" s="1873" t="s">
        <v>1652</v>
      </c>
      <c r="E2" s="2607">
        <f>SUM(E6:E13)</f>
        <v>1189.08</v>
      </c>
      <c r="F2" s="2707"/>
      <c r="G2" s="1489"/>
      <c r="H2" s="1489"/>
      <c r="I2" s="1489"/>
      <c r="J2" s="1489"/>
      <c r="K2" s="1489"/>
      <c r="L2" s="1489"/>
      <c r="M2" s="1489"/>
      <c r="N2" s="1489"/>
      <c r="O2" s="1489"/>
      <c r="P2" s="1489"/>
      <c r="Q2" s="1489"/>
      <c r="R2" s="1489"/>
      <c r="S2" s="1489"/>
    </row>
    <row r="3" spans="1:22" ht="15.75">
      <c r="A3" s="1870" t="s">
        <v>686</v>
      </c>
      <c r="B3" s="2601">
        <f ca="1">ROUND(B2*10000/E2,0)</f>
        <v>11765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27" t="s">
        <v>1654</v>
      </c>
      <c r="C5" s="3728"/>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1399</v>
      </c>
      <c r="C6" s="1872" t="s">
        <v>1651</v>
      </c>
      <c r="D6" s="2709"/>
      <c r="E6" s="2606">
        <f>IF(OR(A6=0,F6="否"),0,'数据-取费表'!K6+'数据-取费表'!S6)</f>
        <v>1189.08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1189.08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3" t="s">
        <v>1667</v>
      </c>
      <c r="D4" s="3674"/>
      <c r="E4" s="3675" t="s">
        <v>1668</v>
      </c>
      <c r="F4" s="3676"/>
      <c r="G4" s="3673" t="s">
        <v>1669</v>
      </c>
      <c r="H4" s="3674"/>
      <c r="I4" s="3673" t="s">
        <v>1670</v>
      </c>
      <c r="J4" s="3674"/>
      <c r="K4" s="1889" t="s">
        <v>1671</v>
      </c>
      <c r="L4" s="2715"/>
      <c r="M4" s="2716"/>
      <c r="N4" s="2716"/>
      <c r="O4" s="2716"/>
      <c r="P4" s="3677" t="s">
        <v>1672</v>
      </c>
      <c r="Q4" s="3678"/>
      <c r="R4" s="3659" t="s">
        <v>1668</v>
      </c>
      <c r="S4" s="3660"/>
      <c r="T4" s="3659" t="s">
        <v>1669</v>
      </c>
      <c r="U4" s="3660"/>
      <c r="V4" s="3656" t="s">
        <v>1670</v>
      </c>
      <c r="W4" s="3656"/>
      <c r="X4" s="1355"/>
      <c r="Y4" s="3659" t="s">
        <v>1672</v>
      </c>
      <c r="Z4" s="3660"/>
      <c r="AA4" s="3653" t="s">
        <v>1668</v>
      </c>
      <c r="AB4" s="3653" t="s">
        <v>1669</v>
      </c>
      <c r="AC4" s="3653" t="s">
        <v>1670</v>
      </c>
    </row>
    <row r="5" spans="1:29" ht="15">
      <c r="A5" s="358"/>
      <c r="B5" s="359"/>
      <c r="C5" s="3669" t="s">
        <v>1673</v>
      </c>
      <c r="D5" s="3666"/>
      <c r="E5" s="3663" t="s">
        <v>1674</v>
      </c>
      <c r="F5" s="3664"/>
      <c r="G5" s="3669" t="s">
        <v>1675</v>
      </c>
      <c r="H5" s="3666"/>
      <c r="I5" s="3669" t="s">
        <v>1676</v>
      </c>
      <c r="J5" s="3666"/>
      <c r="K5" s="1890"/>
      <c r="L5" s="2715"/>
      <c r="M5" s="2716"/>
      <c r="N5" s="2716"/>
      <c r="O5" s="2716"/>
      <c r="P5" s="3679"/>
      <c r="Q5" s="3680"/>
      <c r="R5" s="3661"/>
      <c r="S5" s="3662"/>
      <c r="T5" s="3661"/>
      <c r="U5" s="3662"/>
      <c r="V5" s="3656"/>
      <c r="W5" s="3656"/>
      <c r="X5" s="1355"/>
      <c r="Y5" s="3661"/>
      <c r="Z5" s="3662"/>
      <c r="AA5" s="3654"/>
      <c r="AB5" s="3654"/>
      <c r="AC5" s="3654"/>
    </row>
    <row r="6" spans="1:29" ht="15.75" thickBot="1">
      <c r="A6" s="360"/>
      <c r="B6" s="361"/>
      <c r="C6" s="3667" t="s">
        <v>1677</v>
      </c>
      <c r="D6" s="3668"/>
      <c r="E6" s="3670" t="s">
        <v>1677</v>
      </c>
      <c r="F6" s="3671"/>
      <c r="G6" s="3667" t="s">
        <v>1677</v>
      </c>
      <c r="H6" s="3668"/>
      <c r="I6" s="3667" t="s">
        <v>1677</v>
      </c>
      <c r="J6" s="3668"/>
      <c r="K6" s="1890" t="s">
        <v>1678</v>
      </c>
      <c r="L6" s="2715"/>
      <c r="M6" s="2716"/>
      <c r="N6" s="2716"/>
      <c r="O6" s="2716"/>
      <c r="P6" s="3681"/>
      <c r="Q6" s="3682"/>
      <c r="R6" s="3661"/>
      <c r="S6" s="3662"/>
      <c r="T6" s="3683"/>
      <c r="U6" s="3684"/>
      <c r="V6" s="3656"/>
      <c r="W6" s="3656"/>
      <c r="X6" s="1355"/>
      <c r="Y6" s="3683"/>
      <c r="Z6" s="3684"/>
      <c r="AA6" s="3655"/>
      <c r="AB6" s="3655"/>
      <c r="AC6" s="3655"/>
    </row>
    <row r="7" spans="1:29" s="108" customFormat="1" ht="15.75" thickBot="1">
      <c r="A7" s="362" t="s">
        <v>1679</v>
      </c>
      <c r="B7" s="363"/>
      <c r="C7" s="364">
        <f>'数据-取费表'!B2</f>
        <v>45148</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57" t="s">
        <v>1680</v>
      </c>
      <c r="Q7" s="3685"/>
      <c r="R7" s="701" t="s">
        <v>20</v>
      </c>
      <c r="S7" s="702">
        <f t="shared" ref="S7:S15" si="0">F7</f>
        <v>0</v>
      </c>
      <c r="T7" s="701" t="s">
        <v>20</v>
      </c>
      <c r="U7" s="702">
        <f t="shared" ref="U7:U15" si="1">H7</f>
        <v>0</v>
      </c>
      <c r="V7" s="701" t="s">
        <v>20</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57" t="s">
        <v>1683</v>
      </c>
      <c r="Q8" s="3658"/>
      <c r="R8" s="701" t="s">
        <v>20</v>
      </c>
      <c r="S8" s="702">
        <f t="shared" si="0"/>
        <v>100</v>
      </c>
      <c r="T8" s="701" t="s">
        <v>20</v>
      </c>
      <c r="U8" s="702">
        <f t="shared" si="1"/>
        <v>100</v>
      </c>
      <c r="V8" s="701" t="s">
        <v>20</v>
      </c>
      <c r="W8" s="702">
        <f t="shared" si="2"/>
        <v>100</v>
      </c>
      <c r="X8" s="703"/>
      <c r="Y8" s="3657" t="s">
        <v>1683</v>
      </c>
      <c r="Z8" s="365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2"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2"/>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2"/>
      <c r="Q11" s="1343" t="str">
        <f t="shared" si="6"/>
        <v>容积率</v>
      </c>
      <c r="R11" s="701" t="s">
        <v>18</v>
      </c>
      <c r="S11" s="702" t="e">
        <f t="shared" si="0"/>
        <v>#N/A</v>
      </c>
      <c r="T11" s="701" t="s">
        <v>18</v>
      </c>
      <c r="U11" s="702" t="e">
        <f t="shared" si="1"/>
        <v>#N/A</v>
      </c>
      <c r="V11" s="701" t="s">
        <v>18</v>
      </c>
      <c r="W11" s="702" t="e">
        <f t="shared" si="2"/>
        <v>#N/A</v>
      </c>
      <c r="X11" s="703"/>
      <c r="Y11" s="362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2"/>
      <c r="Q12" s="1343">
        <f t="shared" si="6"/>
        <v>111</v>
      </c>
      <c r="R12" s="701" t="s">
        <v>18</v>
      </c>
      <c r="S12" s="702">
        <f t="shared" si="0"/>
        <v>100</v>
      </c>
      <c r="T12" s="701" t="s">
        <v>18</v>
      </c>
      <c r="U12" s="702">
        <f t="shared" si="1"/>
        <v>100</v>
      </c>
      <c r="V12" s="701" t="s">
        <v>18</v>
      </c>
      <c r="W12" s="702">
        <f t="shared" si="2"/>
        <v>100</v>
      </c>
      <c r="X12" s="703"/>
      <c r="Y12" s="362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2"/>
      <c r="Q13" s="1343">
        <f t="shared" si="6"/>
        <v>111</v>
      </c>
      <c r="R13" s="701" t="s">
        <v>18</v>
      </c>
      <c r="S13" s="702">
        <f t="shared" si="0"/>
        <v>100</v>
      </c>
      <c r="T13" s="701" t="s">
        <v>18</v>
      </c>
      <c r="U13" s="702">
        <f t="shared" si="1"/>
        <v>100</v>
      </c>
      <c r="V13" s="701" t="s">
        <v>18</v>
      </c>
      <c r="W13" s="702">
        <f t="shared" si="2"/>
        <v>100</v>
      </c>
      <c r="X13" s="703"/>
      <c r="Y13" s="362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2"/>
      <c r="Q14" s="1343">
        <f t="shared" si="6"/>
        <v>111</v>
      </c>
      <c r="R14" s="701" t="s">
        <v>18</v>
      </c>
      <c r="S14" s="702">
        <f t="shared" si="0"/>
        <v>100</v>
      </c>
      <c r="T14" s="701" t="s">
        <v>18</v>
      </c>
      <c r="U14" s="702">
        <f t="shared" si="1"/>
        <v>100</v>
      </c>
      <c r="V14" s="701" t="s">
        <v>18</v>
      </c>
      <c r="W14" s="702">
        <f t="shared" si="2"/>
        <v>100</v>
      </c>
      <c r="X14" s="703"/>
      <c r="Y14" s="362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6" t="s">
        <v>1691</v>
      </c>
      <c r="Q15" s="1352" t="str">
        <f t="shared" si="6"/>
        <v>居住社区成熟度</v>
      </c>
      <c r="R15" s="705" t="s">
        <v>18</v>
      </c>
      <c r="S15" s="706">
        <f t="shared" si="0"/>
        <v>100</v>
      </c>
      <c r="T15" s="705" t="s">
        <v>18</v>
      </c>
      <c r="U15" s="706">
        <f t="shared" si="1"/>
        <v>100</v>
      </c>
      <c r="V15" s="705" t="s">
        <v>18</v>
      </c>
      <c r="W15" s="706">
        <f t="shared" si="2"/>
        <v>100</v>
      </c>
      <c r="X15" s="1355"/>
      <c r="Y15" s="368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7"/>
      <c r="Q16" s="1352"/>
      <c r="R16" s="705"/>
      <c r="S16" s="706"/>
      <c r="T16" s="705"/>
      <c r="U16" s="706"/>
      <c r="V16" s="705"/>
      <c r="W16" s="706"/>
      <c r="X16" s="1355"/>
      <c r="Y16" s="368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7"/>
      <c r="Q17" s="1352" t="str">
        <f>B17</f>
        <v>交通便捷度</v>
      </c>
      <c r="R17" s="705" t="s">
        <v>18</v>
      </c>
      <c r="S17" s="706">
        <f>F17</f>
        <v>100</v>
      </c>
      <c r="T17" s="705" t="s">
        <v>18</v>
      </c>
      <c r="U17" s="706">
        <f>H17</f>
        <v>100</v>
      </c>
      <c r="V17" s="705" t="s">
        <v>18</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7"/>
      <c r="Q18" s="1352"/>
      <c r="R18" s="705"/>
      <c r="S18" s="706"/>
      <c r="T18" s="705"/>
      <c r="U18" s="706"/>
      <c r="V18" s="705"/>
      <c r="W18" s="706"/>
      <c r="X18" s="1355"/>
      <c r="Y18" s="368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7"/>
      <c r="Q19" s="1352" t="str">
        <f>B19</f>
        <v>公共配套设施</v>
      </c>
      <c r="R19" s="705" t="s">
        <v>18</v>
      </c>
      <c r="S19" s="706">
        <f>F19</f>
        <v>100</v>
      </c>
      <c r="T19" s="705" t="s">
        <v>18</v>
      </c>
      <c r="U19" s="706">
        <f>H19</f>
        <v>100</v>
      </c>
      <c r="V19" s="705" t="s">
        <v>18</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7"/>
      <c r="Q20" s="1352"/>
      <c r="R20" s="705"/>
      <c r="S20" s="706"/>
      <c r="T20" s="705"/>
      <c r="U20" s="706"/>
      <c r="V20" s="705"/>
      <c r="W20" s="706"/>
      <c r="X20" s="1355"/>
      <c r="Y20" s="368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7"/>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7"/>
      <c r="Q22" s="1352"/>
      <c r="R22" s="705"/>
      <c r="S22" s="706"/>
      <c r="T22" s="705"/>
      <c r="U22" s="706"/>
      <c r="V22" s="705"/>
      <c r="W22" s="706"/>
      <c r="X22" s="1355"/>
      <c r="Y22" s="368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7"/>
      <c r="Q23" s="1352" t="str">
        <f>B23</f>
        <v>自然及人文环境</v>
      </c>
      <c r="R23" s="705" t="s">
        <v>18</v>
      </c>
      <c r="S23" s="706">
        <f>F23</f>
        <v>100</v>
      </c>
      <c r="T23" s="705" t="s">
        <v>18</v>
      </c>
      <c r="U23" s="706">
        <f>H23</f>
        <v>100</v>
      </c>
      <c r="V23" s="705" t="s">
        <v>18</v>
      </c>
      <c r="W23" s="706">
        <f>J23</f>
        <v>100</v>
      </c>
      <c r="X23" s="1355"/>
      <c r="Y23" s="368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7"/>
      <c r="Q24" s="1352"/>
      <c r="R24" s="705"/>
      <c r="S24" s="706"/>
      <c r="T24" s="705"/>
      <c r="U24" s="706"/>
      <c r="V24" s="705"/>
      <c r="W24" s="706"/>
      <c r="X24" s="1355"/>
      <c r="Y24" s="368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7"/>
      <c r="Q26" s="1352" t="str">
        <f t="shared" si="11"/>
        <v>朝向</v>
      </c>
      <c r="R26" s="705" t="s">
        <v>18</v>
      </c>
      <c r="S26" s="706">
        <f t="shared" si="12"/>
        <v>100</v>
      </c>
      <c r="T26" s="705" t="s">
        <v>18</v>
      </c>
      <c r="U26" s="706">
        <f t="shared" si="13"/>
        <v>100</v>
      </c>
      <c r="V26" s="705" t="s">
        <v>18</v>
      </c>
      <c r="W26" s="706">
        <f t="shared" si="14"/>
        <v>100</v>
      </c>
      <c r="X26" s="1355"/>
      <c r="Y26" s="368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7"/>
      <c r="Q27" s="1343">
        <f t="shared" si="11"/>
        <v>111</v>
      </c>
      <c r="R27" s="701" t="s">
        <v>18</v>
      </c>
      <c r="S27" s="702">
        <f t="shared" si="12"/>
        <v>100</v>
      </c>
      <c r="T27" s="701" t="s">
        <v>18</v>
      </c>
      <c r="U27" s="702">
        <f t="shared" si="13"/>
        <v>100</v>
      </c>
      <c r="V27" s="701" t="s">
        <v>18</v>
      </c>
      <c r="W27" s="702">
        <f t="shared" si="14"/>
        <v>100</v>
      </c>
      <c r="X27" s="703"/>
      <c r="Y27" s="368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7"/>
      <c r="Q28" s="1352">
        <f t="shared" si="11"/>
        <v>111</v>
      </c>
      <c r="R28" s="705" t="s">
        <v>18</v>
      </c>
      <c r="S28" s="706">
        <f t="shared" si="12"/>
        <v>100</v>
      </c>
      <c r="T28" s="705" t="s">
        <v>18</v>
      </c>
      <c r="U28" s="706">
        <f t="shared" si="13"/>
        <v>100</v>
      </c>
      <c r="V28" s="705" t="s">
        <v>18</v>
      </c>
      <c r="W28" s="706">
        <f t="shared" si="14"/>
        <v>100</v>
      </c>
      <c r="X28" s="1355"/>
      <c r="Y28" s="368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7"/>
      <c r="Q29" s="1352">
        <f t="shared" si="11"/>
        <v>111</v>
      </c>
      <c r="R29" s="705" t="s">
        <v>18</v>
      </c>
      <c r="S29" s="706">
        <f t="shared" si="12"/>
        <v>100</v>
      </c>
      <c r="T29" s="705" t="s">
        <v>18</v>
      </c>
      <c r="U29" s="706">
        <f t="shared" si="13"/>
        <v>100</v>
      </c>
      <c r="V29" s="705" t="s">
        <v>18</v>
      </c>
      <c r="W29" s="706">
        <f t="shared" si="14"/>
        <v>100</v>
      </c>
      <c r="X29" s="1355"/>
      <c r="Y29" s="368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7"/>
      <c r="Q30" s="1352">
        <f t="shared" si="11"/>
        <v>111</v>
      </c>
      <c r="R30" s="705" t="s">
        <v>18</v>
      </c>
      <c r="S30" s="706">
        <f t="shared" si="12"/>
        <v>100</v>
      </c>
      <c r="T30" s="705" t="s">
        <v>18</v>
      </c>
      <c r="U30" s="706">
        <f t="shared" si="13"/>
        <v>100</v>
      </c>
      <c r="V30" s="705" t="s">
        <v>18</v>
      </c>
      <c r="W30" s="706">
        <f t="shared" si="14"/>
        <v>100</v>
      </c>
      <c r="X30" s="1355"/>
      <c r="Y30" s="368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7"/>
      <c r="Q31" s="1352">
        <f t="shared" si="11"/>
        <v>111</v>
      </c>
      <c r="R31" s="705" t="s">
        <v>18</v>
      </c>
      <c r="S31" s="706">
        <f t="shared" si="12"/>
        <v>100</v>
      </c>
      <c r="T31" s="705" t="s">
        <v>18</v>
      </c>
      <c r="U31" s="706">
        <f t="shared" si="13"/>
        <v>100</v>
      </c>
      <c r="V31" s="705" t="s">
        <v>18</v>
      </c>
      <c r="W31" s="706">
        <f t="shared" si="14"/>
        <v>100</v>
      </c>
      <c r="X31" s="1355"/>
      <c r="Y31" s="368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0" t="s">
        <v>1696</v>
      </c>
      <c r="Q32" s="1352" t="str">
        <f t="shared" si="11"/>
        <v>建筑类型</v>
      </c>
      <c r="R32" s="705" t="s">
        <v>18</v>
      </c>
      <c r="S32" s="706">
        <f t="shared" si="12"/>
        <v>100</v>
      </c>
      <c r="T32" s="705" t="s">
        <v>18</v>
      </c>
      <c r="U32" s="706">
        <f t="shared" si="13"/>
        <v>100</v>
      </c>
      <c r="V32" s="705" t="s">
        <v>18</v>
      </c>
      <c r="W32" s="706">
        <f t="shared" si="14"/>
        <v>100</v>
      </c>
      <c r="X32" s="1355"/>
      <c r="Y32" s="369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1"/>
      <c r="Q33" s="707" t="str">
        <f t="shared" si="11"/>
        <v>项目建筑规模</v>
      </c>
      <c r="R33" s="708" t="s">
        <v>18</v>
      </c>
      <c r="S33" s="709" t="e">
        <f t="shared" si="12"/>
        <v>#N/A</v>
      </c>
      <c r="T33" s="708" t="s">
        <v>18</v>
      </c>
      <c r="U33" s="709" t="e">
        <f t="shared" si="13"/>
        <v>#N/A</v>
      </c>
      <c r="V33" s="708" t="s">
        <v>18</v>
      </c>
      <c r="W33" s="709" t="e">
        <f t="shared" si="14"/>
        <v>#N/A</v>
      </c>
      <c r="X33" s="710"/>
      <c r="Y33" s="369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1"/>
      <c r="Q34" s="1352" t="str">
        <f t="shared" si="11"/>
        <v>建筑结构</v>
      </c>
      <c r="R34" s="705" t="s">
        <v>18</v>
      </c>
      <c r="S34" s="706">
        <f t="shared" si="12"/>
        <v>100</v>
      </c>
      <c r="T34" s="705" t="s">
        <v>18</v>
      </c>
      <c r="U34" s="706">
        <f t="shared" si="13"/>
        <v>100</v>
      </c>
      <c r="V34" s="705" t="s">
        <v>18</v>
      </c>
      <c r="W34" s="706">
        <f t="shared" si="14"/>
        <v>100</v>
      </c>
      <c r="X34" s="1355"/>
      <c r="Y34" s="369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1"/>
      <c r="Q35" s="1352" t="str">
        <f t="shared" si="11"/>
        <v>建筑品质</v>
      </c>
      <c r="R35" s="705" t="s">
        <v>18</v>
      </c>
      <c r="S35" s="706">
        <f t="shared" si="12"/>
        <v>100</v>
      </c>
      <c r="T35" s="705" t="s">
        <v>18</v>
      </c>
      <c r="U35" s="706">
        <f t="shared" si="13"/>
        <v>100</v>
      </c>
      <c r="V35" s="705" t="s">
        <v>18</v>
      </c>
      <c r="W35" s="706">
        <f t="shared" si="14"/>
        <v>100</v>
      </c>
      <c r="X35" s="1355"/>
      <c r="Y35" s="369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1"/>
      <c r="Q36" s="1352" t="str">
        <f t="shared" si="11"/>
        <v>公共部分装修</v>
      </c>
      <c r="R36" s="705" t="s">
        <v>18</v>
      </c>
      <c r="S36" s="706">
        <f t="shared" si="12"/>
        <v>100</v>
      </c>
      <c r="T36" s="705" t="s">
        <v>18</v>
      </c>
      <c r="U36" s="706">
        <f t="shared" si="13"/>
        <v>100</v>
      </c>
      <c r="V36" s="705" t="s">
        <v>18</v>
      </c>
      <c r="W36" s="706">
        <f t="shared" si="14"/>
        <v>100</v>
      </c>
      <c r="X36" s="1355"/>
      <c r="Y36" s="369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1"/>
      <c r="Q37" s="1343" t="str">
        <f t="shared" si="11"/>
        <v>成新度</v>
      </c>
      <c r="R37" s="701" t="s">
        <v>18</v>
      </c>
      <c r="S37" s="702" t="e">
        <f t="shared" si="12"/>
        <v>#N/A</v>
      </c>
      <c r="T37" s="701" t="s">
        <v>18</v>
      </c>
      <c r="U37" s="702" t="e">
        <f t="shared" si="13"/>
        <v>#N/A</v>
      </c>
      <c r="V37" s="701" t="s">
        <v>18</v>
      </c>
      <c r="W37" s="702" t="e">
        <f t="shared" si="14"/>
        <v>#N/A</v>
      </c>
      <c r="X37" s="703"/>
      <c r="Y37" s="369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1" t="s">
        <v>1696</v>
      </c>
      <c r="Q38" s="1352" t="str">
        <f t="shared" si="11"/>
        <v>物业管理</v>
      </c>
      <c r="R38" s="705" t="s">
        <v>18</v>
      </c>
      <c r="S38" s="706">
        <f t="shared" si="12"/>
        <v>100</v>
      </c>
      <c r="T38" s="705" t="s">
        <v>18</v>
      </c>
      <c r="U38" s="706">
        <f t="shared" si="13"/>
        <v>100</v>
      </c>
      <c r="V38" s="705" t="s">
        <v>18</v>
      </c>
      <c r="W38" s="706">
        <f t="shared" si="14"/>
        <v>100</v>
      </c>
      <c r="X38" s="1355"/>
      <c r="Y38" s="369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1"/>
      <c r="Q39" s="1352" t="str">
        <f t="shared" si="11"/>
        <v>市政基础设施</v>
      </c>
      <c r="R39" s="705" t="s">
        <v>18</v>
      </c>
      <c r="S39" s="706">
        <f t="shared" si="12"/>
        <v>100</v>
      </c>
      <c r="T39" s="705" t="s">
        <v>18</v>
      </c>
      <c r="U39" s="706">
        <f t="shared" si="13"/>
        <v>100</v>
      </c>
      <c r="V39" s="705" t="s">
        <v>18</v>
      </c>
      <c r="W39" s="706">
        <f t="shared" si="14"/>
        <v>100</v>
      </c>
      <c r="X39" s="1355"/>
      <c r="Y39" s="369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1"/>
      <c r="Q40" s="1352" t="str">
        <f t="shared" si="11"/>
        <v>房型</v>
      </c>
      <c r="R40" s="705" t="s">
        <v>18</v>
      </c>
      <c r="S40" s="706">
        <f t="shared" si="12"/>
        <v>100</v>
      </c>
      <c r="T40" s="705" t="s">
        <v>18</v>
      </c>
      <c r="U40" s="706">
        <f t="shared" si="13"/>
        <v>100</v>
      </c>
      <c r="V40" s="705" t="s">
        <v>18</v>
      </c>
      <c r="W40" s="706">
        <f t="shared" si="14"/>
        <v>100</v>
      </c>
      <c r="X40" s="1355"/>
      <c r="Y40" s="369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1"/>
      <c r="Q41" s="707" t="str">
        <f t="shared" si="11"/>
        <v>单套/主力户型建筑面积</v>
      </c>
      <c r="R41" s="708" t="s">
        <v>18</v>
      </c>
      <c r="S41" s="709">
        <f t="shared" si="12"/>
        <v>100</v>
      </c>
      <c r="T41" s="708" t="s">
        <v>18</v>
      </c>
      <c r="U41" s="709">
        <f t="shared" si="13"/>
        <v>100</v>
      </c>
      <c r="V41" s="708" t="s">
        <v>18</v>
      </c>
      <c r="W41" s="709">
        <f t="shared" si="14"/>
        <v>100</v>
      </c>
      <c r="X41" s="710"/>
      <c r="Y41" s="369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1"/>
      <c r="Q42" s="1352" t="str">
        <f t="shared" si="11"/>
        <v>内部装修</v>
      </c>
      <c r="R42" s="705" t="s">
        <v>18</v>
      </c>
      <c r="S42" s="706">
        <f t="shared" si="12"/>
        <v>100</v>
      </c>
      <c r="T42" s="705" t="s">
        <v>18</v>
      </c>
      <c r="U42" s="706">
        <f t="shared" si="13"/>
        <v>100</v>
      </c>
      <c r="V42" s="705" t="s">
        <v>18</v>
      </c>
      <c r="W42" s="706">
        <f t="shared" si="14"/>
        <v>100</v>
      </c>
      <c r="X42" s="1355"/>
      <c r="Y42" s="369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1"/>
      <c r="Q43" s="1352" t="str">
        <f t="shared" si="11"/>
        <v>内部装修维护情况</v>
      </c>
      <c r="R43" s="705" t="s">
        <v>18</v>
      </c>
      <c r="S43" s="706">
        <f t="shared" si="12"/>
        <v>100</v>
      </c>
      <c r="T43" s="705" t="s">
        <v>18</v>
      </c>
      <c r="U43" s="706">
        <f t="shared" si="13"/>
        <v>100</v>
      </c>
      <c r="V43" s="705" t="s">
        <v>18</v>
      </c>
      <c r="W43" s="706">
        <f t="shared" si="14"/>
        <v>100</v>
      </c>
      <c r="X43" s="1355"/>
      <c r="Y43" s="369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1"/>
      <c r="Q44" s="1343">
        <f t="shared" si="11"/>
        <v>111</v>
      </c>
      <c r="R44" s="701" t="s">
        <v>18</v>
      </c>
      <c r="S44" s="702">
        <f t="shared" si="12"/>
        <v>100</v>
      </c>
      <c r="T44" s="701" t="s">
        <v>18</v>
      </c>
      <c r="U44" s="702">
        <f t="shared" si="13"/>
        <v>100</v>
      </c>
      <c r="V44" s="701" t="s">
        <v>18</v>
      </c>
      <c r="W44" s="702">
        <f t="shared" si="14"/>
        <v>100</v>
      </c>
      <c r="X44" s="703"/>
      <c r="Y44" s="369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1"/>
      <c r="Q45" s="1352">
        <f t="shared" si="11"/>
        <v>111</v>
      </c>
      <c r="R45" s="705" t="s">
        <v>18</v>
      </c>
      <c r="S45" s="706">
        <f t="shared" si="12"/>
        <v>100</v>
      </c>
      <c r="T45" s="705" t="s">
        <v>18</v>
      </c>
      <c r="U45" s="706">
        <f t="shared" si="13"/>
        <v>100</v>
      </c>
      <c r="V45" s="705" t="s">
        <v>18</v>
      </c>
      <c r="W45" s="706">
        <f t="shared" si="14"/>
        <v>100</v>
      </c>
      <c r="X45" s="1355"/>
      <c r="Y45" s="369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2"/>
      <c r="Q46" s="1352">
        <f t="shared" si="11"/>
        <v>111</v>
      </c>
      <c r="R46" s="705" t="s">
        <v>17</v>
      </c>
      <c r="S46" s="706">
        <f t="shared" si="12"/>
        <v>100</v>
      </c>
      <c r="T46" s="705" t="s">
        <v>17</v>
      </c>
      <c r="U46" s="706">
        <f t="shared" si="13"/>
        <v>100</v>
      </c>
      <c r="V46" s="705" t="s">
        <v>17</v>
      </c>
      <c r="W46" s="706">
        <f t="shared" si="14"/>
        <v>100</v>
      </c>
      <c r="X46" s="1355"/>
      <c r="Y46" s="369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5" t="str">
        <f>A47</f>
        <v>成交单价（元/平方米）</v>
      </c>
      <c r="Q47" s="3695"/>
      <c r="R47" s="3696">
        <f>E47</f>
        <v>0</v>
      </c>
      <c r="S47" s="3696"/>
      <c r="T47" s="3696">
        <f>G47</f>
        <v>0</v>
      </c>
      <c r="U47" s="3696"/>
      <c r="V47" s="3696">
        <f>I47</f>
        <v>0</v>
      </c>
      <c r="W47" s="369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5" t="str">
        <f>A48</f>
        <v>比较价值（元/平方米）</v>
      </c>
      <c r="Q48" s="3695"/>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1189.08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735" t="s">
        <v>1775</v>
      </c>
      <c r="Q4" s="3736"/>
      <c r="R4" s="3730" t="s">
        <v>1771</v>
      </c>
      <c r="S4" s="3731"/>
      <c r="T4" s="3730" t="s">
        <v>1772</v>
      </c>
      <c r="U4" s="3731"/>
      <c r="V4" s="3739" t="s">
        <v>1773</v>
      </c>
      <c r="W4" s="3739"/>
      <c r="X4" s="1958"/>
      <c r="Y4" s="3730" t="s">
        <v>1775</v>
      </c>
      <c r="Z4" s="3731"/>
      <c r="AA4" s="3729" t="s">
        <v>1771</v>
      </c>
      <c r="AB4" s="3729" t="s">
        <v>1772</v>
      </c>
      <c r="AC4" s="3732" t="s">
        <v>1773</v>
      </c>
    </row>
    <row r="5" spans="1:29" ht="15">
      <c r="A5" s="358"/>
      <c r="B5" s="359"/>
      <c r="C5" s="3669" t="s">
        <v>1673</v>
      </c>
      <c r="D5" s="3666"/>
      <c r="E5" s="3663" t="s">
        <v>1674</v>
      </c>
      <c r="F5" s="3664"/>
      <c r="G5" s="3669" t="s">
        <v>1675</v>
      </c>
      <c r="H5" s="3666"/>
      <c r="I5" s="3669" t="s">
        <v>1676</v>
      </c>
      <c r="J5" s="3666"/>
      <c r="K5" s="559"/>
      <c r="L5" s="2715"/>
      <c r="M5" s="2716"/>
      <c r="N5" s="2716"/>
      <c r="O5" s="2716"/>
      <c r="P5" s="3737"/>
      <c r="Q5" s="3680"/>
      <c r="R5" s="3661"/>
      <c r="S5" s="3662"/>
      <c r="T5" s="3661"/>
      <c r="U5" s="3662"/>
      <c r="V5" s="3656"/>
      <c r="W5" s="3656"/>
      <c r="X5" s="1355"/>
      <c r="Y5" s="3661"/>
      <c r="Z5" s="3662"/>
      <c r="AA5" s="3654"/>
      <c r="AB5" s="3654"/>
      <c r="AC5" s="3733"/>
    </row>
    <row r="6" spans="1:29" ht="15.75" thickBot="1">
      <c r="A6" s="360"/>
      <c r="B6" s="361"/>
      <c r="C6" s="3667" t="s">
        <v>1677</v>
      </c>
      <c r="D6" s="3668"/>
      <c r="E6" s="3670" t="s">
        <v>1677</v>
      </c>
      <c r="F6" s="3671"/>
      <c r="G6" s="3667" t="s">
        <v>1677</v>
      </c>
      <c r="H6" s="3668"/>
      <c r="I6" s="3667" t="s">
        <v>1677</v>
      </c>
      <c r="J6" s="3668"/>
      <c r="K6" s="559" t="s">
        <v>1678</v>
      </c>
      <c r="L6" s="2715"/>
      <c r="M6" s="2716"/>
      <c r="N6" s="2716"/>
      <c r="O6" s="2716"/>
      <c r="P6" s="3738"/>
      <c r="Q6" s="3682"/>
      <c r="R6" s="3661"/>
      <c r="S6" s="3662"/>
      <c r="T6" s="3683"/>
      <c r="U6" s="3684"/>
      <c r="V6" s="3656"/>
      <c r="W6" s="3656"/>
      <c r="X6" s="1355"/>
      <c r="Y6" s="3683"/>
      <c r="Z6" s="3684"/>
      <c r="AA6" s="3655"/>
      <c r="AB6" s="3655"/>
      <c r="AC6" s="3734"/>
    </row>
    <row r="7" spans="1:29" s="108" customFormat="1" ht="15.75" thickBot="1">
      <c r="A7" s="362" t="s">
        <v>1679</v>
      </c>
      <c r="B7" s="363"/>
      <c r="C7" s="364">
        <f>'数据-取费表'!B2</f>
        <v>45148</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0" t="s">
        <v>1680</v>
      </c>
      <c r="Q7" s="3685"/>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0" t="s">
        <v>1683</v>
      </c>
      <c r="Q8" s="3658"/>
      <c r="R8" s="701" t="s">
        <v>14</v>
      </c>
      <c r="S8" s="702">
        <f t="shared" si="0"/>
        <v>100</v>
      </c>
      <c r="T8" s="701" t="s">
        <v>14</v>
      </c>
      <c r="U8" s="702">
        <f t="shared" si="1"/>
        <v>100</v>
      </c>
      <c r="V8" s="701" t="s">
        <v>14</v>
      </c>
      <c r="W8" s="702">
        <f t="shared" si="2"/>
        <v>100</v>
      </c>
      <c r="X8" s="703"/>
      <c r="Y8" s="3657" t="s">
        <v>1683</v>
      </c>
      <c r="Z8" s="365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2"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2"/>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2"/>
      <c r="Q11" s="1343" t="str">
        <f t="shared" si="6"/>
        <v>容积率</v>
      </c>
      <c r="R11" s="701" t="s">
        <v>14</v>
      </c>
      <c r="S11" s="702">
        <f t="shared" si="0"/>
        <v>100</v>
      </c>
      <c r="T11" s="701" t="s">
        <v>14</v>
      </c>
      <c r="U11" s="702">
        <f t="shared" si="1"/>
        <v>100</v>
      </c>
      <c r="V11" s="701" t="s">
        <v>14</v>
      </c>
      <c r="W11" s="702">
        <f t="shared" si="2"/>
        <v>100</v>
      </c>
      <c r="X11" s="703"/>
      <c r="Y11" s="362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2"/>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2"/>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2"/>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86" t="s">
        <v>1691</v>
      </c>
      <c r="Q15" s="1352" t="str">
        <f t="shared" si="6"/>
        <v>办公集聚程度</v>
      </c>
      <c r="R15" s="705" t="s">
        <v>14</v>
      </c>
      <c r="S15" s="706">
        <f t="shared" si="0"/>
        <v>100</v>
      </c>
      <c r="T15" s="705" t="s">
        <v>14</v>
      </c>
      <c r="U15" s="706">
        <f t="shared" si="1"/>
        <v>100</v>
      </c>
      <c r="V15" s="705" t="s">
        <v>14</v>
      </c>
      <c r="W15" s="706">
        <f t="shared" si="2"/>
        <v>100</v>
      </c>
      <c r="X15" s="1355"/>
      <c r="Y15" s="368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7"/>
      <c r="Q16" s="1352"/>
      <c r="R16" s="705"/>
      <c r="S16" s="706"/>
      <c r="T16" s="705"/>
      <c r="U16" s="706"/>
      <c r="V16" s="705"/>
      <c r="W16" s="706"/>
      <c r="X16" s="1355"/>
      <c r="Y16" s="368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7"/>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7"/>
      <c r="Q18" s="1352"/>
      <c r="R18" s="705"/>
      <c r="S18" s="706"/>
      <c r="T18" s="705"/>
      <c r="U18" s="706"/>
      <c r="V18" s="705"/>
      <c r="W18" s="706"/>
      <c r="X18" s="1355"/>
      <c r="Y18" s="368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7"/>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7"/>
      <c r="Q20" s="1352"/>
      <c r="R20" s="705"/>
      <c r="S20" s="706"/>
      <c r="T20" s="705"/>
      <c r="U20" s="706"/>
      <c r="V20" s="705"/>
      <c r="W20" s="706"/>
      <c r="X20" s="1355"/>
      <c r="Y20" s="368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7"/>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7"/>
      <c r="Q22" s="1352"/>
      <c r="R22" s="705"/>
      <c r="S22" s="706"/>
      <c r="T22" s="705"/>
      <c r="U22" s="706"/>
      <c r="V22" s="705"/>
      <c r="W22" s="706"/>
      <c r="X22" s="1355"/>
      <c r="Y22" s="368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7"/>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7"/>
      <c r="Q24" s="1352"/>
      <c r="R24" s="705"/>
      <c r="S24" s="706"/>
      <c r="T24" s="705"/>
      <c r="U24" s="706"/>
      <c r="V24" s="705"/>
      <c r="W24" s="706"/>
      <c r="X24" s="1355"/>
      <c r="Y24" s="368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7"/>
      <c r="Q25" s="1352" t="str">
        <f>B25</f>
        <v>毗邻道路的类型与等级</v>
      </c>
      <c r="R25" s="705" t="s">
        <v>14</v>
      </c>
      <c r="S25" s="706">
        <f>F25</f>
        <v>100</v>
      </c>
      <c r="T25" s="705" t="s">
        <v>14</v>
      </c>
      <c r="U25" s="706">
        <f>H25</f>
        <v>100</v>
      </c>
      <c r="V25" s="705" t="s">
        <v>14</v>
      </c>
      <c r="W25" s="706">
        <f>J25</f>
        <v>100</v>
      </c>
      <c r="X25" s="1355"/>
      <c r="Y25" s="368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7"/>
      <c r="Q26" s="1352"/>
      <c r="R26" s="705"/>
      <c r="S26" s="706"/>
      <c r="T26" s="705"/>
      <c r="U26" s="706"/>
      <c r="V26" s="705"/>
      <c r="W26" s="706"/>
      <c r="X26" s="1355"/>
      <c r="Y26" s="368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7"/>
      <c r="Q27" s="1352" t="str">
        <f t="shared" ref="Q27:Q47" si="11">B27</f>
        <v>楼层</v>
      </c>
      <c r="R27" s="705" t="s">
        <v>14</v>
      </c>
      <c r="S27" s="706">
        <f>F27</f>
        <v>100</v>
      </c>
      <c r="T27" s="705" t="s">
        <v>14</v>
      </c>
      <c r="U27" s="706">
        <f>H27</f>
        <v>100</v>
      </c>
      <c r="V27" s="705" t="s">
        <v>14</v>
      </c>
      <c r="W27" s="706">
        <f>J27</f>
        <v>100</v>
      </c>
      <c r="X27" s="1355"/>
      <c r="Y27" s="368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7"/>
      <c r="Q28" s="1343" t="str">
        <f t="shared" si="11"/>
        <v>朝向</v>
      </c>
      <c r="R28" s="701" t="s">
        <v>14</v>
      </c>
      <c r="S28" s="702">
        <f>F28</f>
        <v>100</v>
      </c>
      <c r="T28" s="701" t="s">
        <v>14</v>
      </c>
      <c r="U28" s="702">
        <f>H28</f>
        <v>100</v>
      </c>
      <c r="V28" s="701" t="s">
        <v>14</v>
      </c>
      <c r="W28" s="702">
        <f>J28</f>
        <v>100</v>
      </c>
      <c r="X28" s="703"/>
      <c r="Y28" s="368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7"/>
      <c r="Q29" s="1352">
        <f t="shared" si="11"/>
        <v>111</v>
      </c>
      <c r="R29" s="705" t="s">
        <v>14</v>
      </c>
      <c r="S29" s="706">
        <f t="shared" ref="S29:S47" si="12">F29</f>
        <v>100</v>
      </c>
      <c r="T29" s="705" t="s">
        <v>14</v>
      </c>
      <c r="U29" s="706">
        <f t="shared" ref="U29:U47" si="13">H29</f>
        <v>100</v>
      </c>
      <c r="V29" s="705" t="s">
        <v>14</v>
      </c>
      <c r="W29" s="706">
        <f t="shared" ref="W29:W47" si="14">J29</f>
        <v>100</v>
      </c>
      <c r="X29" s="1355"/>
      <c r="Y29" s="368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7"/>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7"/>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7"/>
      <c r="Q32" s="1352">
        <f t="shared" si="11"/>
        <v>111</v>
      </c>
      <c r="R32" s="705" t="s">
        <v>14</v>
      </c>
      <c r="S32" s="706">
        <f t="shared" si="12"/>
        <v>100</v>
      </c>
      <c r="T32" s="705" t="s">
        <v>14</v>
      </c>
      <c r="U32" s="706">
        <f t="shared" si="13"/>
        <v>100</v>
      </c>
      <c r="V32" s="705" t="s">
        <v>14</v>
      </c>
      <c r="W32" s="706">
        <f t="shared" si="14"/>
        <v>100</v>
      </c>
      <c r="X32" s="1355"/>
      <c r="Y32" s="368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90" t="s">
        <v>1696</v>
      </c>
      <c r="Q33" s="1352" t="str">
        <f t="shared" si="11"/>
        <v>建筑类型</v>
      </c>
      <c r="R33" s="705" t="s">
        <v>14</v>
      </c>
      <c r="S33" s="706">
        <f t="shared" si="12"/>
        <v>100</v>
      </c>
      <c r="T33" s="705" t="s">
        <v>14</v>
      </c>
      <c r="U33" s="706">
        <f t="shared" si="13"/>
        <v>100</v>
      </c>
      <c r="V33" s="705" t="s">
        <v>14</v>
      </c>
      <c r="W33" s="706">
        <f t="shared" si="14"/>
        <v>100</v>
      </c>
      <c r="X33" s="1355"/>
      <c r="Y33" s="369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1"/>
      <c r="Q34" s="707" t="str">
        <f t="shared" si="11"/>
        <v>项目建筑规模</v>
      </c>
      <c r="R34" s="708" t="s">
        <v>14</v>
      </c>
      <c r="S34" s="709" t="e">
        <f t="shared" si="12"/>
        <v>#N/A</v>
      </c>
      <c r="T34" s="708" t="s">
        <v>14</v>
      </c>
      <c r="U34" s="709" t="e">
        <f t="shared" si="13"/>
        <v>#N/A</v>
      </c>
      <c r="V34" s="708" t="s">
        <v>14</v>
      </c>
      <c r="W34" s="709" t="e">
        <f t="shared" si="14"/>
        <v>#N/A</v>
      </c>
      <c r="X34" s="710"/>
      <c r="Y34" s="369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1"/>
      <c r="Q35" s="1352" t="str">
        <f t="shared" si="11"/>
        <v>建筑结构</v>
      </c>
      <c r="R35" s="705" t="s">
        <v>14</v>
      </c>
      <c r="S35" s="706">
        <f t="shared" si="12"/>
        <v>100</v>
      </c>
      <c r="T35" s="705" t="s">
        <v>14</v>
      </c>
      <c r="U35" s="706">
        <f t="shared" si="13"/>
        <v>100</v>
      </c>
      <c r="V35" s="705" t="s">
        <v>14</v>
      </c>
      <c r="W35" s="706">
        <f t="shared" si="14"/>
        <v>100</v>
      </c>
      <c r="X35" s="1355"/>
      <c r="Y35" s="369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1"/>
      <c r="Q36" s="1352" t="str">
        <f t="shared" si="11"/>
        <v>公共部分装修</v>
      </c>
      <c r="R36" s="705" t="s">
        <v>14</v>
      </c>
      <c r="S36" s="706">
        <f t="shared" si="12"/>
        <v>100</v>
      </c>
      <c r="T36" s="705" t="s">
        <v>14</v>
      </c>
      <c r="U36" s="706">
        <f t="shared" si="13"/>
        <v>100</v>
      </c>
      <c r="V36" s="705" t="s">
        <v>14</v>
      </c>
      <c r="W36" s="706">
        <f t="shared" si="14"/>
        <v>100</v>
      </c>
      <c r="X36" s="1355"/>
      <c r="Y36" s="369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1"/>
      <c r="Q37" s="1352" t="str">
        <f t="shared" si="11"/>
        <v>成新度</v>
      </c>
      <c r="R37" s="705" t="s">
        <v>14</v>
      </c>
      <c r="S37" s="706" t="e">
        <f t="shared" si="12"/>
        <v>#N/A</v>
      </c>
      <c r="T37" s="705" t="s">
        <v>14</v>
      </c>
      <c r="U37" s="706" t="e">
        <f t="shared" si="13"/>
        <v>#N/A</v>
      </c>
      <c r="V37" s="705" t="s">
        <v>14</v>
      </c>
      <c r="W37" s="706" t="e">
        <f t="shared" si="14"/>
        <v>#N/A</v>
      </c>
      <c r="X37" s="1355"/>
      <c r="Y37" s="369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1"/>
      <c r="Q38" s="1343" t="str">
        <f t="shared" si="11"/>
        <v>写字楼等级</v>
      </c>
      <c r="R38" s="701" t="s">
        <v>14</v>
      </c>
      <c r="S38" s="702">
        <f t="shared" si="12"/>
        <v>100</v>
      </c>
      <c r="T38" s="701" t="s">
        <v>14</v>
      </c>
      <c r="U38" s="702">
        <f t="shared" si="13"/>
        <v>100</v>
      </c>
      <c r="V38" s="701" t="s">
        <v>14</v>
      </c>
      <c r="W38" s="702">
        <f t="shared" si="14"/>
        <v>100</v>
      </c>
      <c r="X38" s="703"/>
      <c r="Y38" s="369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1" t="s">
        <v>1696</v>
      </c>
      <c r="Q39" s="1352" t="str">
        <f t="shared" si="11"/>
        <v>物业管理</v>
      </c>
      <c r="R39" s="705" t="s">
        <v>14</v>
      </c>
      <c r="S39" s="706">
        <f t="shared" si="12"/>
        <v>100</v>
      </c>
      <c r="T39" s="705" t="s">
        <v>14</v>
      </c>
      <c r="U39" s="706">
        <f t="shared" si="13"/>
        <v>100</v>
      </c>
      <c r="V39" s="705" t="s">
        <v>14</v>
      </c>
      <c r="W39" s="706">
        <f t="shared" si="14"/>
        <v>100</v>
      </c>
      <c r="X39" s="1355"/>
      <c r="Y39" s="369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1"/>
      <c r="Q40" s="1352" t="str">
        <f t="shared" si="11"/>
        <v>市政基础设施</v>
      </c>
      <c r="R40" s="705" t="s">
        <v>14</v>
      </c>
      <c r="S40" s="706">
        <f t="shared" si="12"/>
        <v>100</v>
      </c>
      <c r="T40" s="705" t="s">
        <v>14</v>
      </c>
      <c r="U40" s="706">
        <f t="shared" si="13"/>
        <v>100</v>
      </c>
      <c r="V40" s="705" t="s">
        <v>14</v>
      </c>
      <c r="W40" s="706">
        <f t="shared" si="14"/>
        <v>100</v>
      </c>
      <c r="X40" s="1355"/>
      <c r="Y40" s="369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1"/>
      <c r="Q41" s="1352" t="str">
        <f t="shared" si="11"/>
        <v>层高</v>
      </c>
      <c r="R41" s="705" t="s">
        <v>14</v>
      </c>
      <c r="S41" s="706">
        <f t="shared" si="12"/>
        <v>100</v>
      </c>
      <c r="T41" s="705" t="s">
        <v>14</v>
      </c>
      <c r="U41" s="706">
        <f t="shared" si="13"/>
        <v>100</v>
      </c>
      <c r="V41" s="705" t="s">
        <v>14</v>
      </c>
      <c r="W41" s="706">
        <f t="shared" si="14"/>
        <v>100</v>
      </c>
      <c r="X41" s="1355"/>
      <c r="Y41" s="369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1"/>
      <c r="Q43" s="1352" t="str">
        <f t="shared" si="11"/>
        <v>内部装修</v>
      </c>
      <c r="R43" s="705" t="s">
        <v>14</v>
      </c>
      <c r="S43" s="706">
        <f t="shared" si="12"/>
        <v>100</v>
      </c>
      <c r="T43" s="705" t="s">
        <v>14</v>
      </c>
      <c r="U43" s="706">
        <f t="shared" si="13"/>
        <v>100</v>
      </c>
      <c r="V43" s="705" t="s">
        <v>14</v>
      </c>
      <c r="W43" s="706">
        <f t="shared" si="14"/>
        <v>100</v>
      </c>
      <c r="X43" s="1355"/>
      <c r="Y43" s="369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1"/>
      <c r="Q44" s="1352" t="str">
        <f t="shared" si="11"/>
        <v>内部装修维护情况</v>
      </c>
      <c r="R44" s="705" t="s">
        <v>14</v>
      </c>
      <c r="S44" s="706">
        <f t="shared" si="12"/>
        <v>100</v>
      </c>
      <c r="T44" s="705" t="s">
        <v>14</v>
      </c>
      <c r="U44" s="706">
        <f t="shared" si="13"/>
        <v>100</v>
      </c>
      <c r="V44" s="705" t="s">
        <v>14</v>
      </c>
      <c r="W44" s="706">
        <f t="shared" si="14"/>
        <v>100</v>
      </c>
      <c r="X44" s="1355"/>
      <c r="Y44" s="369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1"/>
      <c r="Q45" s="1343">
        <f t="shared" si="11"/>
        <v>111</v>
      </c>
      <c r="R45" s="701" t="s">
        <v>14</v>
      </c>
      <c r="S45" s="702">
        <f t="shared" si="12"/>
        <v>100</v>
      </c>
      <c r="T45" s="701" t="s">
        <v>14</v>
      </c>
      <c r="U45" s="702">
        <f t="shared" si="13"/>
        <v>100</v>
      </c>
      <c r="V45" s="701" t="s">
        <v>14</v>
      </c>
      <c r="W45" s="702">
        <f t="shared" si="14"/>
        <v>100</v>
      </c>
      <c r="X45" s="703"/>
      <c r="Y45" s="369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1"/>
      <c r="Q46" s="1352">
        <f t="shared" si="11"/>
        <v>111</v>
      </c>
      <c r="R46" s="705" t="s">
        <v>14</v>
      </c>
      <c r="S46" s="706">
        <f t="shared" si="12"/>
        <v>100</v>
      </c>
      <c r="T46" s="705" t="s">
        <v>14</v>
      </c>
      <c r="U46" s="706">
        <f t="shared" si="13"/>
        <v>100</v>
      </c>
      <c r="V46" s="705" t="s">
        <v>14</v>
      </c>
      <c r="W46" s="706">
        <f t="shared" si="14"/>
        <v>100</v>
      </c>
      <c r="X46" s="1355"/>
      <c r="Y46" s="369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2"/>
      <c r="Q47" s="1352">
        <f t="shared" si="11"/>
        <v>111</v>
      </c>
      <c r="R47" s="705" t="s">
        <v>14</v>
      </c>
      <c r="S47" s="706">
        <f t="shared" si="12"/>
        <v>100</v>
      </c>
      <c r="T47" s="705" t="s">
        <v>14</v>
      </c>
      <c r="U47" s="706">
        <f t="shared" si="13"/>
        <v>100</v>
      </c>
      <c r="V47" s="705" t="s">
        <v>14</v>
      </c>
      <c r="W47" s="706">
        <f t="shared" si="14"/>
        <v>100</v>
      </c>
      <c r="X47" s="1355"/>
      <c r="Y47" s="369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2" t="str">
        <f>A48</f>
        <v>成交单价（元/平方米）</v>
      </c>
      <c r="Q48" s="3695"/>
      <c r="R48" s="3696">
        <f>E48</f>
        <v>0</v>
      </c>
      <c r="S48" s="3696"/>
      <c r="T48" s="3696">
        <f>G48</f>
        <v>0</v>
      </c>
      <c r="U48" s="3696"/>
      <c r="V48" s="3696">
        <f>I48</f>
        <v>0</v>
      </c>
      <c r="W48" s="369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2" t="str">
        <f>A49</f>
        <v>比较价值（元/平方米）</v>
      </c>
      <c r="Q49" s="3695"/>
      <c r="R49" s="3696" t="e">
        <f>IF(F1="售价",ROUND(PRODUCT(R48,AA7:AA47),0),ROUND(PRODUCT(R48,AA7:AA47),1))</f>
        <v>#DIV/0!</v>
      </c>
      <c r="S49" s="3696"/>
      <c r="T49" s="3696" t="e">
        <f>IF(F1="售价",ROUND(PRODUCT(T48,AB7:AB47),0),ROUND(PRODUCT(T48,AB7:AB47),1))</f>
        <v>#DIV/0!</v>
      </c>
      <c r="U49" s="3696"/>
      <c r="V49" s="3696" t="e">
        <f>IF(F1="售价",ROUND(PRODUCT(V48,AC7:AC47),0),ROUND(PRODUCT(V48,AC7:AC47),1))</f>
        <v>#DIV/0!</v>
      </c>
      <c r="W49" s="369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1" t="str">
        <f>A50</f>
        <v>估价对象XX用房的比较价值（楼面单价，元/平方米）</v>
      </c>
      <c r="Q50" s="3742"/>
      <c r="R50" s="3743" t="e">
        <f>IF(F1="售价",ROUND(IF(D49="简单平均",AVERAGE(R49:V49),R49*F49+T49*H49+V49*J49),0),ROUND(IF(D49="简单平均",AVERAGE(R49:V49),R49*F49+T49*H49+V49*J49),1))</f>
        <v>#DIV/0!</v>
      </c>
      <c r="S50" s="3743"/>
      <c r="T50" s="3743"/>
      <c r="U50" s="3743"/>
      <c r="V50" s="3743"/>
      <c r="W50" s="374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1189.08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913"/>
      <c r="M4" s="914"/>
      <c r="N4" s="914"/>
      <c r="O4" s="914"/>
      <c r="P4" s="3677" t="s">
        <v>1775</v>
      </c>
      <c r="Q4" s="3678"/>
      <c r="R4" s="3659" t="s">
        <v>1771</v>
      </c>
      <c r="S4" s="3660"/>
      <c r="T4" s="3659" t="s">
        <v>1772</v>
      </c>
      <c r="U4" s="3660"/>
      <c r="V4" s="3656" t="s">
        <v>1773</v>
      </c>
      <c r="W4" s="3656"/>
      <c r="X4" s="1355"/>
      <c r="Y4" s="3659" t="s">
        <v>1775</v>
      </c>
      <c r="Z4" s="3660"/>
      <c r="AA4" s="3653" t="s">
        <v>1771</v>
      </c>
      <c r="AB4" s="3654" t="s">
        <v>1772</v>
      </c>
      <c r="AC4" s="3653" t="s">
        <v>1773</v>
      </c>
    </row>
    <row r="5" spans="1:29" ht="15">
      <c r="A5" s="358"/>
      <c r="B5" s="359"/>
      <c r="C5" s="3669" t="s">
        <v>1673</v>
      </c>
      <c r="D5" s="3666"/>
      <c r="E5" s="3663" t="s">
        <v>1674</v>
      </c>
      <c r="F5" s="3664"/>
      <c r="G5" s="3669" t="s">
        <v>1675</v>
      </c>
      <c r="H5" s="3666"/>
      <c r="I5" s="3669" t="s">
        <v>1676</v>
      </c>
      <c r="J5" s="3666"/>
      <c r="K5" s="559"/>
      <c r="L5" s="913"/>
      <c r="M5" s="914"/>
      <c r="N5" s="914"/>
      <c r="O5" s="914"/>
      <c r="P5" s="3679"/>
      <c r="Q5" s="3680"/>
      <c r="R5" s="3661"/>
      <c r="S5" s="3662"/>
      <c r="T5" s="3661"/>
      <c r="U5" s="3662"/>
      <c r="V5" s="3656"/>
      <c r="W5" s="3656"/>
      <c r="X5" s="1355"/>
      <c r="Y5" s="3661"/>
      <c r="Z5" s="3662"/>
      <c r="AA5" s="3654"/>
      <c r="AB5" s="3654"/>
      <c r="AC5" s="3654"/>
    </row>
    <row r="6" spans="1:29" ht="15.75" thickBot="1">
      <c r="A6" s="360"/>
      <c r="B6" s="361"/>
      <c r="C6" s="3667" t="s">
        <v>1677</v>
      </c>
      <c r="D6" s="3668"/>
      <c r="E6" s="3670" t="s">
        <v>1677</v>
      </c>
      <c r="F6" s="3671"/>
      <c r="G6" s="3667" t="s">
        <v>1677</v>
      </c>
      <c r="H6" s="3668"/>
      <c r="I6" s="3667" t="s">
        <v>1677</v>
      </c>
      <c r="J6" s="3668"/>
      <c r="K6" s="559" t="s">
        <v>1678</v>
      </c>
      <c r="L6" s="913"/>
      <c r="M6" s="914"/>
      <c r="N6" s="914"/>
      <c r="O6" s="914"/>
      <c r="P6" s="3681"/>
      <c r="Q6" s="3682"/>
      <c r="R6" s="3661"/>
      <c r="S6" s="3662"/>
      <c r="T6" s="3683"/>
      <c r="U6" s="3684"/>
      <c r="V6" s="3656"/>
      <c r="W6" s="3656"/>
      <c r="X6" s="1355"/>
      <c r="Y6" s="3683"/>
      <c r="Z6" s="3684"/>
      <c r="AA6" s="3655"/>
      <c r="AB6" s="3655"/>
      <c r="AC6" s="3655"/>
    </row>
    <row r="7" spans="1:29" s="108" customFormat="1" ht="15.75" thickBot="1">
      <c r="A7" s="362" t="s">
        <v>1679</v>
      </c>
      <c r="B7" s="363"/>
      <c r="C7" s="364">
        <f>'数据-取费表'!B2</f>
        <v>45148</v>
      </c>
      <c r="D7" s="365">
        <v>100</v>
      </c>
      <c r="E7" s="366"/>
      <c r="F7" s="367">
        <f>SUMIF(52:52,YEAR(E7)&amp;"-"&amp;MONTH(E7),53:53)</f>
        <v>0</v>
      </c>
      <c r="G7" s="366"/>
      <c r="H7" s="365">
        <f>SUMIF(52:52,YEAR(G7)&amp;"-"&amp;MONTH(G7),53:53)</f>
        <v>0</v>
      </c>
      <c r="I7" s="366"/>
      <c r="J7" s="365">
        <f>SUMIF(52:52,YEAR(I7)&amp;"-"&amp;MONTH(I7),53:53)</f>
        <v>0</v>
      </c>
      <c r="K7" s="560"/>
      <c r="L7" s="915"/>
      <c r="M7" s="916"/>
      <c r="N7" s="916"/>
      <c r="O7" s="916"/>
      <c r="P7" s="3657" t="s">
        <v>1680</v>
      </c>
      <c r="Q7" s="3685"/>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7" t="s">
        <v>1683</v>
      </c>
      <c r="Q8" s="3658"/>
      <c r="R8" s="701" t="s">
        <v>14</v>
      </c>
      <c r="S8" s="702">
        <f t="shared" si="0"/>
        <v>100</v>
      </c>
      <c r="T8" s="701" t="s">
        <v>14</v>
      </c>
      <c r="U8" s="702">
        <f t="shared" si="1"/>
        <v>100</v>
      </c>
      <c r="V8" s="701" t="s">
        <v>14</v>
      </c>
      <c r="W8" s="702">
        <f t="shared" si="2"/>
        <v>100</v>
      </c>
      <c r="X8" s="703"/>
      <c r="Y8" s="3657" t="s">
        <v>1683</v>
      </c>
      <c r="Z8" s="365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5"/>
      <c r="Q11" s="1343" t="str">
        <f t="shared" si="6"/>
        <v>容积率</v>
      </c>
      <c r="R11" s="701" t="s">
        <v>14</v>
      </c>
      <c r="S11" s="702">
        <f t="shared" si="0"/>
        <v>100</v>
      </c>
      <c r="T11" s="701" t="s">
        <v>14</v>
      </c>
      <c r="U11" s="702">
        <f t="shared" si="1"/>
        <v>100</v>
      </c>
      <c r="V11" s="701" t="s">
        <v>14</v>
      </c>
      <c r="W11" s="702">
        <f t="shared" si="2"/>
        <v>100</v>
      </c>
      <c r="X11" s="703"/>
      <c r="Y11" s="362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9"/>
      <c r="Q16" s="1352"/>
      <c r="R16" s="705"/>
      <c r="S16" s="706"/>
      <c r="T16" s="705"/>
      <c r="U16" s="706"/>
      <c r="V16" s="705"/>
      <c r="W16" s="706"/>
      <c r="X16" s="1355"/>
      <c r="Y16" s="368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9"/>
      <c r="Q18" s="1352"/>
      <c r="R18" s="705"/>
      <c r="S18" s="706"/>
      <c r="T18" s="705"/>
      <c r="U18" s="706"/>
      <c r="V18" s="705"/>
      <c r="W18" s="706"/>
      <c r="X18" s="1355"/>
      <c r="Y18" s="368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9"/>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9"/>
      <c r="Q20" s="1352"/>
      <c r="R20" s="705"/>
      <c r="S20" s="706"/>
      <c r="T20" s="705"/>
      <c r="U20" s="706"/>
      <c r="V20" s="705"/>
      <c r="W20" s="706"/>
      <c r="X20" s="1355"/>
      <c r="Y20" s="368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9"/>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9"/>
      <c r="Q22" s="1352"/>
      <c r="R22" s="705"/>
      <c r="S22" s="706"/>
      <c r="T22" s="705"/>
      <c r="U22" s="706"/>
      <c r="V22" s="705"/>
      <c r="W22" s="706"/>
      <c r="X22" s="1355"/>
      <c r="Y22" s="368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9"/>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9"/>
      <c r="Q24" s="1352"/>
      <c r="R24" s="705"/>
      <c r="S24" s="706"/>
      <c r="T24" s="705"/>
      <c r="U24" s="706"/>
      <c r="V24" s="705"/>
      <c r="W24" s="706"/>
      <c r="X24" s="1355"/>
      <c r="Y24" s="368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9"/>
      <c r="Q25" s="1352">
        <f>B25</f>
        <v>111</v>
      </c>
      <c r="R25" s="705" t="s">
        <v>14</v>
      </c>
      <c r="S25" s="706">
        <f>F25</f>
        <v>100</v>
      </c>
      <c r="T25" s="705" t="s">
        <v>14</v>
      </c>
      <c r="U25" s="706">
        <f>H25</f>
        <v>100</v>
      </c>
      <c r="V25" s="705" t="s">
        <v>14</v>
      </c>
      <c r="W25" s="706">
        <f>J25</f>
        <v>100</v>
      </c>
      <c r="X25" s="1355"/>
      <c r="Y25" s="368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9"/>
      <c r="Q26" s="1352">
        <f t="shared" ref="Q26:Q40" si="11">B26</f>
        <v>111</v>
      </c>
      <c r="R26" s="705" t="s">
        <v>14</v>
      </c>
      <c r="S26" s="706">
        <f>F26</f>
        <v>100</v>
      </c>
      <c r="T26" s="705" t="s">
        <v>14</v>
      </c>
      <c r="U26" s="706">
        <f>H26</f>
        <v>100</v>
      </c>
      <c r="V26" s="705" t="s">
        <v>14</v>
      </c>
      <c r="W26" s="706">
        <f>J26</f>
        <v>100</v>
      </c>
      <c r="X26" s="1355"/>
      <c r="Y26" s="368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9"/>
      <c r="Q27" s="1343">
        <f t="shared" si="11"/>
        <v>111</v>
      </c>
      <c r="R27" s="701" t="s">
        <v>14</v>
      </c>
      <c r="S27" s="702">
        <f>F27</f>
        <v>100</v>
      </c>
      <c r="T27" s="701" t="s">
        <v>14</v>
      </c>
      <c r="U27" s="702">
        <f>H27</f>
        <v>100</v>
      </c>
      <c r="V27" s="701" t="s">
        <v>14</v>
      </c>
      <c r="W27" s="702">
        <f>J27</f>
        <v>100</v>
      </c>
      <c r="X27" s="703"/>
      <c r="Y27" s="368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9"/>
      <c r="Q28" s="1352">
        <f t="shared" si="11"/>
        <v>111</v>
      </c>
      <c r="R28" s="705" t="s">
        <v>14</v>
      </c>
      <c r="S28" s="706">
        <f t="shared" ref="S28:S40" si="12">F28</f>
        <v>100</v>
      </c>
      <c r="T28" s="705" t="s">
        <v>14</v>
      </c>
      <c r="U28" s="706">
        <f t="shared" ref="U28:U40" si="13">H28</f>
        <v>100</v>
      </c>
      <c r="V28" s="705" t="s">
        <v>14</v>
      </c>
      <c r="W28" s="706">
        <f t="shared" ref="W28:W40" si="14">J28</f>
        <v>100</v>
      </c>
      <c r="X28" s="1355"/>
      <c r="Y28" s="368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4" t="s">
        <v>1696</v>
      </c>
      <c r="Q29" s="1352" t="str">
        <f t="shared" si="11"/>
        <v>建筑类型</v>
      </c>
      <c r="R29" s="705" t="s">
        <v>14</v>
      </c>
      <c r="S29" s="706">
        <f t="shared" si="12"/>
        <v>100</v>
      </c>
      <c r="T29" s="705" t="s">
        <v>14</v>
      </c>
      <c r="U29" s="706">
        <f t="shared" si="13"/>
        <v>100</v>
      </c>
      <c r="V29" s="705" t="s">
        <v>14</v>
      </c>
      <c r="W29" s="706">
        <f t="shared" si="14"/>
        <v>100</v>
      </c>
      <c r="X29" s="1355"/>
      <c r="Y29" s="369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3"/>
      <c r="Q30" s="707" t="str">
        <f t="shared" si="11"/>
        <v>项目建筑规模</v>
      </c>
      <c r="R30" s="708" t="s">
        <v>14</v>
      </c>
      <c r="S30" s="709" t="e">
        <f t="shared" si="12"/>
        <v>#N/A</v>
      </c>
      <c r="T30" s="708" t="s">
        <v>14</v>
      </c>
      <c r="U30" s="709" t="e">
        <f t="shared" si="13"/>
        <v>#N/A</v>
      </c>
      <c r="V30" s="708" t="s">
        <v>14</v>
      </c>
      <c r="W30" s="709" t="e">
        <f t="shared" si="14"/>
        <v>#N/A</v>
      </c>
      <c r="X30" s="710"/>
      <c r="Y30" s="369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3"/>
      <c r="Q31" s="1352" t="str">
        <f t="shared" si="11"/>
        <v>建筑结构</v>
      </c>
      <c r="R31" s="705" t="s">
        <v>14</v>
      </c>
      <c r="S31" s="706">
        <f t="shared" si="12"/>
        <v>100</v>
      </c>
      <c r="T31" s="705" t="s">
        <v>14</v>
      </c>
      <c r="U31" s="706">
        <f t="shared" si="13"/>
        <v>100</v>
      </c>
      <c r="V31" s="705" t="s">
        <v>14</v>
      </c>
      <c r="W31" s="706">
        <f t="shared" si="14"/>
        <v>100</v>
      </c>
      <c r="X31" s="1355"/>
      <c r="Y31" s="369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3"/>
      <c r="Q32" s="1352" t="str">
        <f t="shared" si="11"/>
        <v>公共部分装修</v>
      </c>
      <c r="R32" s="705" t="s">
        <v>14</v>
      </c>
      <c r="S32" s="706">
        <f t="shared" si="12"/>
        <v>100</v>
      </c>
      <c r="T32" s="705" t="s">
        <v>14</v>
      </c>
      <c r="U32" s="706">
        <f t="shared" si="13"/>
        <v>100</v>
      </c>
      <c r="V32" s="705" t="s">
        <v>14</v>
      </c>
      <c r="W32" s="706">
        <f t="shared" si="14"/>
        <v>100</v>
      </c>
      <c r="X32" s="1355"/>
      <c r="Y32" s="369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3"/>
      <c r="Q33" s="1352" t="str">
        <f t="shared" si="11"/>
        <v>成新度</v>
      </c>
      <c r="R33" s="705" t="s">
        <v>14</v>
      </c>
      <c r="S33" s="706" t="e">
        <f t="shared" si="12"/>
        <v>#N/A</v>
      </c>
      <c r="T33" s="705" t="s">
        <v>14</v>
      </c>
      <c r="U33" s="706" t="e">
        <f t="shared" si="13"/>
        <v>#N/A</v>
      </c>
      <c r="V33" s="705" t="s">
        <v>14</v>
      </c>
      <c r="W33" s="706" t="e">
        <f t="shared" si="14"/>
        <v>#N/A</v>
      </c>
      <c r="X33" s="1355"/>
      <c r="Y33" s="369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3"/>
      <c r="Q34" s="1343" t="str">
        <f t="shared" si="11"/>
        <v>物业管理</v>
      </c>
      <c r="R34" s="701" t="s">
        <v>14</v>
      </c>
      <c r="S34" s="702">
        <f t="shared" si="12"/>
        <v>100</v>
      </c>
      <c r="T34" s="701" t="s">
        <v>14</v>
      </c>
      <c r="U34" s="702">
        <f t="shared" si="13"/>
        <v>100</v>
      </c>
      <c r="V34" s="701" t="s">
        <v>14</v>
      </c>
      <c r="W34" s="702">
        <f t="shared" si="14"/>
        <v>100</v>
      </c>
      <c r="X34" s="703"/>
      <c r="Y34" s="369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3" t="s">
        <v>1696</v>
      </c>
      <c r="Q35" s="1352" t="str">
        <f t="shared" si="11"/>
        <v>市政基础设施</v>
      </c>
      <c r="R35" s="705" t="s">
        <v>14</v>
      </c>
      <c r="S35" s="706">
        <f t="shared" si="12"/>
        <v>100</v>
      </c>
      <c r="T35" s="705" t="s">
        <v>14</v>
      </c>
      <c r="U35" s="706">
        <f t="shared" si="13"/>
        <v>100</v>
      </c>
      <c r="V35" s="705" t="s">
        <v>14</v>
      </c>
      <c r="W35" s="706">
        <f t="shared" si="14"/>
        <v>100</v>
      </c>
      <c r="X35" s="1355"/>
      <c r="Y35" s="369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3"/>
      <c r="Q36" s="1352" t="str">
        <f t="shared" si="11"/>
        <v>内部装修</v>
      </c>
      <c r="R36" s="705" t="s">
        <v>14</v>
      </c>
      <c r="S36" s="706">
        <f t="shared" si="12"/>
        <v>100</v>
      </c>
      <c r="T36" s="705" t="s">
        <v>14</v>
      </c>
      <c r="U36" s="706">
        <f t="shared" si="13"/>
        <v>100</v>
      </c>
      <c r="V36" s="705" t="s">
        <v>14</v>
      </c>
      <c r="W36" s="706">
        <f t="shared" si="14"/>
        <v>100</v>
      </c>
      <c r="X36" s="1355"/>
      <c r="Y36" s="369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3"/>
      <c r="Q37" s="1352" t="str">
        <f t="shared" si="11"/>
        <v>内部装修状况</v>
      </c>
      <c r="R37" s="705" t="s">
        <v>14</v>
      </c>
      <c r="S37" s="706">
        <f t="shared" si="12"/>
        <v>100</v>
      </c>
      <c r="T37" s="705" t="s">
        <v>14</v>
      </c>
      <c r="U37" s="706">
        <f t="shared" si="13"/>
        <v>100</v>
      </c>
      <c r="V37" s="705" t="s">
        <v>14</v>
      </c>
      <c r="W37" s="706">
        <f t="shared" si="14"/>
        <v>100</v>
      </c>
      <c r="X37" s="1355"/>
      <c r="Y37" s="369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3"/>
      <c r="Q38" s="707">
        <f t="shared" si="11"/>
        <v>111</v>
      </c>
      <c r="R38" s="708" t="s">
        <v>14</v>
      </c>
      <c r="S38" s="709">
        <f t="shared" si="12"/>
        <v>100</v>
      </c>
      <c r="T38" s="708" t="s">
        <v>14</v>
      </c>
      <c r="U38" s="709">
        <f t="shared" si="13"/>
        <v>100</v>
      </c>
      <c r="V38" s="708" t="s">
        <v>14</v>
      </c>
      <c r="W38" s="709">
        <f t="shared" si="14"/>
        <v>100</v>
      </c>
      <c r="X38" s="710"/>
      <c r="Y38" s="369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3"/>
      <c r="Q39" s="1352">
        <f t="shared" si="11"/>
        <v>111</v>
      </c>
      <c r="R39" s="705" t="s">
        <v>14</v>
      </c>
      <c r="S39" s="706">
        <f t="shared" si="12"/>
        <v>100</v>
      </c>
      <c r="T39" s="705" t="s">
        <v>14</v>
      </c>
      <c r="U39" s="706">
        <f t="shared" si="13"/>
        <v>100</v>
      </c>
      <c r="V39" s="705" t="s">
        <v>14</v>
      </c>
      <c r="W39" s="706">
        <f t="shared" si="14"/>
        <v>100</v>
      </c>
      <c r="X39" s="1355"/>
      <c r="Y39" s="369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4"/>
      <c r="Q40" s="1352">
        <f t="shared" si="11"/>
        <v>111</v>
      </c>
      <c r="R40" s="705" t="s">
        <v>14</v>
      </c>
      <c r="S40" s="706">
        <f t="shared" si="12"/>
        <v>100</v>
      </c>
      <c r="T40" s="705" t="s">
        <v>14</v>
      </c>
      <c r="U40" s="706">
        <f t="shared" si="13"/>
        <v>100</v>
      </c>
      <c r="V40" s="705" t="s">
        <v>14</v>
      </c>
      <c r="W40" s="706">
        <f t="shared" si="14"/>
        <v>100</v>
      </c>
      <c r="X40" s="1355"/>
      <c r="Y40" s="369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5" t="str">
        <f>A41</f>
        <v>成交单价（元/平方米）</v>
      </c>
      <c r="Q41" s="3695"/>
      <c r="R41" s="3696">
        <f>E41</f>
        <v>0</v>
      </c>
      <c r="S41" s="3696"/>
      <c r="T41" s="3696">
        <f>G41</f>
        <v>0</v>
      </c>
      <c r="U41" s="3696"/>
      <c r="V41" s="3696">
        <f>I41</f>
        <v>0</v>
      </c>
      <c r="W41" s="369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5" t="str">
        <f>A42</f>
        <v>比较价值（元/平方米）</v>
      </c>
      <c r="Q42" s="3695"/>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7" t="str">
        <f>A43</f>
        <v>估价对象XX用房的比较价值（楼面单价，元/平方米）</v>
      </c>
      <c r="Q43" s="3698"/>
      <c r="R43" s="3699" t="e">
        <f>IF(F1="售价",ROUND(IF(D42="简单平均",AVERAGE(R42:V42),R42*F42+T42*H42+V42*J42),0),ROUND(IF(D42="简单平均",AVERAGE(R42:V42),R42*F42+T42*H42+V42*J42),1))</f>
        <v>#DIV/0!</v>
      </c>
      <c r="S43" s="3699"/>
      <c r="T43" s="3699"/>
      <c r="U43" s="3699"/>
      <c r="V43" s="3699"/>
      <c r="W43" s="369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59" t="s">
        <v>1771</v>
      </c>
      <c r="S4" s="3660"/>
      <c r="T4" s="3659" t="s">
        <v>1772</v>
      </c>
      <c r="U4" s="3660"/>
      <c r="V4" s="3656" t="s">
        <v>1773</v>
      </c>
      <c r="W4" s="3656"/>
      <c r="X4" s="1355"/>
      <c r="Y4" s="3659" t="s">
        <v>1775</v>
      </c>
      <c r="Z4" s="3660"/>
      <c r="AA4" s="3653" t="s">
        <v>1771</v>
      </c>
      <c r="AB4" s="3654" t="s">
        <v>1772</v>
      </c>
      <c r="AC4" s="3653" t="s">
        <v>1773</v>
      </c>
    </row>
    <row r="5" spans="1:29" ht="15">
      <c r="A5" s="358"/>
      <c r="B5" s="359"/>
      <c r="C5" s="3669" t="s">
        <v>1673</v>
      </c>
      <c r="D5" s="3666"/>
      <c r="E5" s="3663" t="s">
        <v>1674</v>
      </c>
      <c r="F5" s="3664"/>
      <c r="G5" s="3669" t="s">
        <v>1675</v>
      </c>
      <c r="H5" s="3666"/>
      <c r="I5" s="3669" t="s">
        <v>1676</v>
      </c>
      <c r="J5" s="3666"/>
      <c r="K5" s="559"/>
      <c r="L5" s="2715"/>
      <c r="M5" s="2716"/>
      <c r="N5" s="2716"/>
      <c r="O5" s="2716"/>
      <c r="P5" s="3679"/>
      <c r="Q5" s="3680"/>
      <c r="R5" s="3661"/>
      <c r="S5" s="3662"/>
      <c r="T5" s="3661"/>
      <c r="U5" s="3662"/>
      <c r="V5" s="3656"/>
      <c r="W5" s="3656"/>
      <c r="X5" s="1355"/>
      <c r="Y5" s="3661"/>
      <c r="Z5" s="3662"/>
      <c r="AA5" s="3654"/>
      <c r="AB5" s="3654"/>
      <c r="AC5" s="3654"/>
    </row>
    <row r="6" spans="1:29" ht="15.75" thickBot="1">
      <c r="A6" s="360"/>
      <c r="B6" s="361"/>
      <c r="C6" s="3667" t="s">
        <v>1677</v>
      </c>
      <c r="D6" s="3668"/>
      <c r="E6" s="3670" t="s">
        <v>1677</v>
      </c>
      <c r="F6" s="3671"/>
      <c r="G6" s="3667" t="s">
        <v>1677</v>
      </c>
      <c r="H6" s="3668"/>
      <c r="I6" s="3667" t="s">
        <v>1677</v>
      </c>
      <c r="J6" s="3668"/>
      <c r="K6" s="559" t="s">
        <v>1678</v>
      </c>
      <c r="L6" s="2715"/>
      <c r="M6" s="2716"/>
      <c r="N6" s="2716"/>
      <c r="O6" s="2716"/>
      <c r="P6" s="3681"/>
      <c r="Q6" s="3682"/>
      <c r="R6" s="3661"/>
      <c r="S6" s="3662"/>
      <c r="T6" s="3683"/>
      <c r="U6" s="3684"/>
      <c r="V6" s="3656"/>
      <c r="W6" s="3656"/>
      <c r="X6" s="1355"/>
      <c r="Y6" s="3683"/>
      <c r="Z6" s="3684"/>
      <c r="AA6" s="3655"/>
      <c r="AB6" s="3655"/>
      <c r="AC6" s="3655"/>
    </row>
    <row r="7" spans="1:29" s="108" customFormat="1" ht="15.75" thickBot="1">
      <c r="A7" s="362" t="s">
        <v>1679</v>
      </c>
      <c r="B7" s="363"/>
      <c r="C7" s="364">
        <f>'数据-取费表'!B2</f>
        <v>45148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57" t="s">
        <v>1680</v>
      </c>
      <c r="Q7" s="3685"/>
      <c r="R7" s="701" t="s">
        <v>14</v>
      </c>
      <c r="S7" s="702">
        <f t="shared" ref="S7:S14" si="0">F7</f>
        <v>0</v>
      </c>
      <c r="T7" s="701" t="s">
        <v>14</v>
      </c>
      <c r="U7" s="702">
        <f t="shared" ref="U7:U14" si="1">H7</f>
        <v>0</v>
      </c>
      <c r="V7" s="701" t="s">
        <v>14</v>
      </c>
      <c r="W7" s="702">
        <f t="shared" ref="W7:W14"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57" t="s">
        <v>1683</v>
      </c>
      <c r="Q8" s="3658"/>
      <c r="R8" s="701" t="s">
        <v>14</v>
      </c>
      <c r="S8" s="702">
        <f t="shared" si="0"/>
        <v>100</v>
      </c>
      <c r="T8" s="701" t="s">
        <v>14</v>
      </c>
      <c r="U8" s="702">
        <f t="shared" si="1"/>
        <v>100</v>
      </c>
      <c r="V8" s="701" t="s">
        <v>14</v>
      </c>
      <c r="W8" s="702">
        <f t="shared" si="2"/>
        <v>100</v>
      </c>
      <c r="X8" s="703"/>
      <c r="Y8" s="3657" t="s">
        <v>1683</v>
      </c>
      <c r="Z8" s="365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5" t="s">
        <v>1686</v>
      </c>
      <c r="Q9" s="1343" t="str">
        <f t="shared" ref="Q9:Q14" si="6">B9</f>
        <v>用途</v>
      </c>
      <c r="R9" s="701" t="s">
        <v>14</v>
      </c>
      <c r="S9" s="702">
        <f t="shared" si="0"/>
        <v>100</v>
      </c>
      <c r="T9" s="701" t="s">
        <v>14</v>
      </c>
      <c r="U9" s="702">
        <f t="shared" si="1"/>
        <v>100</v>
      </c>
      <c r="V9" s="701" t="s">
        <v>14</v>
      </c>
      <c r="W9" s="702">
        <f t="shared" si="2"/>
        <v>100</v>
      </c>
      <c r="X9" s="703"/>
      <c r="Y9" s="362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5"/>
      <c r="Q11" s="1343">
        <f t="shared" si="6"/>
        <v>111</v>
      </c>
      <c r="R11" s="701" t="s">
        <v>14</v>
      </c>
      <c r="S11" s="702">
        <f t="shared" si="0"/>
        <v>100</v>
      </c>
      <c r="T11" s="701" t="s">
        <v>14</v>
      </c>
      <c r="U11" s="702">
        <f t="shared" si="1"/>
        <v>100</v>
      </c>
      <c r="V11" s="701" t="s">
        <v>14</v>
      </c>
      <c r="W11" s="702">
        <f t="shared" si="2"/>
        <v>100</v>
      </c>
      <c r="X11" s="703"/>
      <c r="Y11" s="362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9"/>
      <c r="Q15" s="1352"/>
      <c r="R15" s="705"/>
      <c r="S15" s="706"/>
      <c r="T15" s="705"/>
      <c r="U15" s="706"/>
      <c r="V15" s="705"/>
      <c r="W15" s="706"/>
      <c r="X15" s="1355"/>
      <c r="Y15" s="368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9"/>
      <c r="Q17" s="1352"/>
      <c r="R17" s="705"/>
      <c r="S17" s="706"/>
      <c r="T17" s="705"/>
      <c r="U17" s="706"/>
      <c r="V17" s="705"/>
      <c r="W17" s="706"/>
      <c r="X17" s="1355"/>
      <c r="Y17" s="368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9"/>
      <c r="Q19" s="1352"/>
      <c r="R19" s="705"/>
      <c r="S19" s="706"/>
      <c r="T19" s="705"/>
      <c r="U19" s="706"/>
      <c r="V19" s="705"/>
      <c r="W19" s="706"/>
      <c r="X19" s="1355"/>
      <c r="Y19" s="368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9"/>
      <c r="Q20" s="1352" t="str">
        <f>B20</f>
        <v>自然及人文环境</v>
      </c>
      <c r="R20" s="705" t="s">
        <v>14</v>
      </c>
      <c r="S20" s="706">
        <f>F20</f>
        <v>100</v>
      </c>
      <c r="T20" s="705" t="s">
        <v>14</v>
      </c>
      <c r="U20" s="706">
        <f>H20</f>
        <v>100</v>
      </c>
      <c r="V20" s="705" t="s">
        <v>14</v>
      </c>
      <c r="W20" s="706">
        <f>J20</f>
        <v>100</v>
      </c>
      <c r="X20" s="1355"/>
      <c r="Y20" s="368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9"/>
      <c r="Q21" s="1352"/>
      <c r="R21" s="705"/>
      <c r="S21" s="706"/>
      <c r="T21" s="705"/>
      <c r="U21" s="706"/>
      <c r="V21" s="705"/>
      <c r="W21" s="706"/>
      <c r="X21" s="1355"/>
      <c r="Y21" s="368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9"/>
      <c r="Q24" s="1352">
        <f t="shared" ref="Q24:Q36"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3"/>
      <c r="Q27" s="707" t="str">
        <f t="shared" si="11"/>
        <v>项目停车位配比</v>
      </c>
      <c r="R27" s="708" t="s">
        <v>14</v>
      </c>
      <c r="S27" s="709">
        <f t="shared" si="12"/>
        <v>100</v>
      </c>
      <c r="T27" s="708" t="s">
        <v>14</v>
      </c>
      <c r="U27" s="709">
        <f t="shared" si="13"/>
        <v>100</v>
      </c>
      <c r="V27" s="708" t="s">
        <v>14</v>
      </c>
      <c r="W27" s="709">
        <f t="shared" si="14"/>
        <v>100</v>
      </c>
      <c r="X27" s="710"/>
      <c r="Y27" s="369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3"/>
      <c r="Q28" s="1352" t="str">
        <f t="shared" si="11"/>
        <v>公共部分装修</v>
      </c>
      <c r="R28" s="705" t="s">
        <v>14</v>
      </c>
      <c r="S28" s="706">
        <f t="shared" si="12"/>
        <v>100</v>
      </c>
      <c r="T28" s="705" t="s">
        <v>14</v>
      </c>
      <c r="U28" s="706">
        <f t="shared" si="13"/>
        <v>100</v>
      </c>
      <c r="V28" s="705" t="s">
        <v>14</v>
      </c>
      <c r="W28" s="706">
        <f t="shared" si="14"/>
        <v>100</v>
      </c>
      <c r="X28" s="1355"/>
      <c r="Y28" s="369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3"/>
      <c r="Q29" s="1352" t="str">
        <f t="shared" si="11"/>
        <v>成新率</v>
      </c>
      <c r="R29" s="705" t="s">
        <v>14</v>
      </c>
      <c r="S29" s="706" t="e">
        <f t="shared" si="12"/>
        <v>#N/A</v>
      </c>
      <c r="T29" s="705" t="s">
        <v>14</v>
      </c>
      <c r="U29" s="706" t="e">
        <f t="shared" si="13"/>
        <v>#N/A</v>
      </c>
      <c r="V29" s="705" t="s">
        <v>14</v>
      </c>
      <c r="W29" s="706" t="e">
        <f t="shared" si="14"/>
        <v>#N/A</v>
      </c>
      <c r="X29" s="1355"/>
      <c r="Y29" s="369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3"/>
      <c r="Q30" s="1352" t="str">
        <f t="shared" si="11"/>
        <v>物业等级</v>
      </c>
      <c r="R30" s="705" t="s">
        <v>14</v>
      </c>
      <c r="S30" s="706">
        <f t="shared" si="12"/>
        <v>100</v>
      </c>
      <c r="T30" s="705" t="s">
        <v>14</v>
      </c>
      <c r="U30" s="706">
        <f t="shared" si="13"/>
        <v>100</v>
      </c>
      <c r="V30" s="705" t="s">
        <v>14</v>
      </c>
      <c r="W30" s="706">
        <f t="shared" si="14"/>
        <v>100</v>
      </c>
      <c r="X30" s="1355"/>
      <c r="Y30" s="369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3"/>
      <c r="Q31" s="1343" t="str">
        <f t="shared" si="11"/>
        <v>停车位面积</v>
      </c>
      <c r="R31" s="701" t="s">
        <v>14</v>
      </c>
      <c r="S31" s="702" t="e">
        <f t="shared" si="12"/>
        <v>#N/A</v>
      </c>
      <c r="T31" s="701" t="s">
        <v>14</v>
      </c>
      <c r="U31" s="702" t="e">
        <f t="shared" si="13"/>
        <v>#N/A</v>
      </c>
      <c r="V31" s="701" t="s">
        <v>14</v>
      </c>
      <c r="W31" s="702" t="e">
        <f t="shared" si="14"/>
        <v>#N/A</v>
      </c>
      <c r="X31" s="703"/>
      <c r="Y31" s="369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3" t="s">
        <v>1696</v>
      </c>
      <c r="Q32" s="1352" t="str">
        <f t="shared" si="11"/>
        <v>车位类型</v>
      </c>
      <c r="R32" s="705" t="s">
        <v>14</v>
      </c>
      <c r="S32" s="706">
        <f t="shared" si="12"/>
        <v>100</v>
      </c>
      <c r="T32" s="705" t="s">
        <v>14</v>
      </c>
      <c r="U32" s="706">
        <f t="shared" si="13"/>
        <v>100</v>
      </c>
      <c r="V32" s="705" t="s">
        <v>14</v>
      </c>
      <c r="W32" s="706">
        <f t="shared" si="14"/>
        <v>100</v>
      </c>
      <c r="X32" s="1355"/>
      <c r="Y32" s="369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3"/>
      <c r="Q33" s="1352" t="str">
        <f t="shared" si="11"/>
        <v>是否直接入户</v>
      </c>
      <c r="R33" s="705" t="s">
        <v>14</v>
      </c>
      <c r="S33" s="706">
        <f t="shared" si="12"/>
        <v>100</v>
      </c>
      <c r="T33" s="705" t="s">
        <v>14</v>
      </c>
      <c r="U33" s="706">
        <f t="shared" si="13"/>
        <v>100</v>
      </c>
      <c r="V33" s="705" t="s">
        <v>14</v>
      </c>
      <c r="W33" s="706">
        <f t="shared" si="14"/>
        <v>100</v>
      </c>
      <c r="X33" s="1355"/>
      <c r="Y33" s="369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3"/>
      <c r="Q34" s="1352">
        <f t="shared" si="11"/>
        <v>111</v>
      </c>
      <c r="R34" s="705" t="s">
        <v>14</v>
      </c>
      <c r="S34" s="706">
        <f t="shared" si="12"/>
        <v>100</v>
      </c>
      <c r="T34" s="705" t="s">
        <v>14</v>
      </c>
      <c r="U34" s="706">
        <f t="shared" si="13"/>
        <v>100</v>
      </c>
      <c r="V34" s="705" t="s">
        <v>14</v>
      </c>
      <c r="W34" s="706">
        <f t="shared" si="14"/>
        <v>100</v>
      </c>
      <c r="X34" s="1355"/>
      <c r="Y34" s="369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3"/>
      <c r="Q35" s="707">
        <f t="shared" si="11"/>
        <v>111</v>
      </c>
      <c r="R35" s="708" t="s">
        <v>14</v>
      </c>
      <c r="S35" s="709">
        <f t="shared" si="12"/>
        <v>100</v>
      </c>
      <c r="T35" s="708" t="s">
        <v>14</v>
      </c>
      <c r="U35" s="709">
        <f t="shared" si="13"/>
        <v>100</v>
      </c>
      <c r="V35" s="708" t="s">
        <v>14</v>
      </c>
      <c r="W35" s="709">
        <f t="shared" si="14"/>
        <v>100</v>
      </c>
      <c r="X35" s="710"/>
      <c r="Y35" s="369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3"/>
      <c r="Q36" s="1352">
        <f t="shared" si="11"/>
        <v>111</v>
      </c>
      <c r="R36" s="705" t="s">
        <v>14</v>
      </c>
      <c r="S36" s="706">
        <f t="shared" si="12"/>
        <v>100</v>
      </c>
      <c r="T36" s="705" t="s">
        <v>14</v>
      </c>
      <c r="U36" s="706">
        <f t="shared" si="13"/>
        <v>100</v>
      </c>
      <c r="V36" s="705" t="s">
        <v>14</v>
      </c>
      <c r="W36" s="706">
        <f t="shared" si="14"/>
        <v>100</v>
      </c>
      <c r="X36" s="1355"/>
      <c r="Y36" s="3693"/>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95" t="str">
        <f>A37</f>
        <v>成交单价</v>
      </c>
      <c r="Q37" s="3695"/>
      <c r="R37" s="3696">
        <f>E37</f>
        <v>0</v>
      </c>
      <c r="S37" s="3696"/>
      <c r="T37" s="3696">
        <f>G37</f>
        <v>0</v>
      </c>
      <c r="U37" s="3696"/>
      <c r="V37" s="3696">
        <f>I37</f>
        <v>0</v>
      </c>
      <c r="W37" s="369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5" t="str">
        <f>A38</f>
        <v>比较价值（元/平方米）</v>
      </c>
      <c r="Q38" s="3695"/>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7" t="str">
        <f>A39</f>
        <v>估价对象XX用房的比较价值（楼面单价，元/平方米）</v>
      </c>
      <c r="Q39" s="3698"/>
      <c r="R39" s="3745" t="e">
        <f>IF(F1="售价",ROUND(IF(D38="简单平均",AVERAGE(R38:W38),R38*F38+T38*H38+V38*J38),0),ROUND(IF(D38="简单平均",AVERAGE(R38:V38),R38*F38+T38*H38+V38*J38),1))</f>
        <v>#DIV/0!</v>
      </c>
      <c r="S39" s="3745"/>
      <c r="T39" s="3745"/>
      <c r="U39" s="3745"/>
      <c r="V39" s="3745"/>
      <c r="W39" s="374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59" t="s">
        <v>1771</v>
      </c>
      <c r="S4" s="3660"/>
      <c r="T4" s="3659" t="s">
        <v>1772</v>
      </c>
      <c r="U4" s="3660"/>
      <c r="V4" s="3656" t="s">
        <v>1773</v>
      </c>
      <c r="W4" s="3656"/>
      <c r="X4" s="1355"/>
      <c r="Y4" s="3659" t="s">
        <v>1775</v>
      </c>
      <c r="Z4" s="3660"/>
      <c r="AA4" s="3653" t="s">
        <v>1771</v>
      </c>
      <c r="AB4" s="3654" t="s">
        <v>1772</v>
      </c>
      <c r="AC4" s="3653" t="s">
        <v>1773</v>
      </c>
    </row>
    <row r="5" spans="1:29" ht="15">
      <c r="A5" s="358"/>
      <c r="B5" s="359"/>
      <c r="C5" s="3669" t="s">
        <v>1673</v>
      </c>
      <c r="D5" s="3666"/>
      <c r="E5" s="3663" t="s">
        <v>1674</v>
      </c>
      <c r="F5" s="3664"/>
      <c r="G5" s="3669" t="s">
        <v>1675</v>
      </c>
      <c r="H5" s="3666"/>
      <c r="I5" s="3669" t="s">
        <v>1676</v>
      </c>
      <c r="J5" s="3666"/>
      <c r="K5" s="559"/>
      <c r="L5" s="2715"/>
      <c r="M5" s="2716"/>
      <c r="N5" s="2716"/>
      <c r="O5" s="2716"/>
      <c r="P5" s="3679"/>
      <c r="Q5" s="3680"/>
      <c r="R5" s="3661"/>
      <c r="S5" s="3662"/>
      <c r="T5" s="3661"/>
      <c r="U5" s="3662"/>
      <c r="V5" s="3656"/>
      <c r="W5" s="3656"/>
      <c r="X5" s="1355"/>
      <c r="Y5" s="3661"/>
      <c r="Z5" s="3662"/>
      <c r="AA5" s="3654"/>
      <c r="AB5" s="3654"/>
      <c r="AC5" s="3654"/>
    </row>
    <row r="6" spans="1:29" ht="15.75" thickBot="1">
      <c r="A6" s="360"/>
      <c r="B6" s="361"/>
      <c r="C6" s="3667" t="s">
        <v>1677</v>
      </c>
      <c r="D6" s="3668"/>
      <c r="E6" s="3670" t="s">
        <v>1677</v>
      </c>
      <c r="F6" s="3671"/>
      <c r="G6" s="3667" t="s">
        <v>1677</v>
      </c>
      <c r="H6" s="3668"/>
      <c r="I6" s="3667" t="s">
        <v>1677</v>
      </c>
      <c r="J6" s="3668"/>
      <c r="K6" s="559" t="s">
        <v>1678</v>
      </c>
      <c r="L6" s="2715"/>
      <c r="M6" s="2716"/>
      <c r="N6" s="2716"/>
      <c r="O6" s="2716"/>
      <c r="P6" s="3681"/>
      <c r="Q6" s="3682"/>
      <c r="R6" s="3661"/>
      <c r="S6" s="3662"/>
      <c r="T6" s="3683"/>
      <c r="U6" s="3684"/>
      <c r="V6" s="3656"/>
      <c r="W6" s="3656"/>
      <c r="X6" s="1355"/>
      <c r="Y6" s="3683"/>
      <c r="Z6" s="3684"/>
      <c r="AA6" s="3655"/>
      <c r="AB6" s="3655"/>
      <c r="AC6" s="3655"/>
    </row>
    <row r="7" spans="1:29" s="108" customFormat="1" ht="15.75" thickBot="1">
      <c r="A7" s="362" t="s">
        <v>1679</v>
      </c>
      <c r="B7" s="363"/>
      <c r="C7" s="364">
        <f>'数据-取费表'!B2</f>
        <v>45148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57" t="s">
        <v>1680</v>
      </c>
      <c r="Q7" s="3685"/>
      <c r="R7" s="701" t="s">
        <v>14</v>
      </c>
      <c r="S7" s="702">
        <f t="shared" ref="S7:S14" si="0">F7</f>
        <v>0</v>
      </c>
      <c r="T7" s="701" t="s">
        <v>14</v>
      </c>
      <c r="U7" s="702">
        <f t="shared" ref="U7:U14" si="1">H7</f>
        <v>0</v>
      </c>
      <c r="V7" s="701" t="s">
        <v>14</v>
      </c>
      <c r="W7" s="702">
        <f t="shared" ref="W7:W14" si="2">J7</f>
        <v>0</v>
      </c>
      <c r="X7" s="703"/>
      <c r="Y7" s="3657" t="s">
        <v>1680</v>
      </c>
      <c r="Z7" s="365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57" t="s">
        <v>1683</v>
      </c>
      <c r="Q8" s="3658"/>
      <c r="R8" s="701" t="s">
        <v>14</v>
      </c>
      <c r="S8" s="702">
        <f t="shared" si="0"/>
        <v>100</v>
      </c>
      <c r="T8" s="701" t="s">
        <v>14</v>
      </c>
      <c r="U8" s="702">
        <f t="shared" si="1"/>
        <v>100</v>
      </c>
      <c r="V8" s="701" t="s">
        <v>14</v>
      </c>
      <c r="W8" s="702">
        <f t="shared" si="2"/>
        <v>100</v>
      </c>
      <c r="X8" s="703"/>
      <c r="Y8" s="3657" t="s">
        <v>1683</v>
      </c>
      <c r="Z8" s="365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5" t="s">
        <v>1686</v>
      </c>
      <c r="Q9" s="1343" t="str">
        <f t="shared" ref="Q9:Q14" si="6">B9</f>
        <v>用途</v>
      </c>
      <c r="R9" s="701" t="s">
        <v>14</v>
      </c>
      <c r="S9" s="702">
        <f t="shared" si="0"/>
        <v>100</v>
      </c>
      <c r="T9" s="701" t="s">
        <v>14</v>
      </c>
      <c r="U9" s="702">
        <f t="shared" si="1"/>
        <v>100</v>
      </c>
      <c r="V9" s="701" t="s">
        <v>14</v>
      </c>
      <c r="W9" s="702">
        <f t="shared" si="2"/>
        <v>100</v>
      </c>
      <c r="X9" s="703"/>
      <c r="Y9" s="362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5"/>
      <c r="Q11" s="1343">
        <f t="shared" si="6"/>
        <v>111</v>
      </c>
      <c r="R11" s="701" t="s">
        <v>14</v>
      </c>
      <c r="S11" s="702">
        <f t="shared" si="0"/>
        <v>100</v>
      </c>
      <c r="T11" s="701" t="s">
        <v>14</v>
      </c>
      <c r="U11" s="702">
        <f t="shared" si="1"/>
        <v>100</v>
      </c>
      <c r="V11" s="701" t="s">
        <v>14</v>
      </c>
      <c r="W11" s="702">
        <f t="shared" si="2"/>
        <v>100</v>
      </c>
      <c r="X11" s="703"/>
      <c r="Y11" s="362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9"/>
      <c r="Q15" s="1352"/>
      <c r="R15" s="705"/>
      <c r="S15" s="706"/>
      <c r="T15" s="705"/>
      <c r="U15" s="706"/>
      <c r="V15" s="705"/>
      <c r="W15" s="706"/>
      <c r="X15" s="1355"/>
      <c r="Y15" s="368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9"/>
      <c r="Q17" s="1352"/>
      <c r="R17" s="705"/>
      <c r="S17" s="706"/>
      <c r="T17" s="705"/>
      <c r="U17" s="706"/>
      <c r="V17" s="705"/>
      <c r="W17" s="706"/>
      <c r="X17" s="1355"/>
      <c r="Y17" s="368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9"/>
      <c r="Q19" s="1352"/>
      <c r="R19" s="705"/>
      <c r="S19" s="706"/>
      <c r="T19" s="705"/>
      <c r="U19" s="706"/>
      <c r="V19" s="705"/>
      <c r="W19" s="706"/>
      <c r="X19" s="1355"/>
      <c r="Y19" s="368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9"/>
      <c r="Q20" s="1352" t="str">
        <f>B20</f>
        <v>自然及人文环境</v>
      </c>
      <c r="R20" s="705" t="s">
        <v>14</v>
      </c>
      <c r="S20" s="706">
        <f>F20</f>
        <v>100</v>
      </c>
      <c r="T20" s="705" t="s">
        <v>14</v>
      </c>
      <c r="U20" s="706">
        <f>H20</f>
        <v>100</v>
      </c>
      <c r="V20" s="705" t="s">
        <v>14</v>
      </c>
      <c r="W20" s="706">
        <f>J20</f>
        <v>100</v>
      </c>
      <c r="X20" s="1355"/>
      <c r="Y20" s="368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9"/>
      <c r="Q21" s="1352"/>
      <c r="R21" s="705"/>
      <c r="S21" s="706"/>
      <c r="T21" s="705"/>
      <c r="U21" s="706"/>
      <c r="V21" s="705"/>
      <c r="W21" s="706"/>
      <c r="X21" s="1355"/>
      <c r="Y21" s="368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9"/>
      <c r="Q24" s="1352">
        <f t="shared" ref="Q24:Q34"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3"/>
      <c r="Q27" s="707" t="str">
        <f t="shared" si="11"/>
        <v>成新率</v>
      </c>
      <c r="R27" s="708" t="s">
        <v>14</v>
      </c>
      <c r="S27" s="709" t="e">
        <f t="shared" si="12"/>
        <v>#N/A</v>
      </c>
      <c r="T27" s="708" t="s">
        <v>14</v>
      </c>
      <c r="U27" s="709" t="e">
        <f t="shared" si="13"/>
        <v>#N/A</v>
      </c>
      <c r="V27" s="708" t="s">
        <v>14</v>
      </c>
      <c r="W27" s="709" t="e">
        <f t="shared" si="14"/>
        <v>#N/A</v>
      </c>
      <c r="X27" s="710"/>
      <c r="Y27" s="369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3"/>
      <c r="Q28" s="1352" t="str">
        <f t="shared" si="11"/>
        <v>物业等级</v>
      </c>
      <c r="R28" s="705" t="s">
        <v>14</v>
      </c>
      <c r="S28" s="706">
        <f t="shared" si="12"/>
        <v>100</v>
      </c>
      <c r="T28" s="705" t="s">
        <v>14</v>
      </c>
      <c r="U28" s="706">
        <f t="shared" si="13"/>
        <v>100</v>
      </c>
      <c r="V28" s="705" t="s">
        <v>14</v>
      </c>
      <c r="W28" s="706">
        <f t="shared" si="14"/>
        <v>100</v>
      </c>
      <c r="X28" s="1355"/>
      <c r="Y28" s="369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3"/>
      <c r="Q29" s="1352" t="str">
        <f t="shared" si="11"/>
        <v>有无电梯</v>
      </c>
      <c r="R29" s="705" t="s">
        <v>14</v>
      </c>
      <c r="S29" s="706">
        <f t="shared" si="12"/>
        <v>100</v>
      </c>
      <c r="T29" s="705" t="s">
        <v>14</v>
      </c>
      <c r="U29" s="706">
        <f t="shared" si="13"/>
        <v>100</v>
      </c>
      <c r="V29" s="705" t="s">
        <v>14</v>
      </c>
      <c r="W29" s="706">
        <f t="shared" si="14"/>
        <v>100</v>
      </c>
      <c r="X29" s="1355"/>
      <c r="Y29" s="369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3"/>
      <c r="Q30" s="1352" t="str">
        <f t="shared" si="11"/>
        <v>建筑面积</v>
      </c>
      <c r="R30" s="705" t="s">
        <v>14</v>
      </c>
      <c r="S30" s="706" t="e">
        <f t="shared" si="12"/>
        <v>#N/A</v>
      </c>
      <c r="T30" s="705" t="s">
        <v>14</v>
      </c>
      <c r="U30" s="706" t="e">
        <f t="shared" si="13"/>
        <v>#N/A</v>
      </c>
      <c r="V30" s="705" t="s">
        <v>14</v>
      </c>
      <c r="W30" s="706" t="e">
        <f t="shared" si="14"/>
        <v>#N/A</v>
      </c>
      <c r="X30" s="1355"/>
      <c r="Y30" s="369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3"/>
      <c r="Q31" s="1343" t="str">
        <f t="shared" si="11"/>
        <v>是否封闭</v>
      </c>
      <c r="R31" s="701" t="s">
        <v>14</v>
      </c>
      <c r="S31" s="702">
        <f t="shared" si="12"/>
        <v>100</v>
      </c>
      <c r="T31" s="701" t="s">
        <v>14</v>
      </c>
      <c r="U31" s="702">
        <f t="shared" si="13"/>
        <v>100</v>
      </c>
      <c r="V31" s="701" t="s">
        <v>14</v>
      </c>
      <c r="W31" s="702">
        <f t="shared" si="14"/>
        <v>100</v>
      </c>
      <c r="X31" s="703"/>
      <c r="Y31" s="369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3" t="s">
        <v>1696</v>
      </c>
      <c r="Q32" s="1352">
        <f t="shared" si="11"/>
        <v>111</v>
      </c>
      <c r="R32" s="705" t="s">
        <v>14</v>
      </c>
      <c r="S32" s="706">
        <f t="shared" si="12"/>
        <v>100</v>
      </c>
      <c r="T32" s="705" t="s">
        <v>14</v>
      </c>
      <c r="U32" s="706">
        <f t="shared" si="13"/>
        <v>100</v>
      </c>
      <c r="V32" s="705" t="s">
        <v>14</v>
      </c>
      <c r="W32" s="706">
        <f t="shared" si="14"/>
        <v>100</v>
      </c>
      <c r="X32" s="1355"/>
      <c r="Y32" s="369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3"/>
      <c r="Q33" s="1352">
        <f t="shared" si="11"/>
        <v>111</v>
      </c>
      <c r="R33" s="705" t="s">
        <v>14</v>
      </c>
      <c r="S33" s="706">
        <f t="shared" si="12"/>
        <v>100</v>
      </c>
      <c r="T33" s="705" t="s">
        <v>14</v>
      </c>
      <c r="U33" s="706">
        <f t="shared" si="13"/>
        <v>100</v>
      </c>
      <c r="V33" s="705" t="s">
        <v>14</v>
      </c>
      <c r="W33" s="706">
        <f t="shared" si="14"/>
        <v>100</v>
      </c>
      <c r="X33" s="1355"/>
      <c r="Y33" s="369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3"/>
      <c r="Q34" s="1352">
        <f t="shared" si="11"/>
        <v>111</v>
      </c>
      <c r="R34" s="705" t="s">
        <v>14</v>
      </c>
      <c r="S34" s="706">
        <f t="shared" si="12"/>
        <v>100</v>
      </c>
      <c r="T34" s="705" t="s">
        <v>14</v>
      </c>
      <c r="U34" s="706">
        <f t="shared" si="13"/>
        <v>100</v>
      </c>
      <c r="V34" s="705" t="s">
        <v>14</v>
      </c>
      <c r="W34" s="706">
        <f t="shared" si="14"/>
        <v>100</v>
      </c>
      <c r="X34" s="1355"/>
      <c r="Y34" s="369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5" t="str">
        <f>A35</f>
        <v>成交单价（元/平方米）</v>
      </c>
      <c r="Q35" s="3695"/>
      <c r="R35" s="3696">
        <f>E35</f>
        <v>0</v>
      </c>
      <c r="S35" s="3696"/>
      <c r="T35" s="3696">
        <f>G35</f>
        <v>0</v>
      </c>
      <c r="U35" s="3696"/>
      <c r="V35" s="3696">
        <f>I35</f>
        <v>0</v>
      </c>
      <c r="W35" s="369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5" t="str">
        <f>A36</f>
        <v>比较价值（元/平方米）</v>
      </c>
      <c r="Q36" s="3695"/>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7" t="str">
        <f>A37</f>
        <v>估价对象XX用房的比较价值（楼面单价，元/平方米）</v>
      </c>
      <c r="Q37" s="3698"/>
      <c r="R37" s="3745" t="e">
        <f>IF(F1="售价",ROUND(IF(D36="简单平均",AVERAGE(R36:W36),R36*F36+T36*H36+V36*J36),0),ROUND(IF(D36="简单平均",AVERAGE(R36:V36),R36*F36+T36*H36+V36*J36),1))</f>
        <v>#DIV/0!</v>
      </c>
      <c r="S37" s="3745"/>
      <c r="T37" s="3745"/>
      <c r="U37" s="3745"/>
      <c r="V37" s="3745"/>
      <c r="W37" s="374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59" t="s">
        <v>1771</v>
      </c>
      <c r="S4" s="3660"/>
      <c r="T4" s="3659" t="s">
        <v>1772</v>
      </c>
      <c r="U4" s="3660"/>
      <c r="V4" s="3656" t="s">
        <v>1773</v>
      </c>
      <c r="W4" s="3656"/>
      <c r="X4" s="1355"/>
      <c r="Y4" s="3659" t="s">
        <v>1775</v>
      </c>
      <c r="Z4" s="3660"/>
      <c r="AA4" s="3653" t="s">
        <v>1771</v>
      </c>
      <c r="AB4" s="3654" t="s">
        <v>1772</v>
      </c>
      <c r="AC4" s="3653" t="s">
        <v>1773</v>
      </c>
    </row>
    <row r="5" spans="1:30" ht="15">
      <c r="A5" s="358"/>
      <c r="B5" s="359"/>
      <c r="C5" s="3669" t="s">
        <v>1673</v>
      </c>
      <c r="D5" s="3666"/>
      <c r="E5" s="3663" t="s">
        <v>1674</v>
      </c>
      <c r="F5" s="3664"/>
      <c r="G5" s="3669" t="s">
        <v>1675</v>
      </c>
      <c r="H5" s="3666"/>
      <c r="I5" s="3669" t="s">
        <v>1676</v>
      </c>
      <c r="J5" s="3666"/>
      <c r="K5" s="559"/>
      <c r="L5" s="2715"/>
      <c r="M5" s="2716"/>
      <c r="N5" s="2716"/>
      <c r="O5" s="2716"/>
      <c r="P5" s="3679"/>
      <c r="Q5" s="3680"/>
      <c r="R5" s="3661"/>
      <c r="S5" s="3662"/>
      <c r="T5" s="3661"/>
      <c r="U5" s="3662"/>
      <c r="V5" s="3656"/>
      <c r="W5" s="3656"/>
      <c r="X5" s="1355"/>
      <c r="Y5" s="3661"/>
      <c r="Z5" s="3662"/>
      <c r="AA5" s="3654"/>
      <c r="AB5" s="3654"/>
      <c r="AC5" s="3654"/>
    </row>
    <row r="6" spans="1:30" ht="15.75" thickBot="1">
      <c r="A6" s="360"/>
      <c r="B6" s="361"/>
      <c r="C6" s="3667" t="s">
        <v>1677</v>
      </c>
      <c r="D6" s="3668"/>
      <c r="E6" s="3670" t="s">
        <v>1677</v>
      </c>
      <c r="F6" s="3671"/>
      <c r="G6" s="3667" t="s">
        <v>1677</v>
      </c>
      <c r="H6" s="3668"/>
      <c r="I6" s="3667" t="s">
        <v>1677</v>
      </c>
      <c r="J6" s="3668"/>
      <c r="K6" s="559" t="s">
        <v>1678</v>
      </c>
      <c r="L6" s="2715"/>
      <c r="M6" s="2716"/>
      <c r="N6" s="2716"/>
      <c r="O6" s="2716"/>
      <c r="P6" s="3681"/>
      <c r="Q6" s="3682"/>
      <c r="R6" s="3661"/>
      <c r="S6" s="3662"/>
      <c r="T6" s="3683"/>
      <c r="U6" s="3684"/>
      <c r="V6" s="3656"/>
      <c r="W6" s="3656"/>
      <c r="X6" s="1355"/>
      <c r="Y6" s="3683"/>
      <c r="Z6" s="3684"/>
      <c r="AA6" s="3655"/>
      <c r="AB6" s="3655"/>
      <c r="AC6" s="3655"/>
    </row>
    <row r="7" spans="1:30" s="108" customFormat="1" ht="15.75" thickBot="1">
      <c r="A7" s="362" t="s">
        <v>1679</v>
      </c>
      <c r="B7" s="363"/>
      <c r="C7" s="364">
        <f>'数据-取费表'!B2</f>
        <v>45148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57" t="s">
        <v>1680</v>
      </c>
      <c r="Q7" s="3685"/>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57" t="s">
        <v>1683</v>
      </c>
      <c r="Q8" s="3658"/>
      <c r="R8" s="701" t="s">
        <v>14</v>
      </c>
      <c r="S8" s="702">
        <f t="shared" si="0"/>
        <v>0</v>
      </c>
      <c r="T8" s="701" t="s">
        <v>14</v>
      </c>
      <c r="U8" s="702">
        <f t="shared" si="1"/>
        <v>0</v>
      </c>
      <c r="V8" s="701" t="s">
        <v>14</v>
      </c>
      <c r="W8" s="702">
        <f t="shared" si="2"/>
        <v>0</v>
      </c>
      <c r="X8" s="703"/>
      <c r="Y8" s="3657" t="s">
        <v>1683</v>
      </c>
      <c r="Z8" s="365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156</v>
      </c>
      <c r="G10" s="414"/>
      <c r="H10" s="127">
        <f>ROUND(100/'数据-取费表'!G16,0)</f>
        <v>156</v>
      </c>
      <c r="I10" s="414"/>
      <c r="J10" s="127">
        <f>ROUND(100/'数据-取费表'!G16,0)</f>
        <v>156</v>
      </c>
      <c r="K10" s="620"/>
      <c r="L10" s="2719"/>
      <c r="M10" s="2720"/>
      <c r="N10" s="2720"/>
      <c r="O10" s="2773"/>
      <c r="P10" s="3695"/>
      <c r="Q10" s="1343" t="str">
        <f t="shared" si="6"/>
        <v>土地使用年限（年）</v>
      </c>
      <c r="R10" s="701" t="s">
        <v>14</v>
      </c>
      <c r="S10" s="702">
        <f t="shared" si="0"/>
        <v>156</v>
      </c>
      <c r="T10" s="701" t="s">
        <v>14</v>
      </c>
      <c r="U10" s="702">
        <f t="shared" si="1"/>
        <v>156</v>
      </c>
      <c r="V10" s="701" t="s">
        <v>14</v>
      </c>
      <c r="W10" s="702">
        <f t="shared" si="2"/>
        <v>156</v>
      </c>
      <c r="X10" s="703"/>
      <c r="Y10" s="3629"/>
      <c r="Z10" s="52" t="str">
        <f t="shared" si="7"/>
        <v>土地使用年限（年）</v>
      </c>
      <c r="AA10" s="704">
        <f t="shared" si="3"/>
        <v>0.64102564102564108</v>
      </c>
      <c r="AB10" s="704">
        <f t="shared" si="4"/>
        <v>0.64102564102564108</v>
      </c>
      <c r="AC10" s="704">
        <f t="shared" si="5"/>
        <v>0.64102564102564108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5"/>
      <c r="Q11" s="1343" t="str">
        <f t="shared" si="6"/>
        <v>容积率</v>
      </c>
      <c r="R11" s="701" t="s">
        <v>14</v>
      </c>
      <c r="S11" s="702" t="e">
        <f t="shared" si="0"/>
        <v>#N/A</v>
      </c>
      <c r="T11" s="701" t="s">
        <v>14</v>
      </c>
      <c r="U11" s="702" t="e">
        <f t="shared" si="1"/>
        <v>#N/A</v>
      </c>
      <c r="V11" s="701" t="s">
        <v>14</v>
      </c>
      <c r="W11" s="702" t="e">
        <f t="shared" si="2"/>
        <v>#N/A</v>
      </c>
      <c r="X11" s="703"/>
      <c r="Y11" s="362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5"/>
      <c r="Q12" s="1343" t="str">
        <f t="shared" si="6"/>
        <v>配建</v>
      </c>
      <c r="R12" s="701" t="s">
        <v>14</v>
      </c>
      <c r="S12" s="702">
        <f t="shared" si="0"/>
        <v>100</v>
      </c>
      <c r="T12" s="701" t="s">
        <v>14</v>
      </c>
      <c r="U12" s="702">
        <f t="shared" si="1"/>
        <v>100</v>
      </c>
      <c r="V12" s="701" t="s">
        <v>14</v>
      </c>
      <c r="W12" s="702">
        <f t="shared" si="2"/>
        <v>100</v>
      </c>
      <c r="X12" s="703"/>
      <c r="Y12" s="362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5"/>
      <c r="Q14" s="1343">
        <f t="shared" si="6"/>
        <v>111</v>
      </c>
      <c r="R14" s="701" t="s">
        <v>14</v>
      </c>
      <c r="S14" s="702">
        <f t="shared" si="0"/>
        <v>100</v>
      </c>
      <c r="T14" s="701" t="s">
        <v>14</v>
      </c>
      <c r="U14" s="702">
        <f t="shared" si="1"/>
        <v>100</v>
      </c>
      <c r="V14" s="701" t="s">
        <v>14</v>
      </c>
      <c r="W14" s="702">
        <f t="shared" si="2"/>
        <v>100</v>
      </c>
      <c r="X14" s="703"/>
      <c r="Y14" s="362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8" t="s">
        <v>1691</v>
      </c>
      <c r="Q15" s="1352" t="str">
        <f t="shared" si="6"/>
        <v>居住社区成熟度</v>
      </c>
      <c r="R15" s="705" t="s">
        <v>14</v>
      </c>
      <c r="S15" s="706">
        <f t="shared" si="0"/>
        <v>100</v>
      </c>
      <c r="T15" s="705" t="s">
        <v>14</v>
      </c>
      <c r="U15" s="706">
        <f t="shared" si="1"/>
        <v>100</v>
      </c>
      <c r="V15" s="705" t="s">
        <v>14</v>
      </c>
      <c r="W15" s="706">
        <f t="shared" si="2"/>
        <v>100</v>
      </c>
      <c r="X15" s="1355"/>
      <c r="Y15" s="368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9"/>
      <c r="Q16" s="1352"/>
      <c r="R16" s="705"/>
      <c r="S16" s="706"/>
      <c r="T16" s="705"/>
      <c r="U16" s="706"/>
      <c r="V16" s="705"/>
      <c r="W16" s="706"/>
      <c r="X16" s="1355"/>
      <c r="Y16" s="368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9"/>
      <c r="Q17" s="1352" t="str">
        <f>B17</f>
        <v>商业繁华度</v>
      </c>
      <c r="R17" s="705" t="s">
        <v>14</v>
      </c>
      <c r="S17" s="706">
        <f>F17</f>
        <v>100</v>
      </c>
      <c r="T17" s="705" t="s">
        <v>14</v>
      </c>
      <c r="U17" s="706">
        <f>H17</f>
        <v>100</v>
      </c>
      <c r="V17" s="705" t="s">
        <v>14</v>
      </c>
      <c r="W17" s="706">
        <f>J17</f>
        <v>100</v>
      </c>
      <c r="X17" s="1355"/>
      <c r="Y17" s="368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9"/>
      <c r="Q18" s="1352"/>
      <c r="R18" s="705"/>
      <c r="S18" s="706"/>
      <c r="T18" s="705"/>
      <c r="U18" s="706"/>
      <c r="V18" s="705"/>
      <c r="W18" s="706"/>
      <c r="X18" s="1355"/>
      <c r="Y18" s="368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9"/>
      <c r="Q19" s="1352" t="str">
        <f>B19</f>
        <v>办公集聚程度</v>
      </c>
      <c r="R19" s="705" t="s">
        <v>14</v>
      </c>
      <c r="S19" s="706">
        <f>F19</f>
        <v>100</v>
      </c>
      <c r="T19" s="705" t="s">
        <v>14</v>
      </c>
      <c r="U19" s="706">
        <f>H19</f>
        <v>100</v>
      </c>
      <c r="V19" s="705" t="s">
        <v>14</v>
      </c>
      <c r="W19" s="706">
        <f>J19</f>
        <v>100</v>
      </c>
      <c r="X19" s="1355"/>
      <c r="Y19" s="368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9"/>
      <c r="Q20" s="1352"/>
      <c r="R20" s="705"/>
      <c r="S20" s="706"/>
      <c r="T20" s="705"/>
      <c r="U20" s="706"/>
      <c r="V20" s="705"/>
      <c r="W20" s="706"/>
      <c r="X20" s="1355"/>
      <c r="Y20" s="368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9"/>
      <c r="Q21" s="1352" t="str">
        <f>B21</f>
        <v>交通便捷度</v>
      </c>
      <c r="R21" s="705" t="s">
        <v>14</v>
      </c>
      <c r="S21" s="706">
        <f>F21</f>
        <v>100</v>
      </c>
      <c r="T21" s="705" t="s">
        <v>14</v>
      </c>
      <c r="U21" s="706">
        <f>H21</f>
        <v>100</v>
      </c>
      <c r="V21" s="705" t="s">
        <v>14</v>
      </c>
      <c r="W21" s="706">
        <f>J21</f>
        <v>100</v>
      </c>
      <c r="X21" s="1355"/>
      <c r="Y21" s="368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9"/>
      <c r="Q22" s="1352"/>
      <c r="R22" s="705"/>
      <c r="S22" s="706"/>
      <c r="T22" s="705"/>
      <c r="U22" s="706"/>
      <c r="V22" s="705"/>
      <c r="W22" s="706"/>
      <c r="X22" s="1355"/>
      <c r="Y22" s="368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9"/>
      <c r="Q23" s="1352" t="str">
        <f t="shared" ref="Q23:Q37" si="8">B23</f>
        <v>区域土地利用方向</v>
      </c>
      <c r="R23" s="705" t="s">
        <v>14</v>
      </c>
      <c r="S23" s="706">
        <f>F23</f>
        <v>100</v>
      </c>
      <c r="T23" s="705" t="s">
        <v>14</v>
      </c>
      <c r="U23" s="706">
        <f>H23</f>
        <v>100</v>
      </c>
      <c r="V23" s="705" t="s">
        <v>14</v>
      </c>
      <c r="W23" s="706">
        <f>J23</f>
        <v>100</v>
      </c>
      <c r="X23" s="1355"/>
      <c r="Y23" s="368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9"/>
      <c r="Q24" s="1352"/>
      <c r="R24" s="705"/>
      <c r="S24" s="706"/>
      <c r="T24" s="705"/>
      <c r="U24" s="706"/>
      <c r="V24" s="705"/>
      <c r="W24" s="706"/>
      <c r="X24" s="1355"/>
      <c r="Y24" s="368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9"/>
      <c r="Q25" s="1352" t="str">
        <f t="shared" si="8"/>
        <v>自然及人文环境状况</v>
      </c>
      <c r="R25" s="705" t="s">
        <v>14</v>
      </c>
      <c r="S25" s="706">
        <f>F25</f>
        <v>100</v>
      </c>
      <c r="T25" s="705" t="s">
        <v>14</v>
      </c>
      <c r="U25" s="706">
        <f>H25</f>
        <v>100</v>
      </c>
      <c r="V25" s="705" t="s">
        <v>14</v>
      </c>
      <c r="W25" s="706">
        <f>J25</f>
        <v>100</v>
      </c>
      <c r="X25" s="1355"/>
      <c r="Y25" s="368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9"/>
      <c r="Q26" s="1352"/>
      <c r="R26" s="705"/>
      <c r="S26" s="706"/>
      <c r="T26" s="705"/>
      <c r="U26" s="706"/>
      <c r="V26" s="705"/>
      <c r="W26" s="706"/>
      <c r="X26" s="1355"/>
      <c r="Y26" s="368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9"/>
      <c r="Q27" s="1343" t="str">
        <f t="shared" si="8"/>
        <v>公共配套设施</v>
      </c>
      <c r="R27" s="701" t="s">
        <v>14</v>
      </c>
      <c r="S27" s="702">
        <f>F27</f>
        <v>100</v>
      </c>
      <c r="T27" s="701" t="s">
        <v>14</v>
      </c>
      <c r="U27" s="702">
        <f>H27</f>
        <v>100</v>
      </c>
      <c r="V27" s="701" t="s">
        <v>14</v>
      </c>
      <c r="W27" s="702">
        <f>J27</f>
        <v>100</v>
      </c>
      <c r="X27" s="703"/>
      <c r="Y27" s="368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9"/>
      <c r="Q28" s="1343"/>
      <c r="R28" s="701"/>
      <c r="S28" s="702"/>
      <c r="T28" s="701"/>
      <c r="U28" s="702"/>
      <c r="V28" s="701"/>
      <c r="W28" s="702"/>
      <c r="X28" s="703"/>
      <c r="Y28" s="368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9"/>
      <c r="Q29" s="1343" t="str">
        <f t="shared" ref="Q29" si="9">B29</f>
        <v>基础设施水平</v>
      </c>
      <c r="R29" s="701" t="s">
        <v>14</v>
      </c>
      <c r="S29" s="702">
        <f>F29</f>
        <v>100</v>
      </c>
      <c r="T29" s="701" t="s">
        <v>14</v>
      </c>
      <c r="U29" s="702">
        <f>H29</f>
        <v>100</v>
      </c>
      <c r="V29" s="701" t="s">
        <v>14</v>
      </c>
      <c r="W29" s="702">
        <f>J29</f>
        <v>100</v>
      </c>
      <c r="X29" s="703"/>
      <c r="Y29" s="368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9"/>
      <c r="Q30" s="1343"/>
      <c r="R30" s="701"/>
      <c r="S30" s="702"/>
      <c r="T30" s="701"/>
      <c r="U30" s="702"/>
      <c r="V30" s="701"/>
      <c r="W30" s="702"/>
      <c r="X30" s="703"/>
      <c r="Y30" s="368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9"/>
      <c r="Q32" s="1352" t="str">
        <f t="shared" si="8"/>
        <v>毗邻道路的类型与等级</v>
      </c>
      <c r="R32" s="705" t="s">
        <v>14</v>
      </c>
      <c r="S32" s="706">
        <f t="shared" si="10"/>
        <v>100</v>
      </c>
      <c r="T32" s="705" t="s">
        <v>14</v>
      </c>
      <c r="U32" s="706">
        <f t="shared" si="11"/>
        <v>100</v>
      </c>
      <c r="V32" s="705" t="s">
        <v>14</v>
      </c>
      <c r="W32" s="706">
        <f t="shared" si="12"/>
        <v>100</v>
      </c>
      <c r="X32" s="1355"/>
      <c r="Y32" s="368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9"/>
      <c r="Q33" s="1352"/>
      <c r="R33" s="705"/>
      <c r="S33" s="706"/>
      <c r="T33" s="705"/>
      <c r="U33" s="706"/>
      <c r="V33" s="705"/>
      <c r="W33" s="706"/>
      <c r="X33" s="1355"/>
      <c r="Y33" s="368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9"/>
      <c r="Q34" s="1352" t="str">
        <f t="shared" si="8"/>
        <v>土地级别</v>
      </c>
      <c r="R34" s="705" t="s">
        <v>14</v>
      </c>
      <c r="S34" s="706">
        <f t="shared" si="10"/>
        <v>100</v>
      </c>
      <c r="T34" s="705" t="s">
        <v>14</v>
      </c>
      <c r="U34" s="706">
        <f t="shared" si="11"/>
        <v>100</v>
      </c>
      <c r="V34" s="705" t="s">
        <v>14</v>
      </c>
      <c r="W34" s="706">
        <f t="shared" si="12"/>
        <v>100</v>
      </c>
      <c r="X34" s="1355"/>
      <c r="Y34" s="368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9"/>
      <c r="Q35" s="1352">
        <f t="shared" si="8"/>
        <v>111</v>
      </c>
      <c r="R35" s="705" t="s">
        <v>14</v>
      </c>
      <c r="S35" s="706">
        <f t="shared" si="10"/>
        <v>100</v>
      </c>
      <c r="T35" s="705" t="s">
        <v>14</v>
      </c>
      <c r="U35" s="706">
        <f t="shared" si="11"/>
        <v>100</v>
      </c>
      <c r="V35" s="705" t="s">
        <v>14</v>
      </c>
      <c r="W35" s="706">
        <f t="shared" si="12"/>
        <v>100</v>
      </c>
      <c r="X35" s="1355"/>
      <c r="Y35" s="368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4" t="s">
        <v>1696</v>
      </c>
      <c r="Q36" s="1352">
        <f t="shared" si="8"/>
        <v>111</v>
      </c>
      <c r="R36" s="705" t="s">
        <v>14</v>
      </c>
      <c r="S36" s="706">
        <f t="shared" si="10"/>
        <v>100</v>
      </c>
      <c r="T36" s="705" t="s">
        <v>14</v>
      </c>
      <c r="U36" s="706">
        <f t="shared" si="11"/>
        <v>100</v>
      </c>
      <c r="V36" s="705" t="s">
        <v>14</v>
      </c>
      <c r="W36" s="706">
        <f t="shared" si="12"/>
        <v>100</v>
      </c>
      <c r="X36" s="1355"/>
      <c r="Y36" s="369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3"/>
      <c r="Q37" s="1352">
        <f t="shared" si="8"/>
        <v>111</v>
      </c>
      <c r="R37" s="708" t="s">
        <v>14</v>
      </c>
      <c r="S37" s="709">
        <f t="shared" si="10"/>
        <v>100</v>
      </c>
      <c r="T37" s="708" t="s">
        <v>14</v>
      </c>
      <c r="U37" s="709">
        <f t="shared" si="11"/>
        <v>100</v>
      </c>
      <c r="V37" s="708" t="s">
        <v>14</v>
      </c>
      <c r="W37" s="709">
        <f t="shared" si="12"/>
        <v>100</v>
      </c>
      <c r="X37" s="710"/>
      <c r="Y37" s="369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3"/>
      <c r="Q38" s="1352" t="str">
        <f>B38</f>
        <v>宗地面积</v>
      </c>
      <c r="R38" s="705" t="s">
        <v>14</v>
      </c>
      <c r="S38" s="706" t="e">
        <f t="shared" si="10"/>
        <v>#N/A</v>
      </c>
      <c r="T38" s="705" t="s">
        <v>14</v>
      </c>
      <c r="U38" s="706" t="e">
        <f t="shared" si="11"/>
        <v>#N/A</v>
      </c>
      <c r="V38" s="705" t="s">
        <v>14</v>
      </c>
      <c r="W38" s="706" t="e">
        <f t="shared" si="12"/>
        <v>#N/A</v>
      </c>
      <c r="X38" s="1355"/>
      <c r="Y38" s="369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3"/>
      <c r="Q39" s="1352" t="str">
        <f t="shared" ref="Q39:Q45" si="14">B39</f>
        <v>宗地形状</v>
      </c>
      <c r="R39" s="705" t="s">
        <v>14</v>
      </c>
      <c r="S39" s="706">
        <f t="shared" si="10"/>
        <v>100</v>
      </c>
      <c r="T39" s="705" t="s">
        <v>14</v>
      </c>
      <c r="U39" s="706">
        <f t="shared" si="11"/>
        <v>100</v>
      </c>
      <c r="V39" s="705" t="s">
        <v>14</v>
      </c>
      <c r="W39" s="706">
        <f t="shared" si="12"/>
        <v>100</v>
      </c>
      <c r="X39" s="1355"/>
      <c r="Y39" s="369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3"/>
      <c r="Q40" s="1352" t="str">
        <f t="shared" si="14"/>
        <v>临街宽度及深度</v>
      </c>
      <c r="R40" s="705" t="s">
        <v>14</v>
      </c>
      <c r="S40" s="706">
        <f t="shared" si="10"/>
        <v>100</v>
      </c>
      <c r="T40" s="705" t="s">
        <v>14</v>
      </c>
      <c r="U40" s="706">
        <f t="shared" si="11"/>
        <v>100</v>
      </c>
      <c r="V40" s="705" t="s">
        <v>14</v>
      </c>
      <c r="W40" s="706">
        <f t="shared" si="12"/>
        <v>100</v>
      </c>
      <c r="X40" s="1355"/>
      <c r="Y40" s="369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3"/>
      <c r="Q41" s="1352" t="str">
        <f t="shared" si="14"/>
        <v>宗地开发程度</v>
      </c>
      <c r="R41" s="701" t="s">
        <v>14</v>
      </c>
      <c r="S41" s="702">
        <f t="shared" si="10"/>
        <v>100</v>
      </c>
      <c r="T41" s="701" t="s">
        <v>14</v>
      </c>
      <c r="U41" s="702">
        <f t="shared" si="11"/>
        <v>100</v>
      </c>
      <c r="V41" s="701" t="s">
        <v>14</v>
      </c>
      <c r="W41" s="702">
        <f t="shared" si="12"/>
        <v>100</v>
      </c>
      <c r="X41" s="703"/>
      <c r="Y41" s="369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3" t="s">
        <v>1696</v>
      </c>
      <c r="Q42" s="1352" t="str">
        <f t="shared" si="14"/>
        <v>工程地质条件</v>
      </c>
      <c r="R42" s="705" t="s">
        <v>14</v>
      </c>
      <c r="S42" s="706">
        <f t="shared" si="10"/>
        <v>100</v>
      </c>
      <c r="T42" s="705" t="s">
        <v>14</v>
      </c>
      <c r="U42" s="706">
        <f t="shared" si="11"/>
        <v>100</v>
      </c>
      <c r="V42" s="705" t="s">
        <v>14</v>
      </c>
      <c r="W42" s="706">
        <f t="shared" si="12"/>
        <v>100</v>
      </c>
      <c r="X42" s="1355"/>
      <c r="Y42" s="369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3"/>
      <c r="Q43" s="1352">
        <f t="shared" si="14"/>
        <v>111</v>
      </c>
      <c r="R43" s="705" t="s">
        <v>14</v>
      </c>
      <c r="S43" s="706">
        <f t="shared" si="10"/>
        <v>100</v>
      </c>
      <c r="T43" s="705" t="s">
        <v>14</v>
      </c>
      <c r="U43" s="706">
        <f t="shared" si="11"/>
        <v>100</v>
      </c>
      <c r="V43" s="705" t="s">
        <v>14</v>
      </c>
      <c r="W43" s="706">
        <f t="shared" si="12"/>
        <v>100</v>
      </c>
      <c r="X43" s="1355"/>
      <c r="Y43" s="369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3"/>
      <c r="Q44" s="1352">
        <f t="shared" si="14"/>
        <v>111</v>
      </c>
      <c r="R44" s="705" t="s">
        <v>14</v>
      </c>
      <c r="S44" s="706">
        <f t="shared" si="10"/>
        <v>100</v>
      </c>
      <c r="T44" s="705" t="s">
        <v>14</v>
      </c>
      <c r="U44" s="706">
        <f t="shared" si="11"/>
        <v>100</v>
      </c>
      <c r="V44" s="705" t="s">
        <v>14</v>
      </c>
      <c r="W44" s="706">
        <f t="shared" si="12"/>
        <v>100</v>
      </c>
      <c r="X44" s="1355"/>
      <c r="Y44" s="369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3"/>
      <c r="Q45" s="1352">
        <f t="shared" si="14"/>
        <v>111</v>
      </c>
      <c r="R45" s="708" t="s">
        <v>14</v>
      </c>
      <c r="S45" s="709">
        <f t="shared" si="10"/>
        <v>100</v>
      </c>
      <c r="T45" s="708" t="s">
        <v>14</v>
      </c>
      <c r="U45" s="709">
        <f t="shared" si="11"/>
        <v>100</v>
      </c>
      <c r="V45" s="708" t="s">
        <v>14</v>
      </c>
      <c r="W45" s="709">
        <f t="shared" si="12"/>
        <v>100</v>
      </c>
      <c r="X45" s="710"/>
      <c r="Y45" s="369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5" t="str">
        <f>A46</f>
        <v>成交单价</v>
      </c>
      <c r="Q46" s="3695"/>
      <c r="R46" s="3656">
        <f>E46</f>
        <v>0</v>
      </c>
      <c r="S46" s="3656"/>
      <c r="T46" s="3656">
        <f>G46</f>
        <v>0</v>
      </c>
      <c r="U46" s="3656"/>
      <c r="V46" s="3656">
        <f>I46</f>
        <v>0</v>
      </c>
      <c r="W46" s="365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5" t="str">
        <f>A47</f>
        <v>比较价值（元/平方米）</v>
      </c>
      <c r="Q47" s="3695"/>
      <c r="R47" s="3746" t="e">
        <f>ROUND(PRODUCT(R46,AA7:AA45),0)</f>
        <v>#DIV/0!</v>
      </c>
      <c r="S47" s="3746"/>
      <c r="T47" s="3746" t="e">
        <f>ROUND(PRODUCT(T46,AB7:AB45),0)</f>
        <v>#DIV/0!</v>
      </c>
      <c r="U47" s="3746"/>
      <c r="V47" s="3746" t="e">
        <f>ROUND(PRODUCT(V46,AC7:AC45),0)</f>
        <v>#DIV/0!</v>
      </c>
      <c r="W47" s="374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7" t="str">
        <f>A48</f>
        <v>估价对象XX用房的比较价值（楼面单价，元/平方米）</v>
      </c>
      <c r="Q48" s="3698"/>
      <c r="R48" s="3747" t="e">
        <f>ROUND(IF(D47="简单平均",AVERAGE(R47:W47),R47*F47+T47*H47+V47*J47),0)</f>
        <v>#DIV/0!</v>
      </c>
      <c r="S48" s="3747"/>
      <c r="T48" s="3747"/>
      <c r="U48" s="3747"/>
      <c r="V48" s="3747"/>
      <c r="W48" s="374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3" t="s">
        <v>1887</v>
      </c>
      <c r="H55" s="374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1189.08</v>
      </c>
      <c r="F56" s="886" t="e">
        <f t="shared" ref="F56:F64" si="15">ROUND(B56*E56/10000,0)</f>
        <v>#DIV/0!</v>
      </c>
      <c r="G56" s="3672"/>
      <c r="H56" s="369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0.5</v>
      </c>
      <c r="D57" s="945">
        <v>0.25</v>
      </c>
      <c r="E57" s="642"/>
      <c r="F57" s="886" t="e">
        <f t="shared" si="15"/>
        <v>#DIV/0!</v>
      </c>
      <c r="G57" s="3006" t="s">
        <v>1892</v>
      </c>
      <c r="H57" s="887" t="str">
        <f>项目基本情况!B37</f>
        <v>八级</v>
      </c>
      <c r="I57" s="891">
        <f>SUMIF(修正!A57:A68,H57,修正!B57:B68)</f>
        <v>0.5</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0.2</v>
      </c>
      <c r="D58" s="945">
        <v>0.25</v>
      </c>
      <c r="E58" s="642"/>
      <c r="F58" s="886" t="e">
        <f t="shared" si="15"/>
        <v>#DIV/0!</v>
      </c>
      <c r="G58" s="3007"/>
      <c r="H58" s="887" t="str">
        <f>项目基本情况!B37</f>
        <v>八级</v>
      </c>
      <c r="I58" s="891">
        <f>SUMIF(修正!A57:A68,H58,修正!C57:C68)</f>
        <v>0.2</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v>
      </c>
      <c r="D59" s="945">
        <v>0.25</v>
      </c>
      <c r="E59" s="642"/>
      <c r="F59" s="886" t="e">
        <f t="shared" si="15"/>
        <v>#DIV/0!</v>
      </c>
      <c r="G59" s="3007"/>
      <c r="H59" s="887" t="str">
        <f>项目基本情况!B37</f>
        <v>八级</v>
      </c>
      <c r="I59" s="891">
        <f>SUMIF(修正!A57:A68,H59,修正!D57:D68)</f>
        <v>0.2</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v>
      </c>
      <c r="D63" s="945">
        <v>0.25</v>
      </c>
      <c r="E63" s="217">
        <f>'数据-汇总表'!E14</f>
        <v>0</v>
      </c>
      <c r="F63" s="886" t="e">
        <f t="shared" si="15"/>
        <v>#DIV/0!</v>
      </c>
      <c r="G63" s="1987" t="s">
        <v>1892</v>
      </c>
      <c r="H63" s="887" t="str">
        <f>项目基本情况!B37</f>
        <v>八级</v>
      </c>
      <c r="I63" s="891">
        <f>SUMIF(修正!A57:A68,H63,修正!G57:G68)</f>
        <v>0.1</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1189.08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59" t="s">
        <v>1771</v>
      </c>
      <c r="S4" s="3660"/>
      <c r="T4" s="3659" t="s">
        <v>1772</v>
      </c>
      <c r="U4" s="3660"/>
      <c r="V4" s="3656" t="s">
        <v>1773</v>
      </c>
      <c r="W4" s="3656"/>
      <c r="X4" s="1355"/>
      <c r="Y4" s="3659" t="s">
        <v>1775</v>
      </c>
      <c r="Z4" s="3660"/>
      <c r="AA4" s="3653" t="s">
        <v>1771</v>
      </c>
      <c r="AB4" s="3654" t="s">
        <v>1772</v>
      </c>
      <c r="AC4" s="3653" t="s">
        <v>1773</v>
      </c>
    </row>
    <row r="5" spans="1:29" ht="15">
      <c r="A5" s="358"/>
      <c r="B5" s="359"/>
      <c r="C5" s="3669" t="s">
        <v>1673</v>
      </c>
      <c r="D5" s="3666"/>
      <c r="E5" s="3663" t="s">
        <v>1674</v>
      </c>
      <c r="F5" s="3664"/>
      <c r="G5" s="3669" t="s">
        <v>1675</v>
      </c>
      <c r="H5" s="3666"/>
      <c r="I5" s="3669" t="s">
        <v>1676</v>
      </c>
      <c r="J5" s="3666"/>
      <c r="K5" s="559"/>
      <c r="L5" s="2715"/>
      <c r="M5" s="2716"/>
      <c r="N5" s="2716"/>
      <c r="O5" s="2716"/>
      <c r="P5" s="3679"/>
      <c r="Q5" s="3680"/>
      <c r="R5" s="3661"/>
      <c r="S5" s="3662"/>
      <c r="T5" s="3661"/>
      <c r="U5" s="3662"/>
      <c r="V5" s="3656"/>
      <c r="W5" s="3656"/>
      <c r="X5" s="1355"/>
      <c r="Y5" s="3661"/>
      <c r="Z5" s="3662"/>
      <c r="AA5" s="3654"/>
      <c r="AB5" s="3654"/>
      <c r="AC5" s="3654"/>
    </row>
    <row r="6" spans="1:29" ht="15.75" thickBot="1">
      <c r="A6" s="360"/>
      <c r="B6" s="361"/>
      <c r="C6" s="3749" t="s">
        <v>1919</v>
      </c>
      <c r="D6" s="3750"/>
      <c r="E6" s="3751" t="s">
        <v>1919</v>
      </c>
      <c r="F6" s="3752"/>
      <c r="G6" s="3749" t="s">
        <v>1919</v>
      </c>
      <c r="H6" s="3750"/>
      <c r="I6" s="3749" t="s">
        <v>1919</v>
      </c>
      <c r="J6" s="3750"/>
      <c r="K6" s="559" t="s">
        <v>1678</v>
      </c>
      <c r="L6" s="2715"/>
      <c r="M6" s="2716"/>
      <c r="N6" s="2716"/>
      <c r="O6" s="2716"/>
      <c r="P6" s="3681"/>
      <c r="Q6" s="3682"/>
      <c r="R6" s="3661"/>
      <c r="S6" s="3662"/>
      <c r="T6" s="3683"/>
      <c r="U6" s="3684"/>
      <c r="V6" s="3656"/>
      <c r="W6" s="3656"/>
      <c r="X6" s="1355"/>
      <c r="Y6" s="3683"/>
      <c r="Z6" s="3684"/>
      <c r="AA6" s="3655"/>
      <c r="AB6" s="3655"/>
      <c r="AC6" s="3655"/>
    </row>
    <row r="7" spans="1:29" s="108" customFormat="1" ht="15.75" thickBot="1">
      <c r="A7" s="362" t="s">
        <v>1679</v>
      </c>
      <c r="B7" s="363"/>
      <c r="C7" s="364">
        <f>'数据-取费表'!B2</f>
        <v>45148</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57" t="s">
        <v>1680</v>
      </c>
      <c r="Q7" s="3685"/>
      <c r="R7" s="701" t="s">
        <v>14</v>
      </c>
      <c r="S7" s="702">
        <f t="shared" ref="S7:S15" si="0">F7</f>
        <v>0</v>
      </c>
      <c r="T7" s="701" t="s">
        <v>14</v>
      </c>
      <c r="U7" s="702">
        <f t="shared" ref="U7:U15" si="1">H7</f>
        <v>0</v>
      </c>
      <c r="V7" s="701" t="s">
        <v>14</v>
      </c>
      <c r="W7" s="702">
        <f t="shared" ref="W7:W15" si="2">J7</f>
        <v>0</v>
      </c>
      <c r="X7" s="703"/>
      <c r="Y7" s="3657" t="s">
        <v>1680</v>
      </c>
      <c r="Z7" s="365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57" t="s">
        <v>1683</v>
      </c>
      <c r="Q8" s="3658"/>
      <c r="R8" s="701" t="s">
        <v>14</v>
      </c>
      <c r="S8" s="702">
        <f t="shared" si="0"/>
        <v>0</v>
      </c>
      <c r="T8" s="701" t="s">
        <v>14</v>
      </c>
      <c r="U8" s="702">
        <f t="shared" si="1"/>
        <v>0</v>
      </c>
      <c r="V8" s="701" t="s">
        <v>14</v>
      </c>
      <c r="W8" s="702">
        <f t="shared" si="2"/>
        <v>0</v>
      </c>
      <c r="X8" s="703"/>
      <c r="Y8" s="3657" t="s">
        <v>1683</v>
      </c>
      <c r="Z8" s="365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156</v>
      </c>
      <c r="G10" s="383"/>
      <c r="H10" s="127">
        <f>ROUND(100/'数据-取费表'!G16,0)</f>
        <v>156</v>
      </c>
      <c r="I10" s="383"/>
      <c r="J10" s="127">
        <f>ROUND(100/'数据-取费表'!G16,0)</f>
        <v>156</v>
      </c>
      <c r="K10" s="620"/>
      <c r="L10" s="2719"/>
      <c r="M10" s="2720"/>
      <c r="N10" s="2720"/>
      <c r="O10" s="2773"/>
      <c r="P10" s="3695"/>
      <c r="Q10" s="1343" t="str">
        <f t="shared" si="6"/>
        <v>土地使用年限（年）</v>
      </c>
      <c r="R10" s="701" t="s">
        <v>14</v>
      </c>
      <c r="S10" s="702">
        <f t="shared" si="0"/>
        <v>156</v>
      </c>
      <c r="T10" s="701" t="s">
        <v>14</v>
      </c>
      <c r="U10" s="702">
        <f t="shared" si="1"/>
        <v>156</v>
      </c>
      <c r="V10" s="701" t="s">
        <v>14</v>
      </c>
      <c r="W10" s="702">
        <f t="shared" si="2"/>
        <v>156</v>
      </c>
      <c r="X10" s="703"/>
      <c r="Y10" s="3629"/>
      <c r="Z10" s="52" t="str">
        <f t="shared" si="7"/>
        <v>土地使用年限（年）</v>
      </c>
      <c r="AA10" s="704">
        <f t="shared" si="3"/>
        <v>0.64102564102564108</v>
      </c>
      <c r="AB10" s="704">
        <f t="shared" si="4"/>
        <v>0.64102564102564108</v>
      </c>
      <c r="AC10" s="704">
        <f t="shared" si="5"/>
        <v>0.64102564102564108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5"/>
      <c r="Q11" s="1343" t="str">
        <f t="shared" si="6"/>
        <v>容积率</v>
      </c>
      <c r="R11" s="701" t="s">
        <v>14</v>
      </c>
      <c r="S11" s="702" t="e">
        <f t="shared" si="0"/>
        <v>#N/A</v>
      </c>
      <c r="T11" s="701" t="s">
        <v>14</v>
      </c>
      <c r="U11" s="702" t="e">
        <f t="shared" si="1"/>
        <v>#N/A</v>
      </c>
      <c r="V11" s="701" t="s">
        <v>14</v>
      </c>
      <c r="W11" s="702" t="e">
        <f t="shared" si="2"/>
        <v>#N/A</v>
      </c>
      <c r="X11" s="703"/>
      <c r="Y11" s="362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9"/>
      <c r="Q16" s="1352"/>
      <c r="R16" s="705"/>
      <c r="S16" s="706"/>
      <c r="T16" s="705"/>
      <c r="U16" s="706"/>
      <c r="V16" s="705"/>
      <c r="W16" s="706"/>
      <c r="X16" s="1355"/>
      <c r="Y16" s="368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9"/>
      <c r="Q18" s="1352"/>
      <c r="R18" s="705"/>
      <c r="S18" s="706"/>
      <c r="T18" s="705"/>
      <c r="U18" s="706"/>
      <c r="V18" s="705"/>
      <c r="W18" s="706"/>
      <c r="X18" s="1355"/>
      <c r="Y18" s="368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9"/>
      <c r="Q19" s="1352" t="str">
        <f t="shared" ref="Q19:Q33" si="8">B19</f>
        <v>区域土地利用方向</v>
      </c>
      <c r="R19" s="705" t="s">
        <v>14</v>
      </c>
      <c r="S19" s="706">
        <f>F19</f>
        <v>100</v>
      </c>
      <c r="T19" s="705" t="s">
        <v>14</v>
      </c>
      <c r="U19" s="706">
        <f>H19</f>
        <v>100</v>
      </c>
      <c r="V19" s="705" t="s">
        <v>14</v>
      </c>
      <c r="W19" s="706">
        <f>J19</f>
        <v>100</v>
      </c>
      <c r="X19" s="1355"/>
      <c r="Y19" s="368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9"/>
      <c r="Q20" s="1352"/>
      <c r="R20" s="705"/>
      <c r="S20" s="706"/>
      <c r="T20" s="705"/>
      <c r="U20" s="706"/>
      <c r="V20" s="705"/>
      <c r="W20" s="706"/>
      <c r="X20" s="1355"/>
      <c r="Y20" s="368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9"/>
      <c r="Q21" s="1352" t="str">
        <f t="shared" si="8"/>
        <v>环境状况</v>
      </c>
      <c r="R21" s="705" t="s">
        <v>14</v>
      </c>
      <c r="S21" s="706">
        <f>F21</f>
        <v>100</v>
      </c>
      <c r="T21" s="705" t="s">
        <v>14</v>
      </c>
      <c r="U21" s="706">
        <f>H21</f>
        <v>100</v>
      </c>
      <c r="V21" s="705" t="s">
        <v>14</v>
      </c>
      <c r="W21" s="706">
        <f>J21</f>
        <v>100</v>
      </c>
      <c r="X21" s="1355"/>
      <c r="Y21" s="368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9"/>
      <c r="Q22" s="1352"/>
      <c r="R22" s="705"/>
      <c r="S22" s="706"/>
      <c r="T22" s="705"/>
      <c r="U22" s="706"/>
      <c r="V22" s="705"/>
      <c r="W22" s="706"/>
      <c r="X22" s="1355"/>
      <c r="Y22" s="368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9"/>
      <c r="Q23" s="1343" t="str">
        <f t="shared" si="8"/>
        <v>公共配套设施</v>
      </c>
      <c r="R23" s="701" t="s">
        <v>14</v>
      </c>
      <c r="S23" s="702">
        <f>F23</f>
        <v>100</v>
      </c>
      <c r="T23" s="701" t="s">
        <v>14</v>
      </c>
      <c r="U23" s="702">
        <f>H23</f>
        <v>100</v>
      </c>
      <c r="V23" s="701" t="s">
        <v>14</v>
      </c>
      <c r="W23" s="702">
        <f>J23</f>
        <v>100</v>
      </c>
      <c r="X23" s="703"/>
      <c r="Y23" s="368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9"/>
      <c r="Q24" s="1343"/>
      <c r="R24" s="701"/>
      <c r="S24" s="702"/>
      <c r="T24" s="701"/>
      <c r="U24" s="702"/>
      <c r="V24" s="701"/>
      <c r="W24" s="702"/>
      <c r="X24" s="703"/>
      <c r="Y24" s="368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9"/>
      <c r="Q25" s="1343" t="str">
        <f t="shared" ref="Q25" si="9">B25</f>
        <v>基础设施水平</v>
      </c>
      <c r="R25" s="701" t="s">
        <v>14</v>
      </c>
      <c r="S25" s="702">
        <f>F25</f>
        <v>100</v>
      </c>
      <c r="T25" s="701" t="s">
        <v>14</v>
      </c>
      <c r="U25" s="702">
        <f>H25</f>
        <v>100</v>
      </c>
      <c r="V25" s="701" t="s">
        <v>14</v>
      </c>
      <c r="W25" s="702">
        <f>J25</f>
        <v>100</v>
      </c>
      <c r="X25" s="703"/>
      <c r="Y25" s="368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9"/>
      <c r="Q26" s="1343"/>
      <c r="R26" s="701"/>
      <c r="S26" s="702"/>
      <c r="T26" s="701"/>
      <c r="U26" s="702"/>
      <c r="V26" s="701"/>
      <c r="W26" s="702"/>
      <c r="X26" s="703"/>
      <c r="Y26" s="368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9"/>
      <c r="Q28" s="1352" t="str">
        <f t="shared" si="8"/>
        <v>毗邻道路的类型与等级</v>
      </c>
      <c r="R28" s="705" t="s">
        <v>14</v>
      </c>
      <c r="S28" s="706">
        <f t="shared" si="10"/>
        <v>100</v>
      </c>
      <c r="T28" s="705" t="s">
        <v>14</v>
      </c>
      <c r="U28" s="706">
        <f t="shared" si="11"/>
        <v>100</v>
      </c>
      <c r="V28" s="705" t="s">
        <v>14</v>
      </c>
      <c r="W28" s="706">
        <f t="shared" si="12"/>
        <v>100</v>
      </c>
      <c r="X28" s="1355"/>
      <c r="Y28" s="368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9"/>
      <c r="Q29" s="1352"/>
      <c r="R29" s="705"/>
      <c r="S29" s="706"/>
      <c r="T29" s="705"/>
      <c r="U29" s="706"/>
      <c r="V29" s="705"/>
      <c r="W29" s="706"/>
      <c r="X29" s="1355"/>
      <c r="Y29" s="368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9"/>
      <c r="Q30" s="1352" t="str">
        <f t="shared" si="8"/>
        <v>土地级别</v>
      </c>
      <c r="R30" s="705" t="s">
        <v>14</v>
      </c>
      <c r="S30" s="706">
        <f t="shared" si="10"/>
        <v>100</v>
      </c>
      <c r="T30" s="705" t="s">
        <v>14</v>
      </c>
      <c r="U30" s="706">
        <f t="shared" si="11"/>
        <v>100</v>
      </c>
      <c r="V30" s="705" t="s">
        <v>14</v>
      </c>
      <c r="W30" s="706">
        <f t="shared" si="12"/>
        <v>100</v>
      </c>
      <c r="X30" s="1355"/>
      <c r="Y30" s="368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9"/>
      <c r="Q31" s="1352">
        <f t="shared" si="8"/>
        <v>111</v>
      </c>
      <c r="R31" s="705" t="s">
        <v>14</v>
      </c>
      <c r="S31" s="706">
        <f t="shared" si="10"/>
        <v>100</v>
      </c>
      <c r="T31" s="705" t="s">
        <v>14</v>
      </c>
      <c r="U31" s="706">
        <f t="shared" si="11"/>
        <v>100</v>
      </c>
      <c r="V31" s="705" t="s">
        <v>14</v>
      </c>
      <c r="W31" s="706">
        <f t="shared" si="12"/>
        <v>100</v>
      </c>
      <c r="X31" s="1355"/>
      <c r="Y31" s="368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4" t="s">
        <v>1696</v>
      </c>
      <c r="Q32" s="1352">
        <f t="shared" si="8"/>
        <v>111</v>
      </c>
      <c r="R32" s="705" t="s">
        <v>14</v>
      </c>
      <c r="S32" s="706">
        <f t="shared" si="10"/>
        <v>100</v>
      </c>
      <c r="T32" s="705" t="s">
        <v>14</v>
      </c>
      <c r="U32" s="706">
        <f t="shared" si="11"/>
        <v>100</v>
      </c>
      <c r="V32" s="705" t="s">
        <v>14</v>
      </c>
      <c r="W32" s="706">
        <f t="shared" si="12"/>
        <v>100</v>
      </c>
      <c r="X32" s="1355"/>
      <c r="Y32" s="369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3"/>
      <c r="Q33" s="1352">
        <f t="shared" si="8"/>
        <v>111</v>
      </c>
      <c r="R33" s="708" t="s">
        <v>14</v>
      </c>
      <c r="S33" s="709">
        <f t="shared" si="10"/>
        <v>100</v>
      </c>
      <c r="T33" s="708" t="s">
        <v>14</v>
      </c>
      <c r="U33" s="709">
        <f t="shared" si="11"/>
        <v>100</v>
      </c>
      <c r="V33" s="708" t="s">
        <v>14</v>
      </c>
      <c r="W33" s="709">
        <f t="shared" si="12"/>
        <v>100</v>
      </c>
      <c r="X33" s="710"/>
      <c r="Y33" s="369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3"/>
      <c r="Q34" s="1352" t="str">
        <f>B34</f>
        <v>宗地面积</v>
      </c>
      <c r="R34" s="705" t="s">
        <v>14</v>
      </c>
      <c r="S34" s="706" t="e">
        <f t="shared" si="10"/>
        <v>#N/A</v>
      </c>
      <c r="T34" s="705" t="s">
        <v>14</v>
      </c>
      <c r="U34" s="706" t="e">
        <f t="shared" si="11"/>
        <v>#N/A</v>
      </c>
      <c r="V34" s="705" t="s">
        <v>14</v>
      </c>
      <c r="W34" s="706" t="e">
        <f t="shared" si="12"/>
        <v>#N/A</v>
      </c>
      <c r="X34" s="1355"/>
      <c r="Y34" s="369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3"/>
      <c r="Q35" s="1352" t="str">
        <f t="shared" ref="Q35:Q40" si="14">B35</f>
        <v>宗地形状</v>
      </c>
      <c r="R35" s="705" t="s">
        <v>14</v>
      </c>
      <c r="S35" s="706">
        <f t="shared" si="10"/>
        <v>100</v>
      </c>
      <c r="T35" s="705" t="s">
        <v>14</v>
      </c>
      <c r="U35" s="706">
        <f t="shared" si="11"/>
        <v>100</v>
      </c>
      <c r="V35" s="705" t="s">
        <v>14</v>
      </c>
      <c r="W35" s="706">
        <f t="shared" si="12"/>
        <v>100</v>
      </c>
      <c r="X35" s="1355"/>
      <c r="Y35" s="369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3"/>
      <c r="Q36" s="1352" t="str">
        <f t="shared" si="14"/>
        <v>宗地开发程度</v>
      </c>
      <c r="R36" s="701" t="s">
        <v>14</v>
      </c>
      <c r="S36" s="702">
        <f t="shared" si="10"/>
        <v>100</v>
      </c>
      <c r="T36" s="701" t="s">
        <v>14</v>
      </c>
      <c r="U36" s="702">
        <f t="shared" si="11"/>
        <v>100</v>
      </c>
      <c r="V36" s="701" t="s">
        <v>14</v>
      </c>
      <c r="W36" s="702">
        <f t="shared" si="12"/>
        <v>100</v>
      </c>
      <c r="X36" s="703"/>
      <c r="Y36" s="369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3" t="s">
        <v>1696</v>
      </c>
      <c r="Q37" s="1352" t="str">
        <f t="shared" si="14"/>
        <v>工程地质条件</v>
      </c>
      <c r="R37" s="705" t="s">
        <v>14</v>
      </c>
      <c r="S37" s="706">
        <f t="shared" si="10"/>
        <v>100</v>
      </c>
      <c r="T37" s="705" t="s">
        <v>14</v>
      </c>
      <c r="U37" s="706">
        <f t="shared" si="11"/>
        <v>100</v>
      </c>
      <c r="V37" s="705" t="s">
        <v>14</v>
      </c>
      <c r="W37" s="706">
        <f t="shared" si="12"/>
        <v>100</v>
      </c>
      <c r="X37" s="1355"/>
      <c r="Y37" s="369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3"/>
      <c r="Q38" s="1352">
        <f t="shared" si="14"/>
        <v>111</v>
      </c>
      <c r="R38" s="705" t="s">
        <v>14</v>
      </c>
      <c r="S38" s="706">
        <f t="shared" si="10"/>
        <v>100</v>
      </c>
      <c r="T38" s="705" t="s">
        <v>14</v>
      </c>
      <c r="U38" s="706">
        <f t="shared" si="11"/>
        <v>100</v>
      </c>
      <c r="V38" s="705" t="s">
        <v>14</v>
      </c>
      <c r="W38" s="706">
        <f t="shared" si="12"/>
        <v>100</v>
      </c>
      <c r="X38" s="1355"/>
      <c r="Y38" s="369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3"/>
      <c r="Q39" s="1352">
        <f t="shared" si="14"/>
        <v>111</v>
      </c>
      <c r="R39" s="705" t="s">
        <v>14</v>
      </c>
      <c r="S39" s="706">
        <f t="shared" si="10"/>
        <v>100</v>
      </c>
      <c r="T39" s="705" t="s">
        <v>14</v>
      </c>
      <c r="U39" s="706">
        <f t="shared" si="11"/>
        <v>100</v>
      </c>
      <c r="V39" s="705" t="s">
        <v>14</v>
      </c>
      <c r="W39" s="706">
        <f t="shared" si="12"/>
        <v>100</v>
      </c>
      <c r="X39" s="1355"/>
      <c r="Y39" s="369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3"/>
      <c r="Q40" s="1352">
        <f t="shared" si="14"/>
        <v>111</v>
      </c>
      <c r="R40" s="708" t="s">
        <v>14</v>
      </c>
      <c r="S40" s="709">
        <f t="shared" si="10"/>
        <v>100</v>
      </c>
      <c r="T40" s="708" t="s">
        <v>14</v>
      </c>
      <c r="U40" s="709">
        <f t="shared" si="11"/>
        <v>100</v>
      </c>
      <c r="V40" s="708" t="s">
        <v>14</v>
      </c>
      <c r="W40" s="709">
        <f t="shared" si="12"/>
        <v>100</v>
      </c>
      <c r="X40" s="710"/>
      <c r="Y40" s="369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5" t="str">
        <f>A41</f>
        <v>成交单价</v>
      </c>
      <c r="Q41" s="3695"/>
      <c r="R41" s="3656">
        <f>E41</f>
        <v>0</v>
      </c>
      <c r="S41" s="3656"/>
      <c r="T41" s="3656">
        <f>G41</f>
        <v>0</v>
      </c>
      <c r="U41" s="3656"/>
      <c r="V41" s="3656">
        <f>I41</f>
        <v>0</v>
      </c>
      <c r="W41" s="365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5" t="str">
        <f>A42</f>
        <v>比较价值（元/平方米）</v>
      </c>
      <c r="Q42" s="3695"/>
      <c r="R42" s="3746" t="e">
        <f>ROUND(PRODUCT(R41,AA7:AA40),0)</f>
        <v>#DIV/0!</v>
      </c>
      <c r="S42" s="3746"/>
      <c r="T42" s="3746" t="e">
        <f>ROUND(PRODUCT(T41,AB7:AB40),0)</f>
        <v>#DIV/0!</v>
      </c>
      <c r="U42" s="3746"/>
      <c r="V42" s="3746" t="e">
        <f>ROUND(PRODUCT(V41,AC7:AC40),0)</f>
        <v>#DIV/0!</v>
      </c>
      <c r="W42" s="374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7" t="str">
        <f>A43</f>
        <v>估价对象XX用房的比较价值（楼面单价，元/平方米）</v>
      </c>
      <c r="Q43" s="3698"/>
      <c r="R43" s="3747" t="e">
        <f>ROUND(IF(D42="简单平均",AVERAGE(R42:W42),R42*F42+T42*H42+V42*J42),0)</f>
        <v>#DIV/0!</v>
      </c>
      <c r="S43" s="3747"/>
      <c r="T43" s="3747"/>
      <c r="U43" s="3747"/>
      <c r="V43" s="3747"/>
      <c r="W43" s="374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3" t="s">
        <v>1887</v>
      </c>
      <c r="H50" s="374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1189.08</v>
      </c>
      <c r="F51" s="639" t="e">
        <f t="shared" ref="F51:F60" si="15">ROUND(B51*E51/10000,0)</f>
        <v>#DIV/0!</v>
      </c>
      <c r="G51" s="3672"/>
      <c r="H51" s="369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0.5</v>
      </c>
      <c r="D52" s="945">
        <v>0.25</v>
      </c>
      <c r="E52" s="642"/>
      <c r="F52" s="639" t="e">
        <f t="shared" si="15"/>
        <v>#DIV/0!</v>
      </c>
      <c r="G52" s="3006" t="s">
        <v>1892</v>
      </c>
      <c r="H52" s="887" t="str">
        <f>项目基本情况!B37</f>
        <v>八级</v>
      </c>
      <c r="I52" s="773">
        <f>SUMIF(修正!A57:A68,H52,修正!B57:B68)</f>
        <v>0.5</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0.2</v>
      </c>
      <c r="D53" s="945">
        <v>0.25</v>
      </c>
      <c r="E53" s="642"/>
      <c r="F53" s="639" t="e">
        <f t="shared" si="15"/>
        <v>#DIV/0!</v>
      </c>
      <c r="G53" s="3007"/>
      <c r="H53" s="887" t="str">
        <f>项目基本情况!B37</f>
        <v>八级</v>
      </c>
      <c r="I53" s="773">
        <f>SUMIF(修正!A57:A68,H53,修正!C57:C68)</f>
        <v>0.2</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v>
      </c>
      <c r="D54" s="945">
        <v>0.25</v>
      </c>
      <c r="E54" s="642"/>
      <c r="F54" s="639" t="e">
        <f t="shared" si="15"/>
        <v>#DIV/0!</v>
      </c>
      <c r="G54" s="3007"/>
      <c r="H54" s="887" t="str">
        <f>项目基本情况!B37</f>
        <v>八级</v>
      </c>
      <c r="I54" s="773">
        <f>SUMIF(修正!A57:A68,H54,修正!D57:D68)</f>
        <v>0.2</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v>
      </c>
      <c r="D59" s="945">
        <v>0.25</v>
      </c>
      <c r="E59" s="217">
        <f>'数据-汇总表'!E14</f>
        <v>0</v>
      </c>
      <c r="F59" s="639" t="e">
        <f t="shared" si="15"/>
        <v>#DIV/0!</v>
      </c>
      <c r="G59" s="1987" t="s">
        <v>1892</v>
      </c>
      <c r="H59" s="887" t="str">
        <f>项目基本情况!B37</f>
        <v>八级</v>
      </c>
      <c r="I59" s="773">
        <f>SUMIF(修正!A57:A68,H59,修正!G57:G68)</f>
        <v>0.1</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842.89</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6" t="s">
        <v>2084</v>
      </c>
      <c r="D1" s="3757"/>
      <c r="E1" s="3757"/>
      <c r="F1" s="3757"/>
      <c r="G1" s="3757"/>
      <c r="H1" s="3757"/>
      <c r="I1" s="3757"/>
      <c r="J1" s="3757"/>
      <c r="K1" s="3757"/>
      <c r="L1" s="3757"/>
      <c r="M1" s="3757"/>
      <c r="N1" s="3757"/>
      <c r="O1" s="3757"/>
      <c r="P1" s="3757"/>
      <c r="Q1" s="3757"/>
      <c r="R1" s="3757"/>
      <c r="S1" s="375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3" t="s">
        <v>27</v>
      </c>
      <c r="D22" s="3754"/>
      <c r="E22" s="3754"/>
      <c r="F22" s="3754"/>
      <c r="G22" s="3754"/>
      <c r="H22" s="3754"/>
      <c r="I22" s="3754"/>
      <c r="J22" s="3754"/>
      <c r="K22" s="3754"/>
      <c r="L22" s="3754"/>
      <c r="M22" s="3754"/>
      <c r="N22" s="3754"/>
      <c r="O22" s="3754"/>
      <c r="P22" s="3754"/>
      <c r="Q22" s="375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1189.08</v>
      </c>
      <c r="F2" s="2793"/>
      <c r="G2" s="2793"/>
      <c r="H2" s="2793"/>
      <c r="I2" s="2793"/>
      <c r="J2" s="2793"/>
      <c r="K2" s="2793"/>
      <c r="L2" s="2793"/>
      <c r="M2" s="2793"/>
      <c r="N2" s="2793"/>
      <c r="O2" s="2793"/>
      <c r="P2" s="2793"/>
    </row>
    <row r="3" spans="1:16" ht="15.75">
      <c r="A3" s="2145" t="s">
        <v>2076</v>
      </c>
      <c r="B3" s="2602">
        <f ca="1">ROUND(B2*10000/E2,0)</f>
        <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0</v>
      </c>
      <c r="C6" s="2145" t="s">
        <v>2074</v>
      </c>
      <c r="D6" s="2793"/>
      <c r="E6" s="2612">
        <f ca="1">SUMIF(INDIRECT("'"&amp;A6&amp;"'"&amp;"!C:C"),"建筑面积",INDIRECT("'"&amp;A6&amp;"'"&amp;"!D:D"))</f>
        <v>1189.08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90" zoomScaleNormal="80" zoomScaleSheetLayoutView="90" workbookViewId="0">
      <selection activeCell="E12" sqref="E1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1189.08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2" t="s">
        <v>673</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Ⅷ-怀1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7811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0</v>
      </c>
      <c r="C3" s="1999" t="s">
        <v>1941</v>
      </c>
      <c r="D3" s="2000" t="s">
        <v>1942</v>
      </c>
      <c r="E3" s="3420" t="s">
        <v>2446</v>
      </c>
      <c r="F3" s="2004" t="s">
        <v>3394</v>
      </c>
      <c r="G3" s="752">
        <f>IF(F3="宗地容积率",'数据-汇总表'!I4,IF(F3="估价对象容积率",'数据-汇总表'!I6,'数据-汇总表'!I7))</f>
        <v>2.68</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6021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66"/>
      <c r="B4" s="3767"/>
      <c r="C4" s="3767"/>
      <c r="D4" s="3768"/>
      <c r="E4" s="3768"/>
      <c r="F4" s="3768"/>
      <c r="G4" s="3768"/>
      <c r="H4" s="3768"/>
      <c r="I4" s="3768"/>
      <c r="J4" s="376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4911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7630</v>
      </c>
      <c r="D5" s="1339">
        <f>ROUND(C6*C17+C20,0)</f>
        <v>7630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4170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7610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3799</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v>6</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2.68</v>
      </c>
      <c r="AA7" s="1216"/>
      <c r="AB7" s="1216"/>
      <c r="AC7" s="1217"/>
      <c r="AD7" s="1218"/>
      <c r="AE7" s="1218"/>
      <c r="AF7" s="1218"/>
      <c r="AG7" s="1218"/>
      <c r="AH7" s="1218"/>
      <c r="AI7" s="1218"/>
      <c r="AJ7" s="1219"/>
    </row>
    <row r="8" spans="1:36" ht="15">
      <c r="A8" s="3299"/>
      <c r="B8" s="170" t="s">
        <v>1957</v>
      </c>
      <c r="C8" s="2026"/>
      <c r="D8" s="756" t="s">
        <v>112</v>
      </c>
      <c r="E8" s="757">
        <f>ROUND(C11/E7,4)</f>
        <v>0</v>
      </c>
      <c r="F8" s="2027" t="s">
        <v>1958</v>
      </c>
      <c r="G8" s="2028"/>
      <c r="H8" s="2028"/>
      <c r="I8" s="2028"/>
      <c r="J8" s="2029"/>
      <c r="K8" s="1119"/>
      <c r="L8" s="2003" t="s">
        <v>1959</v>
      </c>
      <c r="M8" s="864">
        <f>SUMPRODUCT((区片价!B234:B276=I2)*(区片价!C3:G3=E2)*(区片价!C234:G276))</f>
        <v>7610</v>
      </c>
      <c r="N8" s="866">
        <f>SUMPRODUCT((因素修正幅度!B234:B276=I2)*(因素修正幅度!C3:G3=E2)*(因素修正幅度!C234:G276))</f>
        <v>0.14399999999999999</v>
      </c>
      <c r="O8" s="1119"/>
      <c r="P8" s="1119"/>
      <c r="Q8" s="1119"/>
      <c r="R8" s="1212">
        <v>7</v>
      </c>
      <c r="S8" s="1213"/>
      <c r="T8" s="3361">
        <f t="shared" si="0"/>
        <v>0</v>
      </c>
      <c r="U8" s="1213"/>
      <c r="V8" s="3361">
        <f t="shared" si="1"/>
        <v>0</v>
      </c>
      <c r="W8" s="3763" t="s">
        <v>1960</v>
      </c>
      <c r="X8" s="376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f>ROUND(C11/E7,4)</f>
        <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5"/>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f>ROUND(C11/E7,4)</f>
        <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5"/>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f>ROUND(C11/E7,4)</f>
        <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70" t="s">
        <v>3259</v>
      </c>
      <c r="B20" s="167" t="s">
        <v>1994</v>
      </c>
      <c r="C20" s="3325">
        <f>ROUND(IF(F21="与级别开发程度一致",0,(G21-E21)/C21),0)</f>
        <v>20</v>
      </c>
      <c r="D20" s="3341" t="s">
        <v>1998</v>
      </c>
      <c r="E20" s="3342"/>
      <c r="F20" s="3776" t="s">
        <v>1995</v>
      </c>
      <c r="G20" s="3777"/>
      <c r="H20" s="3326" t="s">
        <v>3396</v>
      </c>
      <c r="I20" s="3326" t="s">
        <v>3397</v>
      </c>
      <c r="J20" s="3327" t="s">
        <v>3398</v>
      </c>
      <c r="K20" s="2047" t="s">
        <v>3399</v>
      </c>
      <c r="L20" s="2047" t="s">
        <v>3400</v>
      </c>
      <c r="M20" s="2047" t="s">
        <v>3401</v>
      </c>
      <c r="N20" s="2047"/>
      <c r="O20" s="2048" t="s">
        <v>3402</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71"/>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3395</v>
      </c>
      <c r="G21" s="2157">
        <f>SUM(H21:O21)</f>
        <v>225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40</v>
      </c>
      <c r="N21" s="2165">
        <f>SUMPRODUCT((七通一平=N20)*(修正!B1:M1=G2)*(修正!B8:M16))</f>
        <v>0</v>
      </c>
      <c r="O21" s="2167">
        <f>SUMPRODUCT((七通一平=O20)*(修正!B1:M1=G2)*(修正!B8:M16))</f>
        <v>10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45148</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0.70320000000000005</v>
      </c>
      <c r="D24" s="2060" t="s">
        <v>2007</v>
      </c>
      <c r="E24" s="1335">
        <f>存贷款利率!E24/100</f>
        <v>4.3499999999999997E-2</v>
      </c>
      <c r="F24" s="2060" t="s">
        <v>1999</v>
      </c>
      <c r="G24" s="768">
        <f>SUMIF(M30:Q30,E2,M33:Q33)</f>
        <v>5.5E-2</v>
      </c>
      <c r="H24" s="2060" t="s">
        <v>2008</v>
      </c>
      <c r="I24" s="769">
        <f>SUMIF('数据-取费表'!C6:C15,E2,'数据-取费表'!F6:F15)/COUNTIF('数据-取费表'!C6:C15,E2)</f>
        <v>18.100000000000001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3403</v>
      </c>
      <c r="C25" s="771">
        <f>IF(B25="容积率修正",IF(G3&lt;10,D26,J26),C27)</f>
        <v>1.5418000000000001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0.93030000000000002</v>
      </c>
      <c r="E26" s="752">
        <f>ROUNDDOWN(G3,1)</f>
        <v>2.6</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0.93710000000000004</v>
      </c>
      <c r="G26" s="752">
        <f>ROUNDUP(G3,1)</f>
        <v>2.7</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0.92859999999999998</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1.0093000000000001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7811</v>
      </c>
      <c r="D33" s="2098">
        <f>汇总表!B5</f>
        <v>1189.08</v>
      </c>
      <c r="E33" s="773">
        <f>ROUND(C33*D33/10000,0)</f>
        <v>929</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4.3499999999999997E-2</v>
      </c>
      <c r="M36" s="3358">
        <f ca="1">ROUND($L$36*(1+M31),3)</f>
        <v>5.3999999999999999E-2</v>
      </c>
      <c r="N36" s="3358">
        <f ca="1">ROUND($L$36*(1+N31),3)</f>
        <v>5.1999999999999998E-2</v>
      </c>
      <c r="O36" s="3358">
        <f ca="1">ROUND($L$36*(1+O31),3)</f>
        <v>0.05</v>
      </c>
      <c r="P36" s="3358">
        <f ca="1">ROUND($L$36*(1+P31),3)</f>
        <v>4.8000000000000001E-2</v>
      </c>
      <c r="Q36" s="3358">
        <f ca="1">ROUND($L$36*(1+Q31),3)</f>
        <v>0.05</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4"/>
      <c r="B37" s="2113" t="s">
        <v>2036</v>
      </c>
      <c r="C37" s="175">
        <f>ROUND(D5*C22*C23*C24*C28*F37,0)</f>
        <v>2533</v>
      </c>
      <c r="D37" s="2098"/>
      <c r="E37" s="171">
        <f>ROUND(C37*D37/10000,0)</f>
        <v>0</v>
      </c>
      <c r="F37" s="171">
        <f>SUMIF(修正!A57:A68,G2,修正!B57:B68)</f>
        <v>0.5</v>
      </c>
      <c r="G37" s="171">
        <f>ROUND(IF(E2="工业",C37*$M$42,C37*$M$41),0)</f>
        <v>633</v>
      </c>
      <c r="H37" s="171">
        <f>D37</f>
        <v>0</v>
      </c>
      <c r="I37" s="171">
        <f>ROUND(G37*H37/10000,0)</f>
        <v>0</v>
      </c>
      <c r="J37" s="3012"/>
      <c r="K37" s="3359" t="s">
        <v>3271</v>
      </c>
      <c r="L37" s="3357">
        <f ca="1">L36+K38</f>
        <v>4.8499999999999995E-2</v>
      </c>
      <c r="M37" s="3358">
        <f ca="1">ROUND($L$37*(1+M31),3)</f>
        <v>6.0999999999999999E-2</v>
      </c>
      <c r="N37" s="3358">
        <f t="shared" ref="N37:Q37" ca="1" si="3">ROUND($L$37*(1+N31),3)</f>
        <v>5.8000000000000003E-2</v>
      </c>
      <c r="O37" s="3358">
        <f t="shared" ca="1" si="3"/>
        <v>5.6000000000000001E-2</v>
      </c>
      <c r="P37" s="3358">
        <f t="shared" ca="1" si="3"/>
        <v>5.2999999999999999E-2</v>
      </c>
      <c r="Q37" s="3358">
        <f t="shared" ca="1" si="3"/>
        <v>5.6000000000000001E-2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5"/>
      <c r="B38" s="2041" t="s">
        <v>2037</v>
      </c>
      <c r="C38" s="175">
        <f>ROUND(D5*C22*C23*C24*C28*F38,0)</f>
        <v>1013</v>
      </c>
      <c r="D38" s="2098"/>
      <c r="E38" s="171">
        <f t="shared" ref="E38:E42" si="4">ROUND(C38*D38/10000,0)</f>
        <v>0</v>
      </c>
      <c r="F38" s="171">
        <f>SUMIF(修正!A57:A68,G2,修正!C57:C68)</f>
        <v>0.2</v>
      </c>
      <c r="G38" s="171">
        <f>ROUND(IF(E2="工业",C38*$M$42,C38*$M$41),0)</f>
        <v>253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5"/>
      <c r="B39" s="2041" t="s">
        <v>3264</v>
      </c>
      <c r="C39" s="175">
        <f>ROUND(D5*C22*C23*C24*C28*F39,0)</f>
        <v>1013</v>
      </c>
      <c r="D39" s="2098"/>
      <c r="E39" s="171">
        <f t="shared" si="4"/>
        <v>0</v>
      </c>
      <c r="F39" s="171">
        <f>SUMIF(修正!A57:A68,G2,修正!D57:D68)</f>
        <v>0.2</v>
      </c>
      <c r="G39" s="171">
        <f>ROUND(IF(E2="工业",C39*$M$42,C39*$M$41),0)</f>
        <v>253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1013</v>
      </c>
      <c r="D40" s="2098"/>
      <c r="E40" s="171">
        <f t="shared" si="4"/>
        <v>0</v>
      </c>
      <c r="F40" s="175">
        <f>SUMIF(修正!A57:A68,G2,修正!E57:E68)</f>
        <v>0.2</v>
      </c>
      <c r="G40" s="171">
        <f>ROUND(IF(E2="工业",C40*$M$42,C40*$M$41),0)</f>
        <v>253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1.0093000000000001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3404</v>
      </c>
      <c r="D50" s="1065">
        <f t="shared" ref="D50:D58" si="7">SUMIF($J$49:$N$49,C50,J50:N50)</f>
        <v>0</v>
      </c>
      <c r="E50" s="744">
        <f>ROUND(SUM(D50:D58),4)</f>
        <v>9.2999999999999992E-3</v>
      </c>
      <c r="F50" s="1814">
        <f>IF(E2="商业",SUMIF(L1:L12,G2,N1:N12),"——")</f>
        <v>0.14399999999999999</v>
      </c>
      <c r="G50" s="1063">
        <f>H50</f>
        <v>2.1600000000000001E-2</v>
      </c>
      <c r="H50" s="1066">
        <f t="shared" ref="H50:H58" si="8">IFERROR(ROUNDDOWN($F$50*I50/2,4),"——")</f>
        <v>2.1600000000000001E-2</v>
      </c>
      <c r="I50" s="3367">
        <v>0.3</v>
      </c>
      <c r="J50" s="1064">
        <f t="shared" ref="J50:J58" si="9">K50+$G50</f>
        <v>4.3200000000000002E-2</v>
      </c>
      <c r="K50" s="1064">
        <f t="shared" ref="K50:K58" si="10">$L50+$G50</f>
        <v>2.1600000000000001E-2</v>
      </c>
      <c r="L50" s="1064">
        <v>0</v>
      </c>
      <c r="M50" s="1064">
        <f t="shared" ref="M50:N58" si="11">L50-$G50</f>
        <v>-2.1600000000000001E-2</v>
      </c>
      <c r="N50" s="1064">
        <f t="shared" si="11"/>
        <v>-4.3200000000000002E-2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3404</v>
      </c>
      <c r="D51" s="1065">
        <f t="shared" si="7"/>
        <v>0</v>
      </c>
      <c r="E51" s="745"/>
      <c r="F51" s="1814"/>
      <c r="G51" s="1063">
        <f t="shared" ref="G51:G57" si="12">H51</f>
        <v>1.5800000000000002E-2</v>
      </c>
      <c r="H51" s="1066">
        <f t="shared" si="8"/>
        <v>1.5800000000000002E-2</v>
      </c>
      <c r="I51" s="3367">
        <v>0.22</v>
      </c>
      <c r="J51" s="1064">
        <f t="shared" si="9"/>
        <v>3.1600000000000003E-2</v>
      </c>
      <c r="K51" s="1064">
        <f t="shared" si="10"/>
        <v>1.5800000000000002E-2</v>
      </c>
      <c r="L51" s="1064">
        <v>0</v>
      </c>
      <c r="M51" s="1064">
        <f t="shared" si="11"/>
        <v>-1.5800000000000002E-2</v>
      </c>
      <c r="N51" s="1064">
        <f t="shared" si="11"/>
        <v>-3.1600000000000003E-2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3404</v>
      </c>
      <c r="D52" s="1065">
        <f t="shared" si="7"/>
        <v>0</v>
      </c>
      <c r="E52" s="745"/>
      <c r="F52" s="1814"/>
      <c r="G52" s="1063">
        <f t="shared" si="12"/>
        <v>8.6E-3</v>
      </c>
      <c r="H52" s="1066">
        <f t="shared" si="8"/>
        <v>8.6E-3</v>
      </c>
      <c r="I52" s="3367">
        <v>0.12</v>
      </c>
      <c r="J52" s="1064">
        <f t="shared" si="9"/>
        <v>1.72E-2</v>
      </c>
      <c r="K52" s="1064">
        <f t="shared" si="10"/>
        <v>8.6E-3</v>
      </c>
      <c r="L52" s="1064">
        <v>0</v>
      </c>
      <c r="M52" s="1064">
        <f t="shared" si="11"/>
        <v>-8.6E-3</v>
      </c>
      <c r="N52" s="1064">
        <f t="shared" si="11"/>
        <v>-1.72E-2</v>
      </c>
      <c r="AA52" s="1120"/>
      <c r="AB52" s="1120"/>
      <c r="AC52" s="1120"/>
      <c r="AD52" s="1120"/>
      <c r="AE52" s="1120"/>
      <c r="AF52" s="1120"/>
      <c r="AG52" s="1120"/>
      <c r="AH52" s="1120"/>
      <c r="AI52" s="1120"/>
      <c r="AJ52" s="1120"/>
      <c r="AK52" s="1120"/>
    </row>
    <row r="53" spans="1:37" s="1119" customFormat="1" ht="36.75">
      <c r="A53" s="2130" t="s">
        <v>2054</v>
      </c>
      <c r="B53" s="2135" t="s">
        <v>2055</v>
      </c>
      <c r="C53" s="2044" t="s">
        <v>3404</v>
      </c>
      <c r="D53" s="1065">
        <f t="shared" si="7"/>
        <v>0</v>
      </c>
      <c r="E53" s="745"/>
      <c r="F53" s="1814"/>
      <c r="G53" s="1063">
        <f t="shared" si="12"/>
        <v>3.5999999999999999E-3</v>
      </c>
      <c r="H53" s="1066">
        <f t="shared" si="8"/>
        <v>3.5999999999999999E-3</v>
      </c>
      <c r="I53" s="3367">
        <v>0.05</v>
      </c>
      <c r="J53" s="1064">
        <f t="shared" si="9"/>
        <v>7.1999999999999998E-3</v>
      </c>
      <c r="K53" s="1064">
        <f t="shared" si="10"/>
        <v>3.5999999999999999E-3</v>
      </c>
      <c r="L53" s="1064">
        <v>0</v>
      </c>
      <c r="M53" s="1064">
        <f t="shared" si="11"/>
        <v>-3.5999999999999999E-3</v>
      </c>
      <c r="N53" s="1064">
        <f t="shared" si="11"/>
        <v>-7.1999999999999998E-3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3404</v>
      </c>
      <c r="D54" s="1065">
        <f t="shared" si="7"/>
        <v>0</v>
      </c>
      <c r="E54" s="745"/>
      <c r="F54" s="1814"/>
      <c r="G54" s="1063">
        <f t="shared" si="12"/>
        <v>5.7000000000000002E-3</v>
      </c>
      <c r="H54" s="1066">
        <f t="shared" si="8"/>
        <v>5.7000000000000002E-3</v>
      </c>
      <c r="I54" s="3367">
        <v>0.08</v>
      </c>
      <c r="J54" s="1064">
        <f t="shared" si="9"/>
        <v>1.14E-2</v>
      </c>
      <c r="K54" s="1064">
        <f t="shared" si="10"/>
        <v>5.7000000000000002E-3</v>
      </c>
      <c r="L54" s="1064">
        <v>0</v>
      </c>
      <c r="M54" s="1064">
        <f t="shared" si="11"/>
        <v>-5.7000000000000002E-3</v>
      </c>
      <c r="N54" s="1064">
        <f t="shared" si="11"/>
        <v>-1.14E-2</v>
      </c>
      <c r="AA54" s="1120"/>
      <c r="AB54" s="1120"/>
      <c r="AC54" s="1120"/>
      <c r="AD54" s="1120"/>
      <c r="AE54" s="1120"/>
      <c r="AF54" s="1120"/>
      <c r="AG54" s="1120"/>
      <c r="AH54" s="1120"/>
      <c r="AI54" s="1120"/>
      <c r="AJ54" s="1120"/>
      <c r="AK54" s="1120"/>
    </row>
    <row r="55" spans="1:37" s="1119" customFormat="1" ht="24">
      <c r="A55" s="2130" t="s">
        <v>2057</v>
      </c>
      <c r="B55" s="2136" t="s">
        <v>2058</v>
      </c>
      <c r="C55" s="2044" t="s">
        <v>3404</v>
      </c>
      <c r="D55" s="1065">
        <f t="shared" si="7"/>
        <v>0</v>
      </c>
      <c r="E55" s="745"/>
      <c r="F55" s="1814"/>
      <c r="G55" s="1063">
        <f t="shared" si="12"/>
        <v>3.5999999999999999E-3</v>
      </c>
      <c r="H55" s="1066">
        <f t="shared" si="8"/>
        <v>3.5999999999999999E-3</v>
      </c>
      <c r="I55" s="3367">
        <v>0.05</v>
      </c>
      <c r="J55" s="1064">
        <f t="shared" si="9"/>
        <v>7.1999999999999998E-3</v>
      </c>
      <c r="K55" s="1064">
        <f t="shared" si="10"/>
        <v>3.5999999999999999E-3</v>
      </c>
      <c r="L55" s="1064">
        <v>0</v>
      </c>
      <c r="M55" s="1064">
        <f t="shared" si="11"/>
        <v>-3.5999999999999999E-3</v>
      </c>
      <c r="N55" s="1064">
        <f t="shared" si="11"/>
        <v>-7.1999999999999998E-3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3404</v>
      </c>
      <c r="D56" s="1065">
        <f t="shared" si="7"/>
        <v>0</v>
      </c>
      <c r="E56" s="745"/>
      <c r="F56" s="1814"/>
      <c r="G56" s="1063">
        <f t="shared" si="12"/>
        <v>3.5999999999999999E-3</v>
      </c>
      <c r="H56" s="1066">
        <f t="shared" si="8"/>
        <v>3.5999999999999999E-3</v>
      </c>
      <c r="I56" s="3367">
        <v>0.05</v>
      </c>
      <c r="J56" s="1064">
        <f t="shared" si="9"/>
        <v>7.1999999999999998E-3</v>
      </c>
      <c r="K56" s="1064">
        <f t="shared" si="10"/>
        <v>3.5999999999999999E-3</v>
      </c>
      <c r="L56" s="1064">
        <v>0</v>
      </c>
      <c r="M56" s="1064">
        <f t="shared" si="11"/>
        <v>-3.5999999999999999E-3</v>
      </c>
      <c r="N56" s="1064">
        <f t="shared" si="11"/>
        <v>-7.1999999999999998E-3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3429</v>
      </c>
      <c r="D57" s="1065">
        <f t="shared" si="7"/>
        <v>5.7000000000000002E-3</v>
      </c>
      <c r="E57" s="745"/>
      <c r="F57" s="1814"/>
      <c r="G57" s="1063">
        <f t="shared" si="12"/>
        <v>5.7000000000000002E-3</v>
      </c>
      <c r="H57" s="1066">
        <f t="shared" si="8"/>
        <v>5.7000000000000002E-3</v>
      </c>
      <c r="I57" s="3367">
        <v>0.08</v>
      </c>
      <c r="J57" s="1064">
        <f t="shared" si="9"/>
        <v>1.14E-2</v>
      </c>
      <c r="K57" s="1064">
        <f t="shared" si="10"/>
        <v>5.7000000000000002E-3</v>
      </c>
      <c r="L57" s="1064">
        <v>0</v>
      </c>
      <c r="M57" s="1064">
        <f t="shared" si="11"/>
        <v>-5.7000000000000002E-3</v>
      </c>
      <c r="N57" s="1064">
        <f t="shared" si="11"/>
        <v>-1.14E-2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3429</v>
      </c>
      <c r="D58" s="1065">
        <f t="shared" si="7"/>
        <v>3.5999999999999999E-3</v>
      </c>
      <c r="E58" s="746"/>
      <c r="F58" s="1814"/>
      <c r="G58" s="1063">
        <f>H58</f>
        <v>3.5999999999999999E-3</v>
      </c>
      <c r="H58" s="1066">
        <f t="shared" si="8"/>
        <v>3.5999999999999999E-3</v>
      </c>
      <c r="I58" s="3368">
        <v>0.05</v>
      </c>
      <c r="J58" s="1064">
        <f t="shared" si="9"/>
        <v>7.1999999999999998E-3</v>
      </c>
      <c r="K58" s="1064">
        <f t="shared" si="10"/>
        <v>3.5999999999999999E-3</v>
      </c>
      <c r="L58" s="1064">
        <v>0</v>
      </c>
      <c r="M58" s="1064">
        <f t="shared" si="11"/>
        <v>-3.5999999999999999E-3</v>
      </c>
      <c r="N58" s="1064">
        <f t="shared" si="11"/>
        <v>-7.1999999999999998E-3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72" t="s">
        <v>3299</v>
      </c>
      <c r="B103" s="3772"/>
      <c r="C103" s="3772"/>
      <c r="D103" s="3772"/>
      <c r="E103" s="3772"/>
      <c r="F103" s="3772"/>
      <c r="G103" s="3772"/>
      <c r="H103" s="3772"/>
      <c r="I103" s="3772"/>
      <c r="J103" s="3772"/>
      <c r="K103" s="3390"/>
      <c r="L103" s="3390"/>
      <c r="M103" s="3390"/>
      <c r="N103" s="3390"/>
    </row>
    <row r="104" spans="1:14">
      <c r="A104" s="3773" t="s">
        <v>3300</v>
      </c>
      <c r="B104" s="3773" t="s">
        <v>3301</v>
      </c>
      <c r="C104" s="3391" t="s">
        <v>3302</v>
      </c>
      <c r="D104" s="3392"/>
      <c r="E104" s="3392"/>
      <c r="F104" s="3392"/>
      <c r="G104" s="3392"/>
      <c r="H104" s="3392"/>
      <c r="I104" s="3392"/>
      <c r="J104" s="3393"/>
      <c r="K104" s="3394"/>
      <c r="L104" s="3394"/>
      <c r="M104" s="3394"/>
      <c r="N104" s="3394"/>
    </row>
    <row r="105" spans="1:14">
      <c r="A105" s="3773"/>
      <c r="B105" s="3773"/>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59"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60"/>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60"/>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60"/>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60"/>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60"/>
      <c r="B111" s="3395" t="s">
        <v>3273</v>
      </c>
      <c r="C111" s="3396">
        <f>$I$3</f>
        <v>1</v>
      </c>
      <c r="D111" s="3396">
        <f t="shared" ref="D111:M111" si="33">$I$3</f>
        <v>1</v>
      </c>
      <c r="E111" s="3396">
        <f t="shared" si="33"/>
        <v>1</v>
      </c>
      <c r="F111" s="3396">
        <f t="shared" si="33"/>
        <v>1</v>
      </c>
      <c r="G111" s="3396">
        <f t="shared" si="33"/>
        <v>1</v>
      </c>
      <c r="H111" s="3396">
        <f t="shared" si="33"/>
        <v>1</v>
      </c>
      <c r="I111" s="3396">
        <f t="shared" si="33"/>
        <v>1</v>
      </c>
      <c r="J111" s="3396">
        <f t="shared" si="33"/>
        <v>1</v>
      </c>
      <c r="K111" s="3396">
        <f t="shared" si="33"/>
        <v>1</v>
      </c>
      <c r="L111" s="3396">
        <f t="shared" si="33"/>
        <v>1</v>
      </c>
      <c r="M111" s="3396">
        <f t="shared" si="33"/>
        <v>1</v>
      </c>
      <c r="N111" s="3396">
        <f>$I$3</f>
        <v>1</v>
      </c>
    </row>
    <row r="112" spans="1:14">
      <c r="A112" s="3761"/>
      <c r="B112" s="3395">
        <v>6</v>
      </c>
      <c r="C112" s="3388">
        <f>(-0.5556*(C111^2)-0.2719*C111+8944)*(10^(-4))</f>
        <v>0.89431725000000006</v>
      </c>
      <c r="D112" s="3388">
        <f>(-0.5556*(D111^2)-0.2719*D111+8944)*(10^(-4))</f>
        <v>0.89431725000000006</v>
      </c>
      <c r="E112" s="3388">
        <f>(-0.7912*(E111^2)-11.3794*E111+8482)*(10^(-4))</f>
        <v>0.84698294000000007</v>
      </c>
      <c r="F112" s="3388">
        <f t="shared" ref="F112:I112" si="34">(-0.7912*(F111^2)-11.3794*F111+8482)*(10^(-4))</f>
        <v>0.84698294000000007</v>
      </c>
      <c r="G112" s="3388">
        <f t="shared" si="34"/>
        <v>0.84698294000000007</v>
      </c>
      <c r="H112" s="3388">
        <f t="shared" si="34"/>
        <v>0.84698294000000007</v>
      </c>
      <c r="I112" s="3388">
        <f t="shared" si="34"/>
        <v>0.84698294000000007</v>
      </c>
      <c r="J112" s="3388">
        <f>(-0.989*(J111^2)-63.78*J111+7771)*(10^(-4))</f>
        <v>0.77062310000000001</v>
      </c>
      <c r="K112" s="3388">
        <f t="shared" ref="K112:N112" si="35">(-0.989*(K111^2)-63.78*K111+7771)*(10^(-4))</f>
        <v>0.77062310000000001</v>
      </c>
      <c r="L112" s="3388">
        <f t="shared" si="35"/>
        <v>0.77062310000000001</v>
      </c>
      <c r="M112" s="3388">
        <f t="shared" si="35"/>
        <v>0.77062310000000001</v>
      </c>
      <c r="N112" s="3388">
        <f t="shared" si="35"/>
        <v>0.77062310000000001</v>
      </c>
    </row>
    <row r="113" spans="1:14">
      <c r="A113" s="3762" t="s">
        <v>3316</v>
      </c>
      <c r="B113" s="3762"/>
      <c r="C113" s="3762"/>
      <c r="D113" s="3762"/>
      <c r="E113" s="3762"/>
      <c r="F113" s="3762"/>
      <c r="G113" s="3762"/>
      <c r="H113" s="3762"/>
      <c r="I113" s="3762"/>
      <c r="J113" s="3762"/>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2.68</v>
      </c>
      <c r="C116" s="3400" t="s">
        <v>3318</v>
      </c>
      <c r="D116" s="3401">
        <f>SUMPRODUCT((A118:A122=F116)*(B117:M117=H116)*B118:M122)</f>
        <v>0.8004</v>
      </c>
      <c r="E116" s="2000" t="s">
        <v>3319</v>
      </c>
      <c r="F116" s="3402" t="str">
        <f>E2</f>
        <v>商业</v>
      </c>
      <c r="G116" s="2000" t="s">
        <v>3320</v>
      </c>
      <c r="H116" s="3402" t="str">
        <f>G2</f>
        <v>八级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0.96730000000000005</v>
      </c>
      <c r="C118" s="3388">
        <f>B118</f>
        <v>0.96730000000000005</v>
      </c>
      <c r="D118" s="3388">
        <f>ROUND(0.949-0.014*B116,4)</f>
        <v>0.91149999999999998</v>
      </c>
      <c r="E118" s="3388">
        <f>D118</f>
        <v>0.91149999999999998</v>
      </c>
      <c r="F118" s="3388">
        <f>E118</f>
        <v>0.91149999999999998</v>
      </c>
      <c r="G118" s="3388">
        <f>F118</f>
        <v>0.91149999999999998</v>
      </c>
      <c r="H118" s="3388">
        <f>G118</f>
        <v>0.91149999999999998</v>
      </c>
      <c r="I118" s="3388">
        <f>ROUND(0.8486-0.018*B116,4)</f>
        <v>0.8004</v>
      </c>
      <c r="J118" s="3388">
        <f t="shared" ref="J118:M122" si="36">I118</f>
        <v>0.8004</v>
      </c>
      <c r="K118" s="3388">
        <f t="shared" si="36"/>
        <v>0.8004</v>
      </c>
      <c r="L118" s="3388">
        <f t="shared" si="36"/>
        <v>0.8004</v>
      </c>
      <c r="M118" s="3411">
        <f t="shared" si="36"/>
        <v>0.8004</v>
      </c>
      <c r="N118" s="3398"/>
    </row>
    <row r="119" spans="1:14">
      <c r="A119" s="3410" t="s">
        <v>3334</v>
      </c>
      <c r="B119" s="3388">
        <f>ROUND(0.993-0.0112*B116,4)</f>
        <v>0.96299999999999997</v>
      </c>
      <c r="C119" s="3388">
        <f>B119</f>
        <v>0.96299999999999997</v>
      </c>
      <c r="D119" s="3388">
        <f>ROUND(0.9415-0.0142*B116,4)</f>
        <v>0.90339999999999998</v>
      </c>
      <c r="E119" s="3388">
        <f t="shared" ref="E119:H120" si="37">D119</f>
        <v>0.90339999999999998</v>
      </c>
      <c r="F119" s="3388">
        <f t="shared" si="37"/>
        <v>0.90339999999999998</v>
      </c>
      <c r="G119" s="3388">
        <f t="shared" si="37"/>
        <v>0.90339999999999998</v>
      </c>
      <c r="H119" s="3388">
        <f t="shared" si="37"/>
        <v>0.90339999999999998</v>
      </c>
      <c r="I119" s="3388">
        <f>ROUND(0.838-0.0182*B116,4)</f>
        <v>0.78920000000000001</v>
      </c>
      <c r="J119" s="3388">
        <f t="shared" si="36"/>
        <v>0.78920000000000001</v>
      </c>
      <c r="K119" s="3388">
        <f t="shared" si="36"/>
        <v>0.78920000000000001</v>
      </c>
      <c r="L119" s="3388">
        <f t="shared" si="36"/>
        <v>0.78920000000000001</v>
      </c>
      <c r="M119" s="3411">
        <f t="shared" si="36"/>
        <v>0.78920000000000001</v>
      </c>
      <c r="N119" s="3398"/>
    </row>
    <row r="120" spans="1:14">
      <c r="A120" s="3410" t="s">
        <v>3335</v>
      </c>
      <c r="B120" s="3388">
        <f>ROUND(0.9448-0.0115*B116,4)</f>
        <v>0.91400000000000003</v>
      </c>
      <c r="C120" s="3388">
        <f>B120</f>
        <v>0.91400000000000003</v>
      </c>
      <c r="D120" s="3388">
        <f>ROUND(0.937-0.0145*B116,4)</f>
        <v>0.89810000000000001</v>
      </c>
      <c r="E120" s="3388">
        <f t="shared" si="37"/>
        <v>0.89810000000000001</v>
      </c>
      <c r="F120" s="3388">
        <f t="shared" si="37"/>
        <v>0.89810000000000001</v>
      </c>
      <c r="G120" s="3388">
        <f t="shared" si="37"/>
        <v>0.89810000000000001</v>
      </c>
      <c r="H120" s="3388">
        <f t="shared" si="37"/>
        <v>0.89810000000000001</v>
      </c>
      <c r="I120" s="3388">
        <f>ROUND(0.7965-0.0185*B116,4)</f>
        <v>0.74690000000000001</v>
      </c>
      <c r="J120" s="3388">
        <f t="shared" si="36"/>
        <v>0.74690000000000001</v>
      </c>
      <c r="K120" s="3388">
        <f t="shared" si="36"/>
        <v>0.74690000000000001</v>
      </c>
      <c r="L120" s="3388">
        <f t="shared" si="36"/>
        <v>0.74690000000000001</v>
      </c>
      <c r="M120" s="3411">
        <f t="shared" si="36"/>
        <v>0.74690000000000001</v>
      </c>
      <c r="N120" s="3398"/>
    </row>
    <row r="121" spans="1:14" ht="13.5" thickBot="1">
      <c r="A121" s="3412" t="s">
        <v>3336</v>
      </c>
      <c r="B121" s="3413">
        <f>ROUND(0.7836-0.012*B116,4)</f>
        <v>0.75139999999999996</v>
      </c>
      <c r="C121" s="3413">
        <f>B121</f>
        <v>0.75139999999999996</v>
      </c>
      <c r="D121" s="3413">
        <f>ROUND(0.753-0.015*B116,4)</f>
        <v>0.71279999999999999</v>
      </c>
      <c r="E121" s="3413">
        <f>D121</f>
        <v>0.71279999999999999</v>
      </c>
      <c r="F121" s="3413">
        <f>E121</f>
        <v>0.71279999999999999</v>
      </c>
      <c r="G121" s="3413">
        <f>ROUND(0.6612-0.018*B116,4)</f>
        <v>0.61299999999999999</v>
      </c>
      <c r="H121" s="3413">
        <f>G121</f>
        <v>0.61299999999999999</v>
      </c>
      <c r="I121" s="3413">
        <f>ROUND(0.5905-0.019*B116,4)</f>
        <v>0.53959999999999997</v>
      </c>
      <c r="J121" s="3413">
        <f t="shared" si="36"/>
        <v>0.53959999999999997</v>
      </c>
      <c r="K121" s="3413">
        <f t="shared" si="36"/>
        <v>0.53959999999999997</v>
      </c>
      <c r="L121" s="3413">
        <f t="shared" si="36"/>
        <v>0.53959999999999997</v>
      </c>
      <c r="M121" s="3414">
        <f t="shared" si="36"/>
        <v>0.53959999999999997</v>
      </c>
      <c r="N121" s="3398"/>
    </row>
    <row r="122" spans="1:14">
      <c r="A122" s="3415" t="s">
        <v>2615</v>
      </c>
      <c r="B122" s="3388">
        <f>ROUND(0.9404-0.0106*B116,4)</f>
        <v>0.91200000000000003</v>
      </c>
      <c r="C122" s="3388">
        <f>B122</f>
        <v>0.91200000000000003</v>
      </c>
      <c r="D122" s="3388">
        <f>ROUND(0.8955-0.0135*B116,4)</f>
        <v>0.85929999999999995</v>
      </c>
      <c r="E122" s="3388">
        <f t="shared" ref="E122:H122" si="38">D122</f>
        <v>0.85929999999999995</v>
      </c>
      <c r="F122" s="3388">
        <f t="shared" si="38"/>
        <v>0.85929999999999995</v>
      </c>
      <c r="G122" s="3388">
        <f t="shared" si="38"/>
        <v>0.85929999999999995</v>
      </c>
      <c r="H122" s="3388">
        <f t="shared" si="38"/>
        <v>0.85929999999999995</v>
      </c>
      <c r="I122" s="3388">
        <f>ROUND(0.7632-0.0166*B116,4)</f>
        <v>0.71870000000000001</v>
      </c>
      <c r="J122" s="3388">
        <f t="shared" si="36"/>
        <v>0.71870000000000001</v>
      </c>
      <c r="K122" s="3388">
        <f t="shared" si="36"/>
        <v>0.71870000000000001</v>
      </c>
      <c r="L122" s="3388">
        <f t="shared" si="36"/>
        <v>0.71870000000000001</v>
      </c>
      <c r="M122" s="3411">
        <f t="shared" si="36"/>
        <v>0.71870000000000001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2259.85</v>
      </c>
      <c r="C1" s="2686"/>
      <c r="D1" s="2686"/>
      <c r="E1" s="2686"/>
      <c r="F1" s="2686"/>
      <c r="G1" s="2687"/>
      <c r="H1" s="2688"/>
      <c r="I1" s="2688"/>
      <c r="J1" s="2688"/>
      <c r="K1" s="2688"/>
    </row>
    <row r="2" spans="1:11" ht="16.5">
      <c r="A2" s="2512" t="s">
        <v>653</v>
      </c>
      <c r="B2" s="2512">
        <f>SUM(C14:C23)</f>
        <v>842.89</v>
      </c>
      <c r="C2" s="2686"/>
      <c r="D2" s="2686"/>
      <c r="E2" s="2686"/>
      <c r="F2" s="2686"/>
      <c r="G2" s="2687"/>
      <c r="H2" s="2688"/>
      <c r="I2" s="2688"/>
      <c r="J2" s="2688"/>
      <c r="K2" s="2688"/>
    </row>
    <row r="3" spans="1:11" ht="16.5">
      <c r="A3" s="2512" t="s">
        <v>662</v>
      </c>
      <c r="B3" s="2514">
        <f>项目基本情况!D3</f>
        <v>45148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2740.7460999999998</v>
      </c>
      <c r="C5" s="2512" t="e">
        <f ca="1">IF(B5=D14,结果表!H102,ROUND(B5*10000/$B$1,0))</f>
        <v>#DIV/0!</v>
      </c>
      <c r="D5" s="2512">
        <f ca="1">ROUND(B5*10000/$B$2,0)</f>
        <v>32516</v>
      </c>
      <c r="E5" s="2686"/>
      <c r="F5" s="2687"/>
      <c r="G5" s="2687"/>
      <c r="H5" s="2688"/>
      <c r="I5" s="2688"/>
      <c r="J5" s="2688"/>
      <c r="K5" s="2688"/>
    </row>
    <row r="6" spans="1:11" ht="16.5">
      <c r="A6" s="2512" t="s">
        <v>656</v>
      </c>
      <c r="B6" s="2512">
        <f>SUM(G14:G23)</f>
        <v>0</v>
      </c>
      <c r="C6" s="2512">
        <f ca="1">IF(B6=G14,结果表!H108,ROUND(B6*10000/$B$1,0))</f>
        <v>0</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汇总表!D5</f>
        <v>2259.85</v>
      </c>
      <c r="C14" s="2518">
        <f>'数据-汇总表'!D3</f>
        <v>842.89</v>
      </c>
      <c r="D14" s="2518">
        <f ca="1">汇总表!B9</f>
        <v>2740.7460999999998</v>
      </c>
      <c r="E14" s="2518">
        <f ca="1">ROUND(D14*10000/B14,0)</f>
        <v>12128</v>
      </c>
      <c r="F14" s="2518">
        <f ca="1">ROUND(D14*10000/C14,0)</f>
        <v>32516</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5" t="s">
        <v>2610</v>
      </c>
      <c r="B20" s="3778" t="s">
        <v>2631</v>
      </c>
      <c r="C20" s="3103" t="s">
        <v>2442</v>
      </c>
      <c r="D20" s="3104"/>
      <c r="E20" s="3105">
        <v>1</v>
      </c>
      <c r="F20" s="3106" t="s">
        <v>2443</v>
      </c>
      <c r="G20" s="3106"/>
    </row>
    <row r="21" spans="1:13" ht="19.5" customHeight="1">
      <c r="A21" s="3786"/>
      <c r="B21" s="3779"/>
      <c r="C21" s="3107" t="s">
        <v>2444</v>
      </c>
      <c r="D21" s="3108"/>
      <c r="E21" s="3109">
        <v>1</v>
      </c>
      <c r="F21" s="3106" t="s">
        <v>2445</v>
      </c>
      <c r="G21" s="3106"/>
    </row>
    <row r="22" spans="1:13" ht="19.5" customHeight="1">
      <c r="A22" s="3786"/>
      <c r="B22" s="3779"/>
      <c r="C22" s="3107" t="s">
        <v>2446</v>
      </c>
      <c r="D22" s="3108"/>
      <c r="E22" s="3109">
        <v>0.9</v>
      </c>
      <c r="F22" s="3106" t="s">
        <v>2447</v>
      </c>
      <c r="G22" s="3106"/>
    </row>
    <row r="23" spans="1:13" ht="19.5" customHeight="1">
      <c r="A23" s="3786"/>
      <c r="B23" s="3779"/>
      <c r="C23" s="3107" t="s">
        <v>2448</v>
      </c>
      <c r="D23" s="3108"/>
      <c r="E23" s="3109">
        <v>0.9</v>
      </c>
      <c r="F23" s="3106" t="s">
        <v>2449</v>
      </c>
      <c r="G23" s="3106"/>
    </row>
    <row r="24" spans="1:13" ht="19.5" customHeight="1">
      <c r="A24" s="3786"/>
      <c r="B24" s="3779"/>
      <c r="C24" s="3107" t="s">
        <v>2450</v>
      </c>
      <c r="D24" s="3108"/>
      <c r="E24" s="3109">
        <v>0.8</v>
      </c>
      <c r="F24" s="3106" t="s">
        <v>2451</v>
      </c>
      <c r="G24" s="3106"/>
    </row>
    <row r="25" spans="1:13" ht="19.5" customHeight="1" thickBot="1">
      <c r="A25" s="3787"/>
      <c r="B25" s="3780"/>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1" t="s">
        <v>2634</v>
      </c>
      <c r="B27" s="3778" t="s">
        <v>2615</v>
      </c>
      <c r="C27" s="3103" t="s">
        <v>2455</v>
      </c>
      <c r="D27" s="3104"/>
      <c r="E27" s="3105">
        <v>1</v>
      </c>
      <c r="F27" s="3106" t="s">
        <v>2456</v>
      </c>
      <c r="G27" s="3106"/>
    </row>
    <row r="28" spans="1:13" ht="19.5" customHeight="1">
      <c r="A28" s="3782"/>
      <c r="B28" s="3779"/>
      <c r="C28" s="3107" t="s">
        <v>2457</v>
      </c>
      <c r="D28" s="3108"/>
      <c r="E28" s="3109">
        <v>1</v>
      </c>
      <c r="F28" s="3106" t="s">
        <v>2458</v>
      </c>
      <c r="G28" s="3106"/>
    </row>
    <row r="29" spans="1:13" ht="19.5" customHeight="1">
      <c r="A29" s="3782"/>
      <c r="B29" s="3779"/>
      <c r="C29" s="3107" t="s">
        <v>2459</v>
      </c>
      <c r="D29" s="3108"/>
      <c r="E29" s="3109">
        <v>0.8</v>
      </c>
      <c r="F29" s="3106" t="s">
        <v>2460</v>
      </c>
      <c r="G29" s="3106"/>
    </row>
    <row r="30" spans="1:13" ht="19.5" customHeight="1">
      <c r="A30" s="3782"/>
      <c r="B30" s="3779"/>
      <c r="C30" s="3107" t="s">
        <v>2461</v>
      </c>
      <c r="D30" s="3108"/>
      <c r="E30" s="3109">
        <v>0.8</v>
      </c>
      <c r="F30" s="3106" t="s">
        <v>2462</v>
      </c>
      <c r="G30" s="3106"/>
    </row>
    <row r="31" spans="1:13" ht="19.5" customHeight="1">
      <c r="A31" s="3782"/>
      <c r="B31" s="3779"/>
      <c r="C31" s="3107" t="s">
        <v>2463</v>
      </c>
      <c r="D31" s="3108"/>
      <c r="E31" s="3109">
        <v>0.8</v>
      </c>
      <c r="F31" s="3106" t="s">
        <v>2464</v>
      </c>
      <c r="G31" s="3106"/>
    </row>
    <row r="32" spans="1:13" ht="19.5" customHeight="1">
      <c r="A32" s="3782"/>
      <c r="B32" s="3779"/>
      <c r="C32" s="3107" t="s">
        <v>2465</v>
      </c>
      <c r="D32" s="3108"/>
      <c r="E32" s="3109">
        <v>0.7</v>
      </c>
      <c r="F32" s="3106" t="s">
        <v>2466</v>
      </c>
      <c r="G32" s="3106"/>
    </row>
    <row r="33" spans="1:7" ht="19.5" customHeight="1">
      <c r="A33" s="3782"/>
      <c r="B33" s="3779"/>
      <c r="C33" s="3107" t="s">
        <v>2467</v>
      </c>
      <c r="D33" s="3108"/>
      <c r="E33" s="3109">
        <v>0.8</v>
      </c>
      <c r="F33" s="3106" t="s">
        <v>2468</v>
      </c>
      <c r="G33" s="3106"/>
    </row>
    <row r="34" spans="1:7" ht="19.5" customHeight="1">
      <c r="A34" s="3782"/>
      <c r="B34" s="3779"/>
      <c r="C34" s="3107" t="s">
        <v>2469</v>
      </c>
      <c r="D34" s="3108"/>
      <c r="E34" s="3109">
        <v>0.6</v>
      </c>
      <c r="F34" s="3106" t="s">
        <v>2470</v>
      </c>
      <c r="G34" s="3106"/>
    </row>
    <row r="35" spans="1:7" ht="19.5" customHeight="1">
      <c r="A35" s="3782"/>
      <c r="B35" s="3779"/>
      <c r="C35" s="3107" t="s">
        <v>2471</v>
      </c>
      <c r="D35" s="3108"/>
      <c r="E35" s="3109">
        <v>0.2</v>
      </c>
      <c r="F35" s="3106" t="s">
        <v>2472</v>
      </c>
      <c r="G35" s="3106"/>
    </row>
    <row r="36" spans="1:7" ht="19.5" customHeight="1">
      <c r="A36" s="3782"/>
      <c r="B36" s="3779"/>
      <c r="C36" s="3107" t="s">
        <v>2473</v>
      </c>
      <c r="D36" s="3108"/>
      <c r="E36" s="3109">
        <v>0.2</v>
      </c>
      <c r="F36" s="3106" t="s">
        <v>2474</v>
      </c>
      <c r="G36" s="3106"/>
    </row>
    <row r="37" spans="1:7" ht="19.5" customHeight="1">
      <c r="A37" s="3782"/>
      <c r="B37" s="3784" t="s">
        <v>2635</v>
      </c>
      <c r="C37" s="3107" t="s">
        <v>2475</v>
      </c>
      <c r="D37" s="3108"/>
      <c r="E37" s="3109">
        <v>0.6</v>
      </c>
      <c r="F37" s="3106" t="s">
        <v>2476</v>
      </c>
      <c r="G37" s="3106"/>
    </row>
    <row r="38" spans="1:7" ht="19.5" customHeight="1">
      <c r="A38" s="3782"/>
      <c r="B38" s="3779"/>
      <c r="C38" s="3107" t="s">
        <v>2477</v>
      </c>
      <c r="D38" s="3108"/>
      <c r="E38" s="3109">
        <v>0.6</v>
      </c>
      <c r="F38" s="3106" t="s">
        <v>2478</v>
      </c>
      <c r="G38" s="3106"/>
    </row>
    <row r="39" spans="1:7" ht="19.5" customHeight="1" thickBot="1">
      <c r="A39" s="3783"/>
      <c r="B39" s="3780"/>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5" t="s">
        <v>2613</v>
      </c>
      <c r="B41" s="3778" t="s">
        <v>2637</v>
      </c>
      <c r="C41" s="3103" t="s">
        <v>2482</v>
      </c>
      <c r="D41" s="3104"/>
      <c r="E41" s="3105">
        <v>1</v>
      </c>
      <c r="F41" s="3106" t="s">
        <v>2483</v>
      </c>
      <c r="G41" s="3106"/>
    </row>
    <row r="42" spans="1:7" ht="19.5" customHeight="1">
      <c r="A42" s="3786"/>
      <c r="B42" s="3779"/>
      <c r="C42" s="3107" t="s">
        <v>2484</v>
      </c>
      <c r="D42" s="3108"/>
      <c r="E42" s="3109">
        <v>1</v>
      </c>
      <c r="F42" s="3106" t="s">
        <v>2485</v>
      </c>
      <c r="G42" s="3106"/>
    </row>
    <row r="43" spans="1:7" ht="19.5" customHeight="1">
      <c r="A43" s="3786"/>
      <c r="B43" s="3788"/>
      <c r="C43" s="3107" t="s">
        <v>2486</v>
      </c>
      <c r="D43" s="3108"/>
      <c r="E43" s="3109">
        <v>1.5</v>
      </c>
      <c r="F43" s="3106" t="s">
        <v>2487</v>
      </c>
      <c r="G43" s="3106"/>
    </row>
    <row r="44" spans="1:7" ht="19.5" customHeight="1">
      <c r="A44" s="3786"/>
      <c r="B44" s="3118" t="s">
        <v>2638</v>
      </c>
      <c r="C44" s="3107" t="s">
        <v>2639</v>
      </c>
      <c r="D44" s="3108"/>
      <c r="E44" s="3109">
        <v>2</v>
      </c>
      <c r="F44" s="3106" t="s">
        <v>2488</v>
      </c>
      <c r="G44" s="3106"/>
    </row>
    <row r="45" spans="1:7" ht="19.5" customHeight="1">
      <c r="A45" s="3786"/>
      <c r="B45" s="3784" t="s">
        <v>2640</v>
      </c>
      <c r="C45" s="3107" t="s">
        <v>2489</v>
      </c>
      <c r="D45" s="3108"/>
      <c r="E45" s="3109">
        <v>1</v>
      </c>
      <c r="F45" s="3106" t="s">
        <v>2490</v>
      </c>
      <c r="G45" s="3106"/>
    </row>
    <row r="46" spans="1:7" ht="19.5" customHeight="1">
      <c r="A46" s="3786"/>
      <c r="B46" s="3779"/>
      <c r="C46" s="3107" t="s">
        <v>2491</v>
      </c>
      <c r="D46" s="3108"/>
      <c r="E46" s="3109">
        <v>1</v>
      </c>
      <c r="F46" s="3106" t="s">
        <v>2492</v>
      </c>
      <c r="G46" s="3106"/>
    </row>
    <row r="47" spans="1:7" ht="19.5" customHeight="1">
      <c r="A47" s="3786"/>
      <c r="B47" s="3779"/>
      <c r="C47" s="3107" t="s">
        <v>2493</v>
      </c>
      <c r="D47" s="3108"/>
      <c r="E47" s="3109">
        <v>1</v>
      </c>
      <c r="F47" s="3106" t="s">
        <v>2494</v>
      </c>
      <c r="G47" s="3106"/>
    </row>
    <row r="48" spans="1:7" ht="19.5" customHeight="1">
      <c r="A48" s="3786"/>
      <c r="B48" s="3779"/>
      <c r="C48" s="3107" t="s">
        <v>2495</v>
      </c>
      <c r="D48" s="3108"/>
      <c r="E48" s="3109">
        <v>1</v>
      </c>
      <c r="F48" s="3106" t="s">
        <v>2496</v>
      </c>
      <c r="G48" s="3106"/>
    </row>
    <row r="49" spans="1:7" ht="19.5" customHeight="1">
      <c r="A49" s="3786"/>
      <c r="B49" s="3779"/>
      <c r="C49" s="3107" t="s">
        <v>2497</v>
      </c>
      <c r="D49" s="3108"/>
      <c r="E49" s="3109">
        <v>1</v>
      </c>
      <c r="F49" s="3106" t="s">
        <v>2498</v>
      </c>
      <c r="G49" s="3106"/>
    </row>
    <row r="50" spans="1:7" ht="19.5" customHeight="1">
      <c r="A50" s="3786"/>
      <c r="B50" s="3779"/>
      <c r="C50" s="3107" t="s">
        <v>2499</v>
      </c>
      <c r="D50" s="3108"/>
      <c r="E50" s="3109">
        <v>1</v>
      </c>
      <c r="F50" s="3106" t="s">
        <v>2500</v>
      </c>
      <c r="G50" s="3106"/>
    </row>
    <row r="51" spans="1:7" ht="19.5" customHeight="1" thickBot="1">
      <c r="A51" s="3787"/>
      <c r="B51" s="3780"/>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4" t="s">
        <v>2654</v>
      </c>
      <c r="C73" s="3092" t="s">
        <v>2655</v>
      </c>
      <c r="D73" s="3092" t="s">
        <v>2656</v>
      </c>
      <c r="E73" s="3118">
        <v>0.2</v>
      </c>
      <c r="F73" s="3118">
        <v>25</v>
      </c>
    </row>
    <row r="74" spans="1:7" ht="24">
      <c r="A74" s="3118">
        <v>2</v>
      </c>
      <c r="B74" s="3779"/>
      <c r="C74" s="3092" t="s">
        <v>2657</v>
      </c>
      <c r="D74" s="3092" t="s">
        <v>2658</v>
      </c>
      <c r="E74" s="3118">
        <v>0.2</v>
      </c>
      <c r="F74" s="3118">
        <v>25</v>
      </c>
    </row>
    <row r="75" spans="1:7" ht="24">
      <c r="A75" s="3118">
        <v>3</v>
      </c>
      <c r="B75" s="3779"/>
      <c r="C75" s="3092" t="s">
        <v>2659</v>
      </c>
      <c r="D75" s="3092" t="s">
        <v>2660</v>
      </c>
      <c r="E75" s="3118">
        <v>0.2</v>
      </c>
      <c r="F75" s="3118">
        <v>25</v>
      </c>
    </row>
    <row r="76" spans="1:7" ht="13.5">
      <c r="A76" s="3118">
        <v>4</v>
      </c>
      <c r="B76" s="3779"/>
      <c r="C76" s="3092" t="s">
        <v>2661</v>
      </c>
      <c r="D76" s="3092" t="s">
        <v>2662</v>
      </c>
      <c r="E76" s="3118">
        <v>0.15</v>
      </c>
      <c r="F76" s="3118">
        <v>20</v>
      </c>
    </row>
    <row r="77" spans="1:7" ht="24">
      <c r="A77" s="3118">
        <v>5</v>
      </c>
      <c r="B77" s="3779"/>
      <c r="C77" s="3092" t="s">
        <v>2663</v>
      </c>
      <c r="D77" s="3092" t="s">
        <v>2664</v>
      </c>
      <c r="E77" s="3118">
        <v>0.15</v>
      </c>
      <c r="F77" s="3118">
        <v>20</v>
      </c>
    </row>
    <row r="78" spans="1:7" ht="24">
      <c r="A78" s="3118">
        <v>6</v>
      </c>
      <c r="B78" s="3779"/>
      <c r="C78" s="3092" t="s">
        <v>2665</v>
      </c>
      <c r="D78" s="3092" t="s">
        <v>2666</v>
      </c>
      <c r="E78" s="3118">
        <v>0.15</v>
      </c>
      <c r="F78" s="3118">
        <v>20</v>
      </c>
    </row>
    <row r="79" spans="1:7" ht="24">
      <c r="A79" s="3118">
        <v>7</v>
      </c>
      <c r="B79" s="3779"/>
      <c r="C79" s="3092" t="s">
        <v>2667</v>
      </c>
      <c r="D79" s="3092" t="s">
        <v>2668</v>
      </c>
      <c r="E79" s="3118">
        <v>0.15</v>
      </c>
      <c r="F79" s="3118">
        <v>20</v>
      </c>
    </row>
    <row r="80" spans="1:7" ht="24">
      <c r="A80" s="3118">
        <v>8</v>
      </c>
      <c r="B80" s="3779"/>
      <c r="C80" s="3092" t="s">
        <v>2669</v>
      </c>
      <c r="D80" s="3092" t="s">
        <v>2670</v>
      </c>
      <c r="E80" s="3118">
        <v>0.1</v>
      </c>
      <c r="F80" s="3118">
        <v>15</v>
      </c>
    </row>
    <row r="81" spans="1:6" ht="24">
      <c r="A81" s="3118">
        <v>9</v>
      </c>
      <c r="B81" s="3779"/>
      <c r="C81" s="3092" t="s">
        <v>2671</v>
      </c>
      <c r="D81" s="3092" t="s">
        <v>2672</v>
      </c>
      <c r="E81" s="3118">
        <v>0.1</v>
      </c>
      <c r="F81" s="3118">
        <v>15</v>
      </c>
    </row>
    <row r="82" spans="1:6" ht="24">
      <c r="A82" s="3118">
        <v>10</v>
      </c>
      <c r="B82" s="3779"/>
      <c r="C82" s="3092" t="s">
        <v>2673</v>
      </c>
      <c r="D82" s="3092" t="s">
        <v>2674</v>
      </c>
      <c r="E82" s="3118">
        <v>0.1</v>
      </c>
      <c r="F82" s="3118">
        <v>15</v>
      </c>
    </row>
    <row r="83" spans="1:6" ht="24">
      <c r="A83" s="3118">
        <v>11</v>
      </c>
      <c r="B83" s="3779"/>
      <c r="C83" s="3092" t="s">
        <v>2675</v>
      </c>
      <c r="D83" s="3092" t="s">
        <v>2676</v>
      </c>
      <c r="E83" s="3118">
        <v>0.1</v>
      </c>
      <c r="F83" s="3118">
        <v>15</v>
      </c>
    </row>
    <row r="84" spans="1:6" ht="24">
      <c r="A84" s="3118">
        <v>12</v>
      </c>
      <c r="B84" s="3779"/>
      <c r="C84" s="3092" t="s">
        <v>2677</v>
      </c>
      <c r="D84" s="3092" t="s">
        <v>2678</v>
      </c>
      <c r="E84" s="3118">
        <v>0.1</v>
      </c>
      <c r="F84" s="3118">
        <v>15</v>
      </c>
    </row>
    <row r="85" spans="1:6" ht="13.5">
      <c r="A85" s="3118">
        <v>13</v>
      </c>
      <c r="B85" s="3779"/>
      <c r="C85" s="3092" t="s">
        <v>2679</v>
      </c>
      <c r="D85" s="3092" t="s">
        <v>2680</v>
      </c>
      <c r="E85" s="3118">
        <v>0.1</v>
      </c>
      <c r="F85" s="3118">
        <v>15</v>
      </c>
    </row>
    <row r="86" spans="1:6" ht="13.5">
      <c r="A86" s="3118">
        <v>14</v>
      </c>
      <c r="B86" s="3779"/>
      <c r="C86" s="3092" t="s">
        <v>2681</v>
      </c>
      <c r="D86" s="3092" t="s">
        <v>2682</v>
      </c>
      <c r="E86" s="3118">
        <v>0.1</v>
      </c>
      <c r="F86" s="3118">
        <v>15</v>
      </c>
    </row>
    <row r="87" spans="1:6" ht="13.5">
      <c r="A87" s="3118">
        <v>15</v>
      </c>
      <c r="B87" s="3779"/>
      <c r="C87" s="3092" t="s">
        <v>2683</v>
      </c>
      <c r="D87" s="3092" t="s">
        <v>2684</v>
      </c>
      <c r="E87" s="3118">
        <v>0.1</v>
      </c>
      <c r="F87" s="3118">
        <v>15</v>
      </c>
    </row>
    <row r="88" spans="1:6" ht="24">
      <c r="A88" s="3118">
        <v>16</v>
      </c>
      <c r="B88" s="3779"/>
      <c r="C88" s="3092" t="s">
        <v>2685</v>
      </c>
      <c r="D88" s="3092" t="s">
        <v>2686</v>
      </c>
      <c r="E88" s="3118">
        <v>0.1</v>
      </c>
      <c r="F88" s="3118">
        <v>15</v>
      </c>
    </row>
    <row r="89" spans="1:6" ht="24">
      <c r="A89" s="3118">
        <v>17</v>
      </c>
      <c r="B89" s="3788"/>
      <c r="C89" s="3092" t="s">
        <v>2687</v>
      </c>
      <c r="D89" s="3092" t="s">
        <v>2688</v>
      </c>
      <c r="E89" s="3118">
        <v>0.1</v>
      </c>
      <c r="F89" s="3118">
        <v>15</v>
      </c>
    </row>
    <row r="90" spans="1:6" ht="13.5">
      <c r="A90" s="3118">
        <v>18</v>
      </c>
      <c r="B90" s="3784" t="s">
        <v>2689</v>
      </c>
      <c r="C90" s="3092" t="s">
        <v>2690</v>
      </c>
      <c r="D90" s="3092" t="s">
        <v>2691</v>
      </c>
      <c r="E90" s="3118">
        <v>0.2</v>
      </c>
      <c r="F90" s="3118">
        <v>25</v>
      </c>
    </row>
    <row r="91" spans="1:6" ht="24">
      <c r="A91" s="3118">
        <v>19</v>
      </c>
      <c r="B91" s="3779"/>
      <c r="C91" s="3092" t="s">
        <v>2692</v>
      </c>
      <c r="D91" s="3092" t="s">
        <v>2693</v>
      </c>
      <c r="E91" s="3118">
        <v>0.2</v>
      </c>
      <c r="F91" s="3118">
        <v>25</v>
      </c>
    </row>
    <row r="92" spans="1:6" ht="13.5">
      <c r="A92" s="3118">
        <v>20</v>
      </c>
      <c r="B92" s="3779"/>
      <c r="C92" s="3092" t="s">
        <v>2694</v>
      </c>
      <c r="D92" s="3092" t="s">
        <v>2695</v>
      </c>
      <c r="E92" s="3118">
        <v>0.15</v>
      </c>
      <c r="F92" s="3118">
        <v>20</v>
      </c>
    </row>
    <row r="93" spans="1:6" ht="13.5">
      <c r="A93" s="3118">
        <v>21</v>
      </c>
      <c r="B93" s="3779"/>
      <c r="C93" s="3092" t="s">
        <v>2696</v>
      </c>
      <c r="D93" s="3092" t="s">
        <v>2697</v>
      </c>
      <c r="E93" s="3118">
        <v>0.15</v>
      </c>
      <c r="F93" s="3118">
        <v>20</v>
      </c>
    </row>
    <row r="94" spans="1:6" ht="13.5">
      <c r="A94" s="3118">
        <v>22</v>
      </c>
      <c r="B94" s="3779"/>
      <c r="C94" s="3092" t="s">
        <v>2698</v>
      </c>
      <c r="D94" s="3092" t="s">
        <v>2699</v>
      </c>
      <c r="E94" s="3118">
        <v>0.15</v>
      </c>
      <c r="F94" s="3118">
        <v>20</v>
      </c>
    </row>
    <row r="95" spans="1:6" ht="36">
      <c r="A95" s="3118">
        <v>23</v>
      </c>
      <c r="B95" s="3779"/>
      <c r="C95" s="3092" t="s">
        <v>2700</v>
      </c>
      <c r="D95" s="3092" t="s">
        <v>2701</v>
      </c>
      <c r="E95" s="3118">
        <v>0.15</v>
      </c>
      <c r="F95" s="3118">
        <v>20</v>
      </c>
    </row>
    <row r="96" spans="1:6" ht="13.5">
      <c r="A96" s="3118">
        <v>24</v>
      </c>
      <c r="B96" s="3779"/>
      <c r="C96" s="3092" t="s">
        <v>2702</v>
      </c>
      <c r="D96" s="3092" t="s">
        <v>2703</v>
      </c>
      <c r="E96" s="3118">
        <v>0.1</v>
      </c>
      <c r="F96" s="3118">
        <v>15</v>
      </c>
    </row>
    <row r="97" spans="1:6" ht="13.5">
      <c r="A97" s="3118">
        <v>25</v>
      </c>
      <c r="B97" s="3779"/>
      <c r="C97" s="3092" t="s">
        <v>2704</v>
      </c>
      <c r="D97" s="3092" t="s">
        <v>2705</v>
      </c>
      <c r="E97" s="3118">
        <v>0.1</v>
      </c>
      <c r="F97" s="3118">
        <v>15</v>
      </c>
    </row>
    <row r="98" spans="1:6" ht="24">
      <c r="A98" s="3118">
        <v>26</v>
      </c>
      <c r="B98" s="3779"/>
      <c r="C98" s="3092" t="s">
        <v>2706</v>
      </c>
      <c r="D98" s="3092" t="s">
        <v>2707</v>
      </c>
      <c r="E98" s="3118">
        <v>0.1</v>
      </c>
      <c r="F98" s="3118">
        <v>15</v>
      </c>
    </row>
    <row r="99" spans="1:6" ht="24">
      <c r="A99" s="3118">
        <v>27</v>
      </c>
      <c r="B99" s="3779"/>
      <c r="C99" s="3092" t="s">
        <v>2708</v>
      </c>
      <c r="D99" s="3092" t="s">
        <v>2709</v>
      </c>
      <c r="E99" s="3118">
        <v>0.1</v>
      </c>
      <c r="F99" s="3118">
        <v>15</v>
      </c>
    </row>
    <row r="100" spans="1:6" ht="13.5">
      <c r="A100" s="3118">
        <v>28</v>
      </c>
      <c r="B100" s="3779"/>
      <c r="C100" s="3092" t="s">
        <v>2710</v>
      </c>
      <c r="D100" s="3092" t="s">
        <v>2711</v>
      </c>
      <c r="E100" s="3118">
        <v>0.1</v>
      </c>
      <c r="F100" s="3118">
        <v>15</v>
      </c>
    </row>
    <row r="101" spans="1:6" ht="13.5">
      <c r="A101" s="3118">
        <v>29</v>
      </c>
      <c r="B101" s="3779"/>
      <c r="C101" s="3092" t="s">
        <v>2712</v>
      </c>
      <c r="D101" s="3092" t="s">
        <v>2713</v>
      </c>
      <c r="E101" s="3118">
        <v>0.1</v>
      </c>
      <c r="F101" s="3118">
        <v>15</v>
      </c>
    </row>
    <row r="102" spans="1:6" ht="13.5">
      <c r="A102" s="3118">
        <v>30</v>
      </c>
      <c r="B102" s="3779"/>
      <c r="C102" s="3092" t="s">
        <v>2714</v>
      </c>
      <c r="D102" s="3092" t="s">
        <v>2715</v>
      </c>
      <c r="E102" s="3118">
        <v>0.1</v>
      </c>
      <c r="F102" s="3118">
        <v>15</v>
      </c>
    </row>
    <row r="103" spans="1:6" ht="24">
      <c r="A103" s="3118">
        <v>31</v>
      </c>
      <c r="B103" s="3779"/>
      <c r="C103" s="3092" t="s">
        <v>2716</v>
      </c>
      <c r="D103" s="3092" t="s">
        <v>2717</v>
      </c>
      <c r="E103" s="3118">
        <v>0.1</v>
      </c>
      <c r="F103" s="3118">
        <v>15</v>
      </c>
    </row>
    <row r="104" spans="1:6" ht="24">
      <c r="A104" s="3118">
        <v>32</v>
      </c>
      <c r="B104" s="3779"/>
      <c r="C104" s="3092" t="s">
        <v>2718</v>
      </c>
      <c r="D104" s="3092" t="s">
        <v>2719</v>
      </c>
      <c r="E104" s="3118">
        <v>0.1</v>
      </c>
      <c r="F104" s="3118">
        <v>15</v>
      </c>
    </row>
    <row r="105" spans="1:6" ht="24">
      <c r="A105" s="3118">
        <v>33</v>
      </c>
      <c r="B105" s="3779"/>
      <c r="C105" s="3092" t="s">
        <v>2720</v>
      </c>
      <c r="D105" s="3092" t="s">
        <v>2721</v>
      </c>
      <c r="E105" s="3118">
        <v>0.1</v>
      </c>
      <c r="F105" s="3118">
        <v>15</v>
      </c>
    </row>
    <row r="106" spans="1:6" ht="24">
      <c r="A106" s="3118">
        <v>34</v>
      </c>
      <c r="B106" s="3788"/>
      <c r="C106" s="3092" t="s">
        <v>2722</v>
      </c>
      <c r="D106" s="3092" t="s">
        <v>2723</v>
      </c>
      <c r="E106" s="3118">
        <v>0.1</v>
      </c>
      <c r="F106" s="3118">
        <v>15</v>
      </c>
    </row>
    <row r="107" spans="1:6" ht="24">
      <c r="A107" s="3118">
        <v>35</v>
      </c>
      <c r="B107" s="3784" t="s">
        <v>2724</v>
      </c>
      <c r="C107" s="3118" t="s">
        <v>2725</v>
      </c>
      <c r="D107" s="3092" t="s">
        <v>2726</v>
      </c>
      <c r="E107" s="3118">
        <v>0.15</v>
      </c>
      <c r="F107" s="3118">
        <v>20</v>
      </c>
    </row>
    <row r="108" spans="1:6" ht="13.5">
      <c r="A108" s="3118">
        <v>36</v>
      </c>
      <c r="B108" s="3779"/>
      <c r="C108" s="3118" t="s">
        <v>2727</v>
      </c>
      <c r="D108" s="3092" t="s">
        <v>2728</v>
      </c>
      <c r="E108" s="3118">
        <v>0.15</v>
      </c>
      <c r="F108" s="3118">
        <v>20</v>
      </c>
    </row>
    <row r="109" spans="1:6" ht="13.5">
      <c r="A109" s="3118">
        <v>37</v>
      </c>
      <c r="B109" s="3779"/>
      <c r="C109" s="3118" t="s">
        <v>2729</v>
      </c>
      <c r="D109" s="3092" t="s">
        <v>2730</v>
      </c>
      <c r="E109" s="3118">
        <v>0.15</v>
      </c>
      <c r="F109" s="3118">
        <v>20</v>
      </c>
    </row>
    <row r="110" spans="1:6" ht="13.5">
      <c r="A110" s="3118">
        <v>38</v>
      </c>
      <c r="B110" s="3779"/>
      <c r="C110" s="3118" t="s">
        <v>2731</v>
      </c>
      <c r="D110" s="3092" t="s">
        <v>2732</v>
      </c>
      <c r="E110" s="3118">
        <v>0.1</v>
      </c>
      <c r="F110" s="3118">
        <v>15</v>
      </c>
    </row>
    <row r="111" spans="1:6" ht="24">
      <c r="A111" s="3118">
        <v>39</v>
      </c>
      <c r="B111" s="3779"/>
      <c r="C111" s="3118" t="s">
        <v>2733</v>
      </c>
      <c r="D111" s="3092" t="s">
        <v>2734</v>
      </c>
      <c r="E111" s="3118">
        <v>0.1</v>
      </c>
      <c r="F111" s="3118">
        <v>15</v>
      </c>
    </row>
    <row r="112" spans="1:6" ht="24">
      <c r="A112" s="3118">
        <v>40</v>
      </c>
      <c r="B112" s="3788"/>
      <c r="C112" s="3118" t="s">
        <v>2735</v>
      </c>
      <c r="D112" s="3092" t="s">
        <v>2736</v>
      </c>
      <c r="E112" s="3118">
        <v>0.1</v>
      </c>
      <c r="F112" s="3118">
        <v>15</v>
      </c>
    </row>
    <row r="113" spans="1:6" ht="13.5">
      <c r="A113" s="3118">
        <v>41</v>
      </c>
      <c r="B113" s="3789" t="s">
        <v>2737</v>
      </c>
      <c r="C113" s="3118" t="s">
        <v>2738</v>
      </c>
      <c r="D113" s="3092" t="s">
        <v>2739</v>
      </c>
      <c r="E113" s="3118">
        <v>0.1</v>
      </c>
      <c r="F113" s="3118">
        <v>15</v>
      </c>
    </row>
    <row r="114" spans="1:6" ht="13.5">
      <c r="A114" s="3118">
        <v>42</v>
      </c>
      <c r="B114" s="3789"/>
      <c r="C114" s="3118" t="s">
        <v>2740</v>
      </c>
      <c r="D114" s="3092" t="s">
        <v>2741</v>
      </c>
      <c r="E114" s="3118">
        <v>0.1</v>
      </c>
      <c r="F114" s="3118">
        <v>15</v>
      </c>
    </row>
    <row r="115" spans="1:6" ht="24">
      <c r="A115" s="3118">
        <v>43</v>
      </c>
      <c r="B115" s="3789"/>
      <c r="C115" s="3118" t="s">
        <v>2742</v>
      </c>
      <c r="D115" s="3092" t="s">
        <v>2743</v>
      </c>
      <c r="E115" s="3118">
        <v>0.1</v>
      </c>
      <c r="F115" s="3118">
        <v>15</v>
      </c>
    </row>
    <row r="116" spans="1:6" ht="13.5">
      <c r="A116" s="3118">
        <v>44</v>
      </c>
      <c r="B116" s="3784" t="s">
        <v>2744</v>
      </c>
      <c r="C116" s="3118" t="s">
        <v>2745</v>
      </c>
      <c r="D116" s="3092" t="s">
        <v>2746</v>
      </c>
      <c r="E116" s="3118">
        <v>0.1</v>
      </c>
      <c r="F116" s="3118">
        <v>15</v>
      </c>
    </row>
    <row r="117" spans="1:6" ht="24">
      <c r="A117" s="3118">
        <v>45</v>
      </c>
      <c r="B117" s="3788"/>
      <c r="C117" s="3092" t="s">
        <v>2747</v>
      </c>
      <c r="D117" s="3092" t="s">
        <v>2748</v>
      </c>
      <c r="E117" s="3118">
        <v>0.1</v>
      </c>
      <c r="F117" s="3118">
        <v>15</v>
      </c>
    </row>
    <row r="118" spans="1:6" ht="24">
      <c r="A118" s="3118">
        <v>46</v>
      </c>
      <c r="B118" s="3784" t="s">
        <v>2749</v>
      </c>
      <c r="C118" s="3118" t="s">
        <v>2750</v>
      </c>
      <c r="D118" s="3092" t="s">
        <v>2751</v>
      </c>
      <c r="E118" s="3118">
        <v>0.1</v>
      </c>
      <c r="F118" s="3118">
        <v>15</v>
      </c>
    </row>
    <row r="119" spans="1:6" ht="24">
      <c r="A119" s="3118">
        <v>47</v>
      </c>
      <c r="B119" s="3788"/>
      <c r="C119" s="3118" t="s">
        <v>2752</v>
      </c>
      <c r="D119" s="3092" t="s">
        <v>2753</v>
      </c>
      <c r="E119" s="3118">
        <v>0.1</v>
      </c>
      <c r="F119" s="3118">
        <v>15</v>
      </c>
    </row>
    <row r="120" spans="1:6" ht="13.5">
      <c r="A120" s="3118">
        <v>48</v>
      </c>
      <c r="B120" s="3784" t="s">
        <v>2754</v>
      </c>
      <c r="C120" s="3118" t="s">
        <v>2755</v>
      </c>
      <c r="D120" s="3092" t="s">
        <v>2756</v>
      </c>
      <c r="E120" s="3118">
        <v>0.1</v>
      </c>
      <c r="F120" s="3118">
        <v>15</v>
      </c>
    </row>
    <row r="121" spans="1:6" ht="13.5">
      <c r="A121" s="3118">
        <v>49</v>
      </c>
      <c r="B121" s="3788"/>
      <c r="C121" s="3118" t="s">
        <v>2757</v>
      </c>
      <c r="D121" s="3092" t="s">
        <v>2758</v>
      </c>
      <c r="E121" s="3118">
        <v>0.1</v>
      </c>
      <c r="F121" s="3118">
        <v>15</v>
      </c>
    </row>
    <row r="122" spans="1:6" ht="24">
      <c r="A122" s="3118">
        <v>50</v>
      </c>
      <c r="B122" s="3789" t="s">
        <v>2759</v>
      </c>
      <c r="C122" s="3118" t="s">
        <v>2760</v>
      </c>
      <c r="D122" s="3092" t="s">
        <v>2761</v>
      </c>
      <c r="E122" s="3118">
        <v>0.1</v>
      </c>
      <c r="F122" s="3118">
        <v>15</v>
      </c>
    </row>
    <row r="123" spans="1:6" ht="24">
      <c r="A123" s="3118">
        <v>51</v>
      </c>
      <c r="B123" s="3789"/>
      <c r="C123" s="3118" t="s">
        <v>2762</v>
      </c>
      <c r="D123" s="3092" t="s">
        <v>2763</v>
      </c>
      <c r="E123" s="3118">
        <v>0.1</v>
      </c>
      <c r="F123" s="3118">
        <v>15</v>
      </c>
    </row>
    <row r="124" spans="1:6" ht="24">
      <c r="A124" s="3118">
        <v>52</v>
      </c>
      <c r="B124" s="3789" t="s">
        <v>2764</v>
      </c>
      <c r="C124" s="3118" t="s">
        <v>2765</v>
      </c>
      <c r="D124" s="3092" t="s">
        <v>2766</v>
      </c>
      <c r="E124" s="3118">
        <v>0.1</v>
      </c>
      <c r="F124" s="3118">
        <v>15</v>
      </c>
    </row>
    <row r="125" spans="1:6" ht="24">
      <c r="A125" s="3118">
        <v>53</v>
      </c>
      <c r="B125" s="3789"/>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9" t="s">
        <v>2772</v>
      </c>
      <c r="C127" s="3118" t="s">
        <v>2773</v>
      </c>
      <c r="D127" s="3092" t="s">
        <v>2774</v>
      </c>
      <c r="E127" s="3118">
        <v>0.1</v>
      </c>
      <c r="F127" s="3118">
        <v>15</v>
      </c>
    </row>
    <row r="128" spans="1:6" ht="13.5">
      <c r="A128" s="3118">
        <v>56</v>
      </c>
      <c r="B128" s="3789"/>
      <c r="C128" s="3118" t="s">
        <v>2775</v>
      </c>
      <c r="D128" s="3092" t="s">
        <v>2776</v>
      </c>
      <c r="E128" s="3118">
        <v>0.1</v>
      </c>
      <c r="F128" s="3118">
        <v>15</v>
      </c>
    </row>
    <row r="129" spans="1:6" ht="24">
      <c r="A129" s="3118">
        <v>57</v>
      </c>
      <c r="B129" s="3789"/>
      <c r="C129" s="3118" t="s">
        <v>2777</v>
      </c>
      <c r="D129" s="3092" t="s">
        <v>2778</v>
      </c>
      <c r="E129" s="3118">
        <v>0.1</v>
      </c>
      <c r="F129" s="3118">
        <v>15</v>
      </c>
    </row>
    <row r="130" spans="1:6" ht="24">
      <c r="A130" s="3118">
        <v>58</v>
      </c>
      <c r="B130" s="3789" t="s">
        <v>2779</v>
      </c>
      <c r="C130" s="3118" t="s">
        <v>2780</v>
      </c>
      <c r="D130" s="3092" t="s">
        <v>2781</v>
      </c>
      <c r="E130" s="3118">
        <v>0.1</v>
      </c>
      <c r="F130" s="3118">
        <v>15</v>
      </c>
    </row>
    <row r="131" spans="1:6" ht="13.5">
      <c r="A131" s="3118">
        <v>59</v>
      </c>
      <c r="B131" s="3789"/>
      <c r="C131" s="3118" t="s">
        <v>2782</v>
      </c>
      <c r="D131" s="3092" t="s">
        <v>2783</v>
      </c>
      <c r="E131" s="3118">
        <v>0.1</v>
      </c>
      <c r="F131" s="3118">
        <v>15</v>
      </c>
    </row>
    <row r="132" spans="1:6" ht="13.5">
      <c r="A132" s="3118">
        <v>60</v>
      </c>
      <c r="B132" s="3784" t="s">
        <v>2784</v>
      </c>
      <c r="C132" s="3118" t="s">
        <v>2785</v>
      </c>
      <c r="D132" s="3092" t="s">
        <v>2786</v>
      </c>
      <c r="E132" s="3118">
        <v>0.1</v>
      </c>
      <c r="F132" s="3118">
        <v>15</v>
      </c>
    </row>
    <row r="133" spans="1:6" ht="13.5">
      <c r="A133" s="3118">
        <v>61</v>
      </c>
      <c r="B133" s="3788"/>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9" t="s">
        <v>2792</v>
      </c>
      <c r="C135" s="3118" t="s">
        <v>2793</v>
      </c>
      <c r="D135" s="3092" t="s">
        <v>2794</v>
      </c>
      <c r="E135" s="3118">
        <v>0.1</v>
      </c>
      <c r="F135" s="3118">
        <v>15</v>
      </c>
    </row>
    <row r="136" spans="1:6" ht="13.5">
      <c r="A136" s="3118">
        <v>64</v>
      </c>
      <c r="B136" s="3789"/>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0.91539999999999999</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0.83330000000000004</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28901</v>
      </c>
      <c r="C2" s="2" t="s">
        <v>106</v>
      </c>
      <c r="D2" s="199"/>
      <c r="E2" s="199"/>
      <c r="F2" s="199"/>
      <c r="G2" s="199"/>
    </row>
    <row r="3" spans="1:7" s="200" customFormat="1" ht="18" customHeight="1" thickBot="1">
      <c r="A3" s="203" t="s">
        <v>58</v>
      </c>
      <c r="B3" s="204">
        <f ca="1">ROUND(B2*10000/'数据-汇总表'!E3,0)</f>
        <v>243053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24</v>
      </c>
      <c r="D10" s="845">
        <f>'数据-汇总表'!E6</f>
        <v>1189.08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24</v>
      </c>
      <c r="D19" s="849">
        <f>'数据-汇总表'!E3</f>
        <v>1189.08</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907</v>
      </c>
      <c r="D22" s="235">
        <f ca="1">C26</f>
        <v>4.0000000000000002E-4</v>
      </c>
      <c r="E22" s="236" t="s">
        <v>99</v>
      </c>
      <c r="F22" s="237">
        <f ca="1">'数据-取费表'!B40</f>
        <v>4.3499999999999997E-2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897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4209</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4209</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28339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521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476</v>
      </c>
      <c r="D34" s="217"/>
      <c r="E34" s="220"/>
      <c r="F34" s="257">
        <f>IF('数据-取费表'!B24=0,1,'数据-取费表'!N16)</f>
        <v>1</v>
      </c>
      <c r="G34" s="219" t="s">
        <v>89</v>
      </c>
    </row>
    <row r="35" spans="1:7" ht="13.5" customHeight="1">
      <c r="A35" s="780" t="s">
        <v>351</v>
      </c>
      <c r="B35" s="215" t="s">
        <v>33</v>
      </c>
      <c r="C35" s="220">
        <f>ROUND(C34*F35,0)</f>
        <v>14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24</v>
      </c>
      <c r="D37" s="217">
        <f>'数据-汇总表'!E3</f>
        <v>1189.08</v>
      </c>
      <c r="E37" s="249">
        <f>'数据-取费表'!B35</f>
        <v>200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11</v>
      </c>
      <c r="D42" s="238"/>
      <c r="E42" s="238"/>
      <c r="F42" s="239"/>
      <c r="G42" s="3705" t="s">
        <v>94</v>
      </c>
    </row>
    <row r="43" spans="1:7" ht="13.5" customHeight="1">
      <c r="A43" s="780" t="s">
        <v>347</v>
      </c>
      <c r="B43" s="215" t="s">
        <v>426</v>
      </c>
      <c r="C43" s="238">
        <f ca="1">ROUND(IF('数据-取费表'!B22&lt;=1,C39*F22*'数据-取费表'!B21/2,C39*(POWER((1+F22),'数据-取费表'!B21/2)-1)),0)</f>
        <v>0</v>
      </c>
      <c r="D43" s="238"/>
      <c r="E43" s="238"/>
      <c r="F43" s="239"/>
      <c r="G43" s="3706"/>
    </row>
    <row r="44" spans="1:7" ht="13.5" customHeight="1">
      <c r="A44" s="780" t="s">
        <v>348</v>
      </c>
      <c r="B44" s="215" t="s">
        <v>428</v>
      </c>
      <c r="C44" s="238">
        <f ca="1">ROUND(IF('数据-取费表'!B22&lt;=1,C40*F22*'数据-取费表'!B21/2,C40*(POWER((1+F22),'数据-取费表'!B21/2)-1)),4)</f>
        <v>4.0000000000000002E-4</v>
      </c>
      <c r="D44" s="238"/>
      <c r="E44" s="238"/>
      <c r="F44" s="239"/>
      <c r="G44" s="3707"/>
    </row>
    <row r="45" spans="1:7" s="214" customFormat="1" ht="13.5" customHeight="1">
      <c r="A45" s="777" t="s">
        <v>341</v>
      </c>
      <c r="B45" s="244" t="s">
        <v>85</v>
      </c>
      <c r="C45" s="245">
        <f>C46</f>
        <v>106</v>
      </c>
      <c r="D45" s="235">
        <f>C47</f>
        <v>4.0000000000000001E-3</v>
      </c>
      <c r="E45" s="236" t="s">
        <v>102</v>
      </c>
      <c r="F45" s="246"/>
      <c r="G45" s="247" t="s">
        <v>434</v>
      </c>
    </row>
    <row r="46" spans="1:7" s="214" customFormat="1" ht="13.5" customHeight="1">
      <c r="A46" s="780" t="s">
        <v>349</v>
      </c>
      <c r="B46" s="248" t="s">
        <v>427</v>
      </c>
      <c r="C46" s="249">
        <f>ROUND((C33+C39)*F27,0)</f>
        <v>106</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702</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562</v>
      </c>
      <c r="D51" s="232"/>
      <c r="E51" s="232"/>
      <c r="F51" s="264"/>
      <c r="G51" s="234" t="s">
        <v>37</v>
      </c>
    </row>
    <row r="52" spans="1:7" s="208" customFormat="1" ht="16.5" thickBot="1">
      <c r="A52" s="265" t="s">
        <v>38</v>
      </c>
      <c r="B52" s="266"/>
      <c r="C52" s="267">
        <f ca="1">C31+C51</f>
        <v>28901</v>
      </c>
      <c r="D52" s="266"/>
      <c r="E52" s="266"/>
      <c r="F52" s="266"/>
      <c r="G52" s="268"/>
    </row>
    <row r="55" spans="1:7" ht="15">
      <c r="B55" s="270" t="s">
        <v>39</v>
      </c>
      <c r="C55" s="271"/>
    </row>
    <row r="56" spans="1:7">
      <c r="B56" s="273" t="s">
        <v>40</v>
      </c>
      <c r="C56" s="274">
        <f ca="1">ROUND(C51/C52,3)</f>
        <v>1.9E-2</v>
      </c>
    </row>
    <row r="57" spans="1:7">
      <c r="B57" s="273" t="s">
        <v>41</v>
      </c>
      <c r="C57" s="275">
        <f ca="1">1-C56</f>
        <v>0.98099999999999998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2" t="s">
        <v>2844</v>
      </c>
      <c r="B1" s="3792"/>
      <c r="C1" s="3792"/>
      <c r="D1" s="3792"/>
      <c r="E1" s="3792"/>
      <c r="F1" s="3792"/>
      <c r="G1" s="3793"/>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90"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91"/>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4" t="s">
        <v>3186</v>
      </c>
      <c r="B1" s="3794"/>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90"/>
  </cols>
  <sheetData>
    <row r="1" spans="1:6">
      <c r="A1" s="3795" t="s">
        <v>3237</v>
      </c>
      <c r="B1" s="3795"/>
      <c r="C1" s="3795"/>
      <c r="D1" s="3795"/>
      <c r="E1" s="3795"/>
      <c r="F1" s="3796"/>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1">
        <f>基准地价修正!G23</f>
        <v>45148</v>
      </c>
      <c r="B1" s="3210" t="s">
        <v>2843</v>
      </c>
      <c r="C1" s="3211"/>
      <c r="D1" s="3211"/>
      <c r="E1" s="3211"/>
      <c r="F1" s="3211"/>
      <c r="G1" s="3211"/>
      <c r="H1" s="3211"/>
      <c r="I1" s="3211"/>
      <c r="J1" s="3165"/>
      <c r="K1" s="3211" t="s">
        <v>454</v>
      </c>
      <c r="L1" s="3211"/>
      <c r="M1" s="3211"/>
      <c r="N1" s="3211"/>
      <c r="O1" s="3211"/>
      <c r="P1" s="3211"/>
      <c r="Q1" s="3165"/>
      <c r="R1" s="3797" t="s">
        <v>456</v>
      </c>
      <c r="S1" s="3798"/>
      <c r="T1" s="3798"/>
      <c r="U1" s="3798"/>
      <c r="V1" s="3798"/>
      <c r="W1" s="3798"/>
      <c r="X1" s="3165"/>
      <c r="Y1" s="3797" t="s">
        <v>457</v>
      </c>
      <c r="Z1" s="3798"/>
      <c r="AA1" s="3798"/>
      <c r="AB1" s="3798"/>
      <c r="AC1" s="3798"/>
      <c r="AD1" s="3798"/>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3377</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3376</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3374</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7" t="s">
        <v>2831</v>
      </c>
      <c r="S21" s="3798"/>
      <c r="T21" s="3798"/>
      <c r="U21" s="3798"/>
      <c r="V21" s="3798"/>
      <c r="W21" s="3798"/>
      <c r="X21" s="3165"/>
      <c r="Y21" s="3797" t="s">
        <v>2832</v>
      </c>
      <c r="Z21" s="3798"/>
      <c r="AA21" s="3798"/>
      <c r="AB21" s="3798"/>
      <c r="AC21" s="3798"/>
      <c r="AD21" s="3798"/>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3375</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3376</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3374</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4" t="s">
        <v>452</v>
      </c>
      <c r="C1" s="3804"/>
      <c r="D1" s="3804"/>
      <c r="E1" s="3804"/>
      <c r="F1" s="3804"/>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45148</v>
      </c>
      <c r="D1" s="1302" t="s">
        <v>603</v>
      </c>
      <c r="E1" s="1297">
        <f>'数据-取费表'!B22</f>
        <v>1</v>
      </c>
      <c r="F1" s="1302" t="s">
        <v>604</v>
      </c>
      <c r="G1" s="1298">
        <f ca="1">INDIRECT("d"&amp;$K$1)/100</f>
        <v>3.5499999999999997E-2</v>
      </c>
      <c r="H1" s="1302" t="s">
        <v>634</v>
      </c>
      <c r="I1" s="1298">
        <f ca="1">F4/100</f>
        <v>1.4999999999999999E-2</v>
      </c>
      <c r="J1" s="1303">
        <f>IF(C1&gt;C13,0,MATCH(C1,C$13:C$111,-1))+IF(SUMIF(C13:C111,C1,D13:D111)=0,13,12)</f>
        <v>14</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汇总表</vt:lpstr>
      <vt:lpstr>结果表</vt:lpstr>
      <vt:lpstr>比较法-商业</vt:lpstr>
      <vt:lpstr>商业售价案例</vt:lpstr>
      <vt:lpstr>收益法</vt:lpstr>
      <vt:lpstr>比较法-商业租金</vt:lpstr>
      <vt:lpstr>商业租金 </vt:lpstr>
      <vt:lpstr>成本法</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系统读取表</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2023-09-18T06:39:36Z</dcterms:modified>
</cp:coreProperties>
</file>