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17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面积清单" sheetId="80" state="hidden" r:id="rId46"/>
    <sheet name="Sheet1" sheetId="81" r:id="rId47"/>
    <sheet name="Sheet2" sheetId="82" state="hidden" r:id="rId48"/>
    <sheet name="结果表-916净值" sheetId="83" state="hidden" r:id="rId49"/>
  </sheets>
  <externalReferences>
    <externalReference r:id="rId50"/>
    <externalReference r:id="rId51"/>
    <externalReference r:id="rId52"/>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48">'结果表-916净值'!$A$1:$I$127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6" i="83" l="1"/>
  <c r="C75" i="83"/>
  <c r="A126" i="83"/>
  <c r="A122" i="83"/>
  <c r="A120" i="83"/>
  <c r="A118" i="83"/>
  <c r="E111" i="83"/>
  <c r="E109" i="83"/>
  <c r="A124" i="83" s="1"/>
  <c r="E107" i="83"/>
  <c r="H106" i="83"/>
  <c r="H103" i="83" s="1"/>
  <c r="D120" i="83" s="1"/>
  <c r="H105" i="83"/>
  <c r="H104" i="83"/>
  <c r="D101" i="83"/>
  <c r="C101" i="83"/>
  <c r="D93" i="83"/>
  <c r="C91" i="83"/>
  <c r="E90" i="83"/>
  <c r="D89" i="83"/>
  <c r="C89" i="83"/>
  <c r="C87" i="83" s="1"/>
  <c r="D78" i="83"/>
  <c r="H77" i="83"/>
  <c r="D77" i="83"/>
  <c r="C76" i="83"/>
  <c r="D68" i="83"/>
  <c r="F59" i="83"/>
  <c r="O55" i="83" s="1"/>
  <c r="E59" i="83"/>
  <c r="N56" i="83"/>
  <c r="M56" i="83"/>
  <c r="K56" i="83"/>
  <c r="J56" i="83"/>
  <c r="F56" i="83"/>
  <c r="O54" i="83" s="1"/>
  <c r="N55" i="83"/>
  <c r="K55" i="83"/>
  <c r="J55" i="83"/>
  <c r="J57" i="83" s="1"/>
  <c r="J59" i="83" s="1"/>
  <c r="J61" i="83" s="1"/>
  <c r="I55" i="83"/>
  <c r="F55" i="83"/>
  <c r="O53" i="83" s="1"/>
  <c r="N54" i="83"/>
  <c r="F54" i="83"/>
  <c r="N53" i="83"/>
  <c r="F53" i="83"/>
  <c r="F52" i="83"/>
  <c r="K49" i="83"/>
  <c r="F48" i="83"/>
  <c r="O52" i="83" s="1"/>
  <c r="E48" i="83"/>
  <c r="N52" i="83" s="1"/>
  <c r="F33" i="83"/>
  <c r="D27" i="83"/>
  <c r="C25" i="83"/>
  <c r="C24" i="83"/>
  <c r="D17" i="83"/>
  <c r="C17" i="83"/>
  <c r="C18" i="83" s="1"/>
  <c r="D18" i="83" s="1"/>
  <c r="L4" i="83"/>
  <c r="K4" i="83"/>
  <c r="A2" i="83"/>
  <c r="H1" i="83"/>
  <c r="N6" i="82"/>
  <c r="N7" i="82"/>
  <c r="N8" i="82"/>
  <c r="N9" i="82"/>
  <c r="N10" i="82"/>
  <c r="N11" i="82"/>
  <c r="N12" i="82"/>
  <c r="N13" i="82"/>
  <c r="N14" i="82"/>
  <c r="N15" i="82"/>
  <c r="N16" i="82"/>
  <c r="N17" i="82"/>
  <c r="N18" i="82"/>
  <c r="N19" i="82"/>
  <c r="N20" i="82"/>
  <c r="N5" i="82"/>
  <c r="M6" i="82"/>
  <c r="M7" i="82"/>
  <c r="M8" i="82"/>
  <c r="M9" i="82"/>
  <c r="M10" i="82"/>
  <c r="M11" i="82"/>
  <c r="M12" i="82"/>
  <c r="M13" i="82"/>
  <c r="M14" i="82"/>
  <c r="M15" i="82"/>
  <c r="M16" i="82"/>
  <c r="M17" i="82"/>
  <c r="M18" i="82"/>
  <c r="M19" i="82"/>
  <c r="M20" i="82"/>
  <c r="M5" i="82"/>
  <c r="J26" i="82"/>
  <c r="D20" i="82"/>
  <c r="D19" i="82"/>
  <c r="D18" i="82"/>
  <c r="D17" i="82"/>
  <c r="D16" i="82"/>
  <c r="D15" i="82"/>
  <c r="D14" i="82"/>
  <c r="D13" i="82"/>
  <c r="D12" i="82"/>
  <c r="D11" i="82"/>
  <c r="D10" i="82"/>
  <c r="D9" i="82"/>
  <c r="D8" i="82"/>
  <c r="D7" i="82"/>
  <c r="D6" i="82"/>
  <c r="D5" i="82"/>
  <c r="B14" i="74"/>
  <c r="E48" i="34"/>
  <c r="L6" i="81"/>
  <c r="G48" i="34" s="1"/>
  <c r="L7" i="81"/>
  <c r="I48" i="34" s="1"/>
  <c r="L5" i="81"/>
  <c r="F3" i="31"/>
  <c r="E4" i="31"/>
  <c r="F4" i="31"/>
  <c r="C4" i="31"/>
  <c r="C3" i="31"/>
  <c r="B25" i="31"/>
  <c r="B26" i="31"/>
  <c r="B27" i="31"/>
  <c r="B28" i="31"/>
  <c r="B29" i="31"/>
  <c r="B30" i="31"/>
  <c r="B31" i="31"/>
  <c r="B32" i="31"/>
  <c r="B33" i="31"/>
  <c r="B34" i="31"/>
  <c r="B35" i="31"/>
  <c r="B36" i="31"/>
  <c r="B37" i="31"/>
  <c r="B38" i="31"/>
  <c r="B39" i="31"/>
  <c r="B24" i="31"/>
  <c r="A25" i="31"/>
  <c r="A26" i="31"/>
  <c r="A27" i="31"/>
  <c r="A28" i="31"/>
  <c r="A29" i="31"/>
  <c r="A30" i="31"/>
  <c r="A31" i="31"/>
  <c r="A32" i="31"/>
  <c r="A33" i="31"/>
  <c r="A34" i="31"/>
  <c r="A35" i="31"/>
  <c r="A36" i="31"/>
  <c r="A37" i="31"/>
  <c r="A38" i="31"/>
  <c r="A39" i="31"/>
  <c r="A24" i="31"/>
  <c r="I37" i="34"/>
  <c r="G37" i="34"/>
  <c r="E37" i="34"/>
  <c r="I34" i="34"/>
  <c r="G34" i="34"/>
  <c r="E34" i="34"/>
  <c r="H7" i="81"/>
  <c r="H6" i="81"/>
  <c r="D34" i="83"/>
  <c r="D35" i="83"/>
  <c r="C92" i="83" l="1"/>
  <c r="C94" i="83"/>
  <c r="K120" i="83"/>
  <c r="D121" i="83"/>
  <c r="H109" i="83"/>
  <c r="C37" i="34"/>
  <c r="Y6" i="1"/>
  <c r="N6" i="1"/>
  <c r="F19" i="6"/>
  <c r="J19" i="80"/>
  <c r="C19" i="80"/>
  <c r="J18" i="80"/>
  <c r="J17" i="80"/>
  <c r="J16" i="80"/>
  <c r="J15" i="80"/>
  <c r="J14" i="80"/>
  <c r="J13" i="80"/>
  <c r="J12" i="80"/>
  <c r="J11" i="80"/>
  <c r="J10" i="80"/>
  <c r="J9" i="80"/>
  <c r="J8" i="80"/>
  <c r="J7" i="80"/>
  <c r="J6" i="80"/>
  <c r="J5" i="80"/>
  <c r="J4" i="80"/>
  <c r="J3" i="80"/>
  <c r="D124" i="83" l="1"/>
  <c r="D125" i="83" s="1"/>
  <c r="H110" i="83"/>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M28" i="79"/>
  <c r="T28" i="79" s="1"/>
  <c r="W28" i="79" s="1"/>
  <c r="L28" i="79"/>
  <c r="I28" i="79"/>
  <c r="AD28" i="79" s="1"/>
  <c r="AB27" i="79"/>
  <c r="AA27" i="79"/>
  <c r="Z27" i="79"/>
  <c r="N27" i="79"/>
  <c r="U27" i="79" s="1"/>
  <c r="M27" i="79"/>
  <c r="L27" i="79"/>
  <c r="S27" i="79" s="1"/>
  <c r="I27" i="79"/>
  <c r="AB26" i="79"/>
  <c r="AA26" i="79"/>
  <c r="Z26" i="79"/>
  <c r="N26" i="79"/>
  <c r="M26" i="79"/>
  <c r="T26" i="79" s="1"/>
  <c r="W26" i="79" s="1"/>
  <c r="L26" i="79"/>
  <c r="I26" i="79"/>
  <c r="AD26" i="79" s="1"/>
  <c r="AB25" i="79"/>
  <c r="AA25" i="79"/>
  <c r="Z25" i="79"/>
  <c r="N25" i="79"/>
  <c r="U25" i="79" s="1"/>
  <c r="M25" i="79"/>
  <c r="L25" i="79"/>
  <c r="S25" i="79" s="1"/>
  <c r="I25" i="79"/>
  <c r="AB24" i="79"/>
  <c r="AA24" i="79"/>
  <c r="Z24" i="79"/>
  <c r="N24" i="79"/>
  <c r="M24" i="79"/>
  <c r="L24" i="79"/>
  <c r="I24" i="79"/>
  <c r="AD24" i="79" s="1"/>
  <c r="AB23" i="79"/>
  <c r="AA23" i="79"/>
  <c r="Z23" i="79"/>
  <c r="N23" i="79"/>
  <c r="U23" i="79" s="1"/>
  <c r="M23" i="79"/>
  <c r="L23" i="79"/>
  <c r="S20" i="79" s="1"/>
  <c r="I23" i="79"/>
  <c r="AD23" i="79" s="1"/>
  <c r="AB22" i="79"/>
  <c r="AB20" i="79" s="1"/>
  <c r="AA22" i="79"/>
  <c r="Z22" i="79"/>
  <c r="N22" i="79"/>
  <c r="M22" i="79"/>
  <c r="T22" i="79" s="1"/>
  <c r="W22" i="79" s="1"/>
  <c r="L22" i="79"/>
  <c r="I22" i="79"/>
  <c r="AD22" i="79" s="1"/>
  <c r="AA20" i="79"/>
  <c r="AD20" i="79" s="1"/>
  <c r="T20" i="79"/>
  <c r="W20" i="79" s="1"/>
  <c r="N20" i="79"/>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N11" i="79"/>
  <c r="U11" i="79" s="1"/>
  <c r="M11" i="79"/>
  <c r="L11" i="79"/>
  <c r="S11" i="79" s="1"/>
  <c r="K11" i="79"/>
  <c r="I11" i="79"/>
  <c r="AC10" i="79"/>
  <c r="AB10" i="79"/>
  <c r="AA10" i="79"/>
  <c r="AD10" i="79" s="1"/>
  <c r="Z10" i="79"/>
  <c r="Y10" i="79"/>
  <c r="O10" i="79"/>
  <c r="V10" i="79" s="1"/>
  <c r="N10" i="79"/>
  <c r="M10" i="79"/>
  <c r="P10" i="79" s="1"/>
  <c r="L10" i="79"/>
  <c r="K10" i="79"/>
  <c r="R10" i="79" s="1"/>
  <c r="I10" i="79"/>
  <c r="AD9" i="79"/>
  <c r="AC9" i="79"/>
  <c r="AB9" i="79"/>
  <c r="AA9" i="79"/>
  <c r="Z9" i="79"/>
  <c r="Y9" i="79"/>
  <c r="P9" i="79"/>
  <c r="O9" i="79"/>
  <c r="N9" i="79"/>
  <c r="U9" i="79" s="1"/>
  <c r="M9" i="79"/>
  <c r="L9" i="79"/>
  <c r="S9" i="79" s="1"/>
  <c r="K9" i="79"/>
  <c r="I9" i="79"/>
  <c r="AC8" i="79"/>
  <c r="AB8" i="79"/>
  <c r="AA8" i="79"/>
  <c r="AD8" i="79" s="1"/>
  <c r="Z8" i="79"/>
  <c r="Y8" i="79"/>
  <c r="O8" i="79"/>
  <c r="V8" i="79" s="1"/>
  <c r="N8" i="79"/>
  <c r="M8" i="79"/>
  <c r="P8" i="79" s="1"/>
  <c r="L8" i="79"/>
  <c r="K8" i="79"/>
  <c r="R8" i="79" s="1"/>
  <c r="I8" i="79"/>
  <c r="AC7" i="79"/>
  <c r="AB7" i="79"/>
  <c r="AA7" i="79"/>
  <c r="AD7" i="79" s="1"/>
  <c r="Z7" i="79"/>
  <c r="Y7" i="79"/>
  <c r="O7" i="79"/>
  <c r="N7" i="79"/>
  <c r="U7" i="79" s="1"/>
  <c r="M7" i="79"/>
  <c r="L7" i="79"/>
  <c r="S7" i="79" s="1"/>
  <c r="K7" i="79"/>
  <c r="I7" i="79"/>
  <c r="AC6" i="79"/>
  <c r="AB6" i="79"/>
  <c r="AB3" i="79" s="1"/>
  <c r="AA6" i="79"/>
  <c r="AD6" i="79" s="1"/>
  <c r="Z6" i="79"/>
  <c r="Z3" i="79" s="1"/>
  <c r="Y6" i="79"/>
  <c r="O6" i="79"/>
  <c r="V6" i="79" s="1"/>
  <c r="N6" i="79"/>
  <c r="M6" i="79"/>
  <c r="P6" i="79" s="1"/>
  <c r="L6" i="79"/>
  <c r="K6" i="79"/>
  <c r="R6" i="79" s="1"/>
  <c r="I6" i="79"/>
  <c r="AC5" i="79"/>
  <c r="AB5" i="79"/>
  <c r="AA5" i="79"/>
  <c r="AD5" i="79" s="1"/>
  <c r="Z5" i="79"/>
  <c r="Y5" i="79"/>
  <c r="O5" i="79"/>
  <c r="V5" i="79" s="1"/>
  <c r="N5" i="79"/>
  <c r="M5" i="79"/>
  <c r="T5" i="79" s="1"/>
  <c r="W5" i="79" s="1"/>
  <c r="L5" i="79"/>
  <c r="K5" i="79"/>
  <c r="R5" i="79" s="1"/>
  <c r="I5" i="79"/>
  <c r="AC3" i="79"/>
  <c r="AA3" i="79"/>
  <c r="AD3" i="79" s="1"/>
  <c r="Y3" i="79"/>
  <c r="U3" i="79"/>
  <c r="S3" i="79"/>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R3" i="79"/>
  <c r="T3" i="79"/>
  <c r="W3" i="79" s="1"/>
  <c r="V3" i="79"/>
  <c r="S5" i="79"/>
  <c r="U5" i="79"/>
  <c r="P5" i="79"/>
  <c r="S6" i="79"/>
  <c r="U6" i="79"/>
  <c r="R7" i="79"/>
  <c r="T7" i="79"/>
  <c r="W7" i="79" s="1"/>
  <c r="V7" i="79"/>
  <c r="S8" i="79"/>
  <c r="U8" i="79"/>
  <c r="R9" i="79"/>
  <c r="T9" i="79"/>
  <c r="W9" i="79" s="1"/>
  <c r="V9" i="79"/>
  <c r="S10" i="79"/>
  <c r="U10" i="79"/>
  <c r="R11" i="79"/>
  <c r="T11" i="79"/>
  <c r="W11" i="79" s="1"/>
  <c r="V11" i="79"/>
  <c r="M20" i="79"/>
  <c r="P20" i="79" s="1"/>
  <c r="U20" i="79"/>
  <c r="U22" i="79"/>
  <c r="Z20" i="79"/>
  <c r="S24" i="79"/>
  <c r="U24" i="79"/>
  <c r="AD25" i="79"/>
  <c r="T25" i="79"/>
  <c r="W25" i="79" s="1"/>
  <c r="S26" i="79"/>
  <c r="U26" i="79"/>
  <c r="AD27" i="79"/>
  <c r="T27" i="79"/>
  <c r="W27" i="79" s="1"/>
  <c r="S28" i="79"/>
  <c r="U28" i="79"/>
  <c r="AD29" i="79"/>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E56" i="71" s="1"/>
  <c r="U56"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c r="D41" i="71"/>
  <c r="Q40" i="71"/>
  <c r="P40" i="71"/>
  <c r="O40" i="71"/>
  <c r="N40" i="71"/>
  <c r="AB39" i="71"/>
  <c r="Q39" i="71"/>
  <c r="P39" i="71"/>
  <c r="O39" i="71"/>
  <c r="N39" i="71"/>
  <c r="X39" i="71"/>
  <c r="Q38" i="71"/>
  <c r="AB38" i="71"/>
  <c r="P38" i="71"/>
  <c r="O38" i="71"/>
  <c r="N38" i="71"/>
  <c r="F40" i="71"/>
  <c r="V40" i="71" s="1"/>
  <c r="Q37" i="71"/>
  <c r="F38" i="71" s="1"/>
  <c r="F39" i="71" s="1"/>
  <c r="P37" i="71"/>
  <c r="O37" i="71"/>
  <c r="C38" i="71" s="1"/>
  <c r="N37" i="71"/>
  <c r="D37" i="71"/>
  <c r="Q36" i="71"/>
  <c r="AB36" i="71"/>
  <c r="P36" i="71"/>
  <c r="O36" i="71"/>
  <c r="N36" i="71"/>
  <c r="Q35" i="71"/>
  <c r="P35" i="71"/>
  <c r="O35" i="71"/>
  <c r="N35" i="71"/>
  <c r="Q34" i="71"/>
  <c r="P34" i="71"/>
  <c r="O34" i="71"/>
  <c r="N34" i="71"/>
  <c r="Q33" i="71"/>
  <c r="F34" i="71" s="1"/>
  <c r="F35" i="71" s="1"/>
  <c r="F36" i="71" s="1"/>
  <c r="V36" i="71" s="1"/>
  <c r="P33" i="71"/>
  <c r="O33" i="71"/>
  <c r="N33" i="71"/>
  <c r="D33" i="71"/>
  <c r="Q32" i="71"/>
  <c r="P32" i="71"/>
  <c r="O32" i="71"/>
  <c r="N32" i="71"/>
  <c r="Q31" i="71"/>
  <c r="P31" i="71"/>
  <c r="O31" i="71"/>
  <c r="N31" i="71"/>
  <c r="Q30" i="71"/>
  <c r="P30" i="71"/>
  <c r="O30" i="7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AA35" i="71"/>
  <c r="X36" i="71"/>
  <c r="AA36" i="71"/>
  <c r="AB37" i="71"/>
  <c r="X38" i="71"/>
  <c r="F51" i="71"/>
  <c r="F52" i="71"/>
  <c r="V52" i="71" s="1"/>
  <c r="C28" i="71"/>
  <c r="C27" i="71" s="1"/>
  <c r="X27" i="71"/>
  <c r="D38" i="71"/>
  <c r="D42" i="71"/>
  <c r="C51" i="71"/>
  <c r="D51" i="71" s="1"/>
  <c r="D50" i="71"/>
  <c r="P28" i="71"/>
  <c r="E59" i="71"/>
  <c r="E60" i="71" s="1"/>
  <c r="U60" i="71" s="1"/>
  <c r="E64" i="71"/>
  <c r="U64" i="71" s="1"/>
  <c r="U68" i="71"/>
  <c r="E67" i="71"/>
  <c r="E66" i="71" s="1"/>
  <c r="P66" i="71" s="1"/>
  <c r="Q28" i="71"/>
  <c r="C55" i="71"/>
  <c r="D55" i="71" s="1"/>
  <c r="C59" i="71"/>
  <c r="D58" i="71"/>
  <c r="C63" i="71"/>
  <c r="N67" i="71"/>
  <c r="C67" i="71"/>
  <c r="C71" i="71"/>
  <c r="D71" i="71" s="1"/>
  <c r="E71" i="71"/>
  <c r="E70" i="71"/>
  <c r="D72" i="71"/>
  <c r="E75" i="71"/>
  <c r="E74" i="71"/>
  <c r="C79" i="71"/>
  <c r="C78" i="71" s="1"/>
  <c r="D78" i="71" s="1"/>
  <c r="E79" i="71"/>
  <c r="E78" i="71"/>
  <c r="D80" i="71"/>
  <c r="C83" i="71"/>
  <c r="D83" i="71" s="1"/>
  <c r="C87" i="71"/>
  <c r="T28" i="71"/>
  <c r="F28" i="71"/>
  <c r="F27" i="71"/>
  <c r="F26" i="71" s="1"/>
  <c r="AB25" i="71"/>
  <c r="AA25" i="71"/>
  <c r="D28" i="71"/>
  <c r="U28" i="71" s="1"/>
  <c r="D67" i="71"/>
  <c r="C82" i="71"/>
  <c r="D82" i="71" s="1"/>
  <c r="N66" i="71"/>
  <c r="D87" i="71"/>
  <c r="C86" i="71"/>
  <c r="D86" i="71" s="1"/>
  <c r="D79" i="71"/>
  <c r="C70" i="71"/>
  <c r="D70" i="71" s="1"/>
  <c r="C56" i="71"/>
  <c r="P67" i="71"/>
  <c r="C52" i="71"/>
  <c r="T52" i="71" s="1"/>
  <c r="C44" i="71"/>
  <c r="T44" i="71" s="1"/>
  <c r="C26" i="71"/>
  <c r="D26" i="71" s="1"/>
  <c r="D27" i="71"/>
  <c r="P65" i="71"/>
  <c r="D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84" i="34" s="1"/>
  <c r="G84" i="34" s="1"/>
  <c r="F21" i="34"/>
  <c r="C21" i="34"/>
  <c r="Q21" i="33"/>
  <c r="Z21" i="33" s="1"/>
  <c r="D83" i="33"/>
  <c r="E83" i="33"/>
  <c r="C21" i="33"/>
  <c r="C21" i="21"/>
  <c r="Q21" i="21"/>
  <c r="Z21" i="21"/>
  <c r="H19" i="21"/>
  <c r="D83" i="21"/>
  <c r="E83" i="21" s="1"/>
  <c r="F21" i="21"/>
  <c r="AA21" i="21"/>
  <c r="D81" i="21"/>
  <c r="G20" i="20"/>
  <c r="B88" i="43" s="1"/>
  <c r="C22" i="20"/>
  <c r="C25" i="40"/>
  <c r="S25" i="40"/>
  <c r="S18" i="36"/>
  <c r="U18" i="36"/>
  <c r="F94" i="40"/>
  <c r="H25" i="40"/>
  <c r="G94" i="40"/>
  <c r="J25" i="40"/>
  <c r="H29" i="39"/>
  <c r="J29" i="39"/>
  <c r="AC29" i="39" s="1"/>
  <c r="G66" i="36"/>
  <c r="J18" i="36"/>
  <c r="F68" i="35"/>
  <c r="G68" i="35" s="1"/>
  <c r="H18" i="35"/>
  <c r="J18" i="35"/>
  <c r="H21" i="37"/>
  <c r="AB21" i="37" s="1"/>
  <c r="F21" i="37"/>
  <c r="H21" i="34"/>
  <c r="F83" i="33"/>
  <c r="G83" i="33" s="1"/>
  <c r="H21" i="33"/>
  <c r="F21" i="33"/>
  <c r="AA21" i="33" s="1"/>
  <c r="S21" i="21"/>
  <c r="H1" i="69"/>
  <c r="AC25" i="40"/>
  <c r="W25" i="40"/>
  <c r="AB25" i="40"/>
  <c r="U25" i="40"/>
  <c r="W29" i="39"/>
  <c r="AC18" i="36"/>
  <c r="W18" i="36"/>
  <c r="U21" i="37"/>
  <c r="AA21" i="37"/>
  <c r="S21" i="37"/>
  <c r="AB21" i="34"/>
  <c r="U21" i="34"/>
  <c r="U21" i="33"/>
  <c r="AB21" i="33"/>
  <c r="S21" i="33"/>
  <c r="AB18" i="35"/>
  <c r="U18" i="35"/>
  <c r="AC18" i="35"/>
  <c r="W18" i="35"/>
  <c r="J21" i="37"/>
  <c r="W21" i="37" s="1"/>
  <c r="J21" i="34"/>
  <c r="W21" i="34" s="1"/>
  <c r="J21" i="33"/>
  <c r="W21" i="33" s="1"/>
  <c r="F83" i="21"/>
  <c r="H21" i="21"/>
  <c r="U21" i="21" s="1"/>
  <c r="F38" i="69"/>
  <c r="E37" i="69"/>
  <c r="F36" i="69"/>
  <c r="F35" i="69"/>
  <c r="F21" i="69"/>
  <c r="F40" i="69" s="1"/>
  <c r="F20" i="69"/>
  <c r="F39" i="69" s="1"/>
  <c r="E10" i="69"/>
  <c r="E9" i="69"/>
  <c r="C7" i="69"/>
  <c r="AC21" i="37"/>
  <c r="AC21" i="34"/>
  <c r="AC21" i="33"/>
  <c r="AB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M47" i="83"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H39" i="33"/>
  <c r="AB39" i="33"/>
  <c r="F26" i="33"/>
  <c r="AA26"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J27" i="37"/>
  <c r="AC27" i="37" s="1"/>
  <c r="AA44" i="33"/>
  <c r="U31" i="34"/>
  <c r="AA14" i="33"/>
  <c r="J36" i="37"/>
  <c r="AC36" i="37"/>
  <c r="J10" i="36"/>
  <c r="AC10" i="36" s="1"/>
  <c r="AB26" i="33"/>
  <c r="AB30" i="21"/>
  <c r="AA14" i="37"/>
  <c r="W31" i="34"/>
  <c r="W13" i="36"/>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J25" i="21"/>
  <c r="AC25" i="21" s="1"/>
  <c r="E125" i="33"/>
  <c r="F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35" i="35"/>
  <c r="AA12" i="35"/>
  <c r="W23" i="35"/>
  <c r="AB28" i="37"/>
  <c r="U33" i="37"/>
  <c r="U39" i="37"/>
  <c r="W26" i="37"/>
  <c r="U26" i="37"/>
  <c r="AB13" i="34"/>
  <c r="AC36" i="34"/>
  <c r="AA13" i="33"/>
  <c r="AC45" i="33"/>
  <c r="U11" i="33"/>
  <c r="U19" i="21"/>
  <c r="W44" i="21"/>
  <c r="U26" i="21"/>
  <c r="AC46" i="21"/>
  <c r="U12" i="21"/>
  <c r="AB38" i="21"/>
  <c r="F43" i="33"/>
  <c r="AA43" i="33"/>
  <c r="W15" i="34"/>
  <c r="AC15" i="34"/>
  <c r="W16" i="35"/>
  <c r="W40" i="37"/>
  <c r="G107" i="37"/>
  <c r="H107" i="37"/>
  <c r="I107" i="37" s="1"/>
  <c r="J107" i="37"/>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0" i="3"/>
  <c r="AZ364" i="3"/>
  <c r="AZ368" i="3"/>
  <c r="BA15" i="3"/>
  <c r="AZ15" i="3" s="1"/>
  <c r="BB5" i="3"/>
  <c r="BR5" i="3"/>
  <c r="AZ380" i="3"/>
  <c r="AZ388" i="3"/>
  <c r="AZ396" i="3"/>
  <c r="AZ394" i="3"/>
  <c r="AZ499" i="3"/>
  <c r="AZ509" i="3"/>
  <c r="G509" i="3"/>
  <c r="BL493" i="3"/>
  <c r="AZ491" i="3"/>
  <c r="AZ376"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M20" i="67"/>
  <c r="G13" i="3"/>
  <c r="G5" i="3" s="1"/>
  <c r="B3" i="3" s="1"/>
  <c r="E205" i="3" s="1"/>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S17" i="33" s="1"/>
  <c r="W17" i="33"/>
  <c r="AC17" i="33"/>
  <c r="S37" i="21"/>
  <c r="AA23" i="21"/>
  <c r="AB15" i="21"/>
  <c r="J23" i="21"/>
  <c r="W23" i="21" s="1"/>
  <c r="F85" i="21"/>
  <c r="G85" i="21"/>
  <c r="H23" i="21"/>
  <c r="S13" i="21"/>
  <c r="D6" i="52"/>
  <c r="E329" i="3"/>
  <c r="E188" i="3"/>
  <c r="E116" i="3"/>
  <c r="E393" i="3"/>
  <c r="E564" i="3"/>
  <c r="E427" i="3"/>
  <c r="E507" i="3"/>
  <c r="E440" i="3"/>
  <c r="E376" i="3"/>
  <c r="J6" i="3"/>
  <c r="E419" i="3"/>
  <c r="E401" i="3"/>
  <c r="E40" i="3"/>
  <c r="E108" i="3"/>
  <c r="E119" i="3"/>
  <c r="E242" i="3"/>
  <c r="E276" i="3"/>
  <c r="E333" i="3"/>
  <c r="L6" i="3"/>
  <c r="E43" i="3"/>
  <c r="E473" i="3"/>
  <c r="E455"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U17" i="33"/>
  <c r="AB17" i="33"/>
  <c r="U23" i="21"/>
  <c r="AB23" i="21"/>
  <c r="AC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7" i="76"/>
  <c r="F36" i="15"/>
  <c r="F43" i="15"/>
  <c r="M24" i="15"/>
  <c r="C76" i="67"/>
  <c r="M6" i="15"/>
  <c r="M22" i="15"/>
  <c r="L47" i="15"/>
  <c r="D3" i="73"/>
  <c r="B11" i="76"/>
  <c r="B8" i="76"/>
  <c r="F6" i="67"/>
  <c r="M9" i="67"/>
  <c r="F4" i="73"/>
  <c r="B13" i="76"/>
  <c r="M22" i="67"/>
  <c r="F26" i="15"/>
  <c r="E12" i="76"/>
  <c r="E11" i="76"/>
  <c r="F26" i="67"/>
  <c r="E2" i="69"/>
  <c r="F38" i="67"/>
  <c r="M23" i="15"/>
  <c r="B9" i="76"/>
  <c r="B10" i="76"/>
  <c r="F37" i="15"/>
  <c r="F40" i="67"/>
  <c r="M26" i="15"/>
  <c r="F43" i="67"/>
  <c r="F42" i="67"/>
  <c r="F8" i="67"/>
  <c r="M29" i="67"/>
  <c r="D4" i="73"/>
  <c r="F20" i="31"/>
  <c r="F16" i="15"/>
  <c r="F42" i="15"/>
  <c r="M26" i="67"/>
  <c r="M8" i="67"/>
  <c r="F16" i="67"/>
  <c r="L48" i="67"/>
  <c r="F6" i="15"/>
  <c r="J15" i="67"/>
  <c r="F37" i="67"/>
  <c r="E13" i="76"/>
  <c r="F36" i="67"/>
  <c r="F40" i="15"/>
  <c r="L48" i="15"/>
  <c r="M6" i="67"/>
  <c r="E10" i="76"/>
  <c r="M9" i="15"/>
  <c r="F13" i="15"/>
  <c r="AO13" i="1"/>
  <c r="M23" i="67"/>
  <c r="M24" i="67"/>
  <c r="F9" i="15"/>
  <c r="J15" i="15"/>
  <c r="M28" i="15"/>
  <c r="D5" i="73"/>
  <c r="F7" i="73"/>
  <c r="E2" i="68"/>
  <c r="F3" i="73"/>
  <c r="D35" i="9"/>
  <c r="M28" i="67"/>
  <c r="E8" i="76"/>
  <c r="D34" i="9"/>
  <c r="F13" i="67"/>
  <c r="M8" i="15"/>
  <c r="D7" i="73"/>
  <c r="E7" i="76"/>
  <c r="L47" i="67"/>
  <c r="F7" i="67"/>
  <c r="B12" i="76"/>
  <c r="F9" i="67"/>
  <c r="F6" i="73"/>
  <c r="F5" i="73"/>
  <c r="E9" i="76"/>
  <c r="D6" i="73"/>
  <c r="F7" i="15"/>
  <c r="C76" i="15"/>
  <c r="F38" i="15"/>
  <c r="M29" i="15"/>
  <c r="F8" i="15"/>
  <c r="C24" i="12" l="1"/>
  <c r="C77" i="83"/>
  <c r="C74" i="83" s="1"/>
  <c r="G7" i="34"/>
  <c r="I7" i="34"/>
  <c r="E7" i="34"/>
  <c r="S43" i="34"/>
  <c r="S27" i="34"/>
  <c r="F34" i="15"/>
  <c r="F62" i="15" s="1"/>
  <c r="F34" i="67"/>
  <c r="F62" i="67" s="1"/>
  <c r="F54" i="9"/>
  <c r="F28" i="15"/>
  <c r="F32" i="15"/>
  <c r="F60" i="15" s="1"/>
  <c r="F32" i="67"/>
  <c r="F60" i="67" s="1"/>
  <c r="F52" i="9"/>
  <c r="F28" i="67"/>
  <c r="C28" i="67" s="1"/>
  <c r="F30" i="68"/>
  <c r="F48" i="68" s="1"/>
  <c r="D93" i="9"/>
  <c r="C21" i="68"/>
  <c r="C40" i="69"/>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15" i="3"/>
  <c r="E540" i="3"/>
  <c r="E60" i="3"/>
  <c r="E372" i="3"/>
  <c r="E346" i="3"/>
  <c r="E226" i="3"/>
  <c r="E202" i="3"/>
  <c r="E178" i="3"/>
  <c r="E25" i="3"/>
  <c r="E463" i="3"/>
  <c r="E483" i="3"/>
  <c r="E498" i="3"/>
  <c r="AH6" i="3"/>
  <c r="E490" i="3"/>
  <c r="E422" i="3"/>
  <c r="E486" i="3"/>
  <c r="E543" i="3"/>
  <c r="E493" i="3"/>
  <c r="E105" i="3"/>
  <c r="E223" i="3"/>
  <c r="E16"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19" i="71"/>
  <c r="E18" i="71" s="1"/>
  <c r="E17" i="71" s="1"/>
  <c r="E16" i="71" s="1"/>
  <c r="V20" i="71"/>
  <c r="AB43" i="33"/>
  <c r="U43" i="33"/>
  <c r="AZ581" i="3"/>
  <c r="AC14" i="37"/>
  <c r="W14" i="37"/>
  <c r="S13" i="35"/>
  <c r="AA13" i="35"/>
  <c r="AB46" i="33"/>
  <c r="U46" i="33"/>
  <c r="AC44" i="33"/>
  <c r="W44" i="33"/>
  <c r="C16" i="71"/>
  <c r="D17" i="71"/>
  <c r="D16" i="53"/>
  <c r="B34" i="72" s="1"/>
  <c r="W17" i="21"/>
  <c r="U12" i="39"/>
  <c r="G28" i="6"/>
  <c r="E28" i="6" s="1"/>
  <c r="K14" i="1" s="1"/>
  <c r="F29" i="6"/>
  <c r="AZ362" i="3"/>
  <c r="S41" i="34"/>
  <c r="AA41" i="34"/>
  <c r="S25" i="21"/>
  <c r="AA25" i="21"/>
  <c r="AZ557" i="3"/>
  <c r="AZ513" i="3"/>
  <c r="AZ517" i="3"/>
  <c r="AZ567" i="3"/>
  <c r="AZ571" i="3"/>
  <c r="AZ575" i="3"/>
  <c r="AZ579" i="3"/>
  <c r="AB14" i="40"/>
  <c r="U14" i="40"/>
  <c r="AC47" i="34"/>
  <c r="W47" i="34"/>
  <c r="AC31" i="33"/>
  <c r="S44" i="34"/>
  <c r="W29" i="33"/>
  <c r="S45" i="33"/>
  <c r="AC30" i="34"/>
  <c r="U23" i="40"/>
  <c r="AA29" i="35"/>
  <c r="AB23" i="34"/>
  <c r="U33" i="35"/>
  <c r="AC11" i="40"/>
  <c r="AA39" i="37"/>
  <c r="S34" i="21"/>
  <c r="U33" i="33"/>
  <c r="W9" i="34"/>
  <c r="B101" i="43"/>
  <c r="B79" i="43"/>
  <c r="B97" i="43"/>
  <c r="B75" i="43"/>
  <c r="B94" i="43"/>
  <c r="B73" i="43"/>
  <c r="B99" i="43"/>
  <c r="B76" i="43"/>
  <c r="AZ398" i="3"/>
  <c r="AZ400" i="3"/>
  <c r="AZ402" i="3"/>
  <c r="AZ406" i="3"/>
  <c r="AZ410" i="3"/>
  <c r="AZ413" i="3"/>
  <c r="F9" i="34"/>
  <c r="AA9" i="34" s="1"/>
  <c r="F12" i="34"/>
  <c r="F34" i="35"/>
  <c r="H34" i="35"/>
  <c r="J36" i="35"/>
  <c r="F23" i="36"/>
  <c r="H23" i="36"/>
  <c r="BL16" i="3"/>
  <c r="AZ16" i="3" s="1"/>
  <c r="AZ419" i="3"/>
  <c r="AZ435"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B100" i="43"/>
  <c r="B77" i="43"/>
  <c r="B68" i="43"/>
  <c r="C29" i="39"/>
  <c r="B57" i="43"/>
  <c r="T56" i="71"/>
  <c r="D56" i="71"/>
  <c r="O67" i="71"/>
  <c r="C66" i="71"/>
  <c r="AA26" i="71"/>
  <c r="AA28" i="71"/>
  <c r="AA27" i="71"/>
  <c r="D35" i="71"/>
  <c r="C36" i="71"/>
  <c r="AB31" i="71"/>
  <c r="AB27" i="71"/>
  <c r="AB35" i="71"/>
  <c r="AB32" i="71"/>
  <c r="Y38" i="71"/>
  <c r="Z38" i="71" s="1"/>
  <c r="Y35" i="71"/>
  <c r="Z35" i="71" s="1"/>
  <c r="Y37" i="71"/>
  <c r="Z37" i="71" s="1"/>
  <c r="AA9" i="71"/>
  <c r="AA10" i="71"/>
  <c r="AA39" i="71"/>
  <c r="AA37" i="71"/>
  <c r="AA29" i="71"/>
  <c r="AA34" i="71"/>
  <c r="Y10" i="71"/>
  <c r="Z10" i="71" s="1"/>
  <c r="AZ169" i="3"/>
  <c r="AZ201" i="3"/>
  <c r="AZ30" i="3"/>
  <c r="AZ40" i="3"/>
  <c r="AZ49" i="3"/>
  <c r="AZ54" i="3"/>
  <c r="AZ65" i="3"/>
  <c r="AZ70" i="3"/>
  <c r="AZ76" i="3"/>
  <c r="AZ90" i="3"/>
  <c r="AZ92" i="3"/>
  <c r="AZ96" i="3"/>
  <c r="AZ112" i="3"/>
  <c r="S18" i="35"/>
  <c r="AB29" i="39"/>
  <c r="U29" i="39"/>
  <c r="D52" i="71"/>
  <c r="E28" i="71"/>
  <c r="C64" i="71"/>
  <c r="D63" i="71"/>
  <c r="D59" i="71"/>
  <c r="C60" i="71"/>
  <c r="D34" i="71"/>
  <c r="AA38" i="71"/>
  <c r="AB33" i="71"/>
  <c r="Y30" i="71"/>
  <c r="Z30" i="71" s="1"/>
  <c r="C31" i="71"/>
  <c r="AB30" i="71"/>
  <c r="X29" i="71"/>
  <c r="X30" i="71"/>
  <c r="X25" i="71"/>
  <c r="Y34" i="71"/>
  <c r="Z34" i="71" s="1"/>
  <c r="Y31" i="71"/>
  <c r="Z31" i="71" s="1"/>
  <c r="Y33" i="71"/>
  <c r="Z33" i="71" s="1"/>
  <c r="AB34" i="71"/>
  <c r="X33" i="71"/>
  <c r="X34" i="71"/>
  <c r="X35" i="71"/>
  <c r="X32" i="71"/>
  <c r="C47" i="71"/>
  <c r="D47" i="71" s="1"/>
  <c r="D46" i="71"/>
  <c r="T68" i="71"/>
  <c r="D68" i="71"/>
  <c r="O68" i="71"/>
  <c r="V68" i="71"/>
  <c r="F67" i="71"/>
  <c r="Q68" i="71"/>
  <c r="T76" i="71"/>
  <c r="D76" i="71"/>
  <c r="C75" i="71"/>
  <c r="AA22" i="71"/>
  <c r="AA24" i="71"/>
  <c r="AA18" i="71"/>
  <c r="AA23" i="71"/>
  <c r="X21" i="71"/>
  <c r="Y21" i="71"/>
  <c r="Z21" i="71" s="1"/>
  <c r="Y14" i="71"/>
  <c r="Z14" i="71" s="1"/>
  <c r="Y17" i="71"/>
  <c r="Z17" i="71" s="1"/>
  <c r="Y11" i="71"/>
  <c r="Z11" i="71" s="1"/>
  <c r="Y13" i="71"/>
  <c r="Z13" i="71" s="1"/>
  <c r="AB17" i="71"/>
  <c r="AB10" i="71"/>
  <c r="AB11" i="71"/>
  <c r="AB13" i="71"/>
  <c r="AA13" i="71"/>
  <c r="AA21" i="34"/>
  <c r="S21" i="34"/>
  <c r="E40" i="71"/>
  <c r="U40" i="71" s="1"/>
  <c r="B36" i="71"/>
  <c r="S36" i="71" s="1"/>
  <c r="B32" i="71"/>
  <c r="S32" i="71" s="1"/>
  <c r="B28" i="71"/>
  <c r="X26" i="71"/>
  <c r="X28" i="71"/>
  <c r="Y29" i="71"/>
  <c r="Z29" i="71" s="1"/>
  <c r="Y28" i="71"/>
  <c r="Z28" i="71" s="1"/>
  <c r="AB29" i="71"/>
  <c r="AB28" i="71"/>
  <c r="F30" i="71"/>
  <c r="F31" i="71" s="1"/>
  <c r="F32" i="71" s="1"/>
  <c r="V32" i="71" s="1"/>
  <c r="AA30" i="71"/>
  <c r="AA31" i="71"/>
  <c r="Y32" i="71"/>
  <c r="Z32" i="71" s="1"/>
  <c r="AA33" i="71"/>
  <c r="AA32" i="71"/>
  <c r="Y36" i="71"/>
  <c r="Z36" i="71" s="1"/>
  <c r="C39" i="71"/>
  <c r="Y9" i="71"/>
  <c r="Z9" i="71" s="1"/>
  <c r="Y39" i="71"/>
  <c r="Z39" i="71" s="1"/>
  <c r="Y27" i="71"/>
  <c r="Z27" i="71" s="1"/>
  <c r="Y25" i="71"/>
  <c r="Z25" i="71" s="1"/>
  <c r="Y26" i="71"/>
  <c r="Z26" i="71" s="1"/>
  <c r="AB24" i="71"/>
  <c r="AB26" i="71"/>
  <c r="AB21" i="71"/>
  <c r="Y22" i="71"/>
  <c r="Z22" i="71" s="1"/>
  <c r="AB23" i="71"/>
  <c r="X22" i="71"/>
  <c r="X18" i="71"/>
  <c r="Y18" i="71"/>
  <c r="Z18" i="71" s="1"/>
  <c r="AA3" i="71"/>
  <c r="AB18" i="7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K16" i="1" l="1"/>
  <c r="B15" i="71"/>
  <c r="B14" i="71" s="1"/>
  <c r="B13" i="71" s="1"/>
  <c r="B12" i="71" s="1"/>
  <c r="S16" i="71"/>
  <c r="F7" i="36"/>
  <c r="J7" i="37"/>
  <c r="H7" i="36"/>
  <c r="D39" i="71"/>
  <c r="C40" i="71"/>
  <c r="S28" i="71"/>
  <c r="B27" i="71"/>
  <c r="B26" i="71" s="1"/>
  <c r="D31" i="71"/>
  <c r="C32" i="71"/>
  <c r="T64" i="71"/>
  <c r="D64" i="71"/>
  <c r="D66" i="71"/>
  <c r="O65" i="71"/>
  <c r="O66" i="71"/>
  <c r="AA23" i="36"/>
  <c r="S23" i="36"/>
  <c r="AB34" i="35"/>
  <c r="U34" i="35"/>
  <c r="S12" i="34"/>
  <c r="AA12" i="34"/>
  <c r="C74" i="71"/>
  <c r="D74" i="71" s="1"/>
  <c r="D75" i="71"/>
  <c r="F66" i="71"/>
  <c r="Q67" i="71"/>
  <c r="T60" i="71"/>
  <c r="D60" i="71"/>
  <c r="E27" i="71"/>
  <c r="E26" i="71" s="1"/>
  <c r="V28" i="71"/>
  <c r="T36" i="71"/>
  <c r="D36" i="71"/>
  <c r="AB23" i="36"/>
  <c r="U23" i="36"/>
  <c r="AC36" i="35"/>
  <c r="W36" i="35"/>
  <c r="AA34" i="35"/>
  <c r="S34" i="35"/>
  <c r="C15" i="71"/>
  <c r="T16" i="71"/>
  <c r="BL5" i="3"/>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M18" i="83" l="1"/>
  <c r="B118" i="83" s="1"/>
  <c r="L18" i="83"/>
  <c r="E11" i="71"/>
  <c r="E10" i="71" s="1"/>
  <c r="E9" i="71" s="1"/>
  <c r="E8" i="71" s="1"/>
  <c r="E7" i="71" s="1"/>
  <c r="E6" i="71" s="1"/>
  <c r="E5" i="71" s="1"/>
  <c r="V12" i="71"/>
  <c r="E65" i="39"/>
  <c r="C14" i="71"/>
  <c r="D15" i="71"/>
  <c r="Q66" i="71"/>
  <c r="Q65" i="71"/>
  <c r="T32" i="71"/>
  <c r="D32" i="71"/>
  <c r="T40" i="71"/>
  <c r="D40" i="71"/>
  <c r="B11" i="71"/>
  <c r="B10" i="71" s="1"/>
  <c r="B9" i="71" s="1"/>
  <c r="B8" i="71" s="1"/>
  <c r="B7" i="71" s="1"/>
  <c r="B6" i="71" s="1"/>
  <c r="B5" i="71" s="1"/>
  <c r="S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C34" i="34" s="1"/>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F41" i="67"/>
  <c r="M19" i="83" l="1"/>
  <c r="C118" i="83" s="1"/>
  <c r="L19" i="83"/>
  <c r="H34" i="34"/>
  <c r="J34" i="34"/>
  <c r="F34" i="34"/>
  <c r="F69" i="67"/>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AC34" i="34" l="1"/>
  <c r="V49" i="34" s="1"/>
  <c r="I49" i="34" s="1"/>
  <c r="W34" i="34"/>
  <c r="AA34" i="34"/>
  <c r="R49" i="34" s="1"/>
  <c r="S34" i="34"/>
  <c r="AB34" i="34"/>
  <c r="T49" i="34" s="1"/>
  <c r="G49" i="34" s="1"/>
  <c r="U34" i="34"/>
  <c r="C25" i="11"/>
  <c r="C22" i="11" s="1"/>
  <c r="C31" i="11" s="1"/>
  <c r="C12" i="71"/>
  <c r="D13" i="7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G53" i="34" l="1"/>
  <c r="H53" i="34" s="1"/>
  <c r="G54" i="34"/>
  <c r="H54" i="34" s="1"/>
  <c r="E49" i="34"/>
  <c r="I54" i="34" s="1"/>
  <c r="J54" i="34" s="1"/>
  <c r="R50" i="34"/>
  <c r="I53" i="34"/>
  <c r="J53" i="34" s="1"/>
  <c r="E2" i="70"/>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49" i="34" l="1"/>
  <c r="C50" i="34"/>
  <c r="E54" i="34"/>
  <c r="F54" i="34" s="1"/>
  <c r="E53" i="34"/>
  <c r="F53" i="34" s="1"/>
  <c r="J7" i="2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l="1"/>
  <c r="V48" i="21" s="1"/>
  <c r="I48" i="21" s="1"/>
  <c r="J7" i="35"/>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7"/>
  <c r="D2" i="34"/>
  <c r="L51" i="15"/>
  <c r="D19" i="83"/>
  <c r="D2" i="36"/>
  <c r="D19" i="9"/>
  <c r="D102" i="83" l="1"/>
  <c r="D21" i="83"/>
  <c r="D102" i="9"/>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83"/>
  <c r="C19" i="9"/>
  <c r="AO6" i="1"/>
  <c r="AO8" i="1"/>
  <c r="D20" i="9"/>
  <c r="AO12" i="1"/>
  <c r="AO10" i="1"/>
  <c r="AO7" i="1"/>
  <c r="D20" i="83"/>
  <c r="AO9" i="1"/>
  <c r="AO11" i="1"/>
  <c r="C102" i="83" l="1"/>
  <c r="C21" i="83"/>
  <c r="D22" i="83"/>
  <c r="G19" i="83"/>
  <c r="G21" i="83" s="1"/>
  <c r="D103" i="83"/>
  <c r="C102" i="9"/>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3"/>
  <c r="C20" i="9"/>
  <c r="C103" i="83" l="1"/>
  <c r="G20" i="83"/>
  <c r="C32" i="83" s="1"/>
  <c r="I118" i="83" s="1"/>
  <c r="C35" i="83"/>
  <c r="G118" i="83" s="1"/>
  <c r="F118" i="83" s="1"/>
  <c r="F119" i="83"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83" l="1"/>
  <c r="E118" i="83"/>
  <c r="D118" i="83" s="1"/>
  <c r="D119" i="83" s="1"/>
  <c r="C105" i="83"/>
  <c r="H102" i="83"/>
  <c r="H118" i="83"/>
  <c r="C32" i="9"/>
  <c r="C35" i="9" s="1"/>
  <c r="C34" i="9" s="1"/>
  <c r="R24" i="31"/>
  <c r="I5" i="82" s="1"/>
  <c r="C42" i="40"/>
  <c r="C43" i="40"/>
  <c r="E47" i="40"/>
  <c r="F47" i="40" s="1"/>
  <c r="E46" i="40"/>
  <c r="F46" i="40" s="1"/>
  <c r="I47" i="40"/>
  <c r="J47" i="40" s="1"/>
  <c r="C104" i="83" l="1"/>
  <c r="H119" i="83"/>
  <c r="H101" i="83"/>
  <c r="E5" i="82"/>
  <c r="T24" i="31"/>
  <c r="S24" i="31"/>
  <c r="R38" i="31"/>
  <c r="R34" i="31"/>
  <c r="R30" i="31"/>
  <c r="R26" i="31"/>
  <c r="R37" i="31"/>
  <c r="R33" i="31"/>
  <c r="R29" i="31"/>
  <c r="R25" i="31"/>
  <c r="R36" i="31"/>
  <c r="R32" i="31"/>
  <c r="R28" i="31"/>
  <c r="R39" i="31"/>
  <c r="R35" i="31"/>
  <c r="R31" i="31"/>
  <c r="R27" i="31"/>
  <c r="I8" i="82" s="1"/>
  <c r="B58" i="40"/>
  <c r="F58" i="40" s="1"/>
  <c r="B54" i="40"/>
  <c r="F54" i="40" s="1"/>
  <c r="B53" i="40"/>
  <c r="F53" i="40" s="1"/>
  <c r="B59" i="40"/>
  <c r="F59" i="40" s="1"/>
  <c r="B52" i="40"/>
  <c r="F52" i="40" s="1"/>
  <c r="B56" i="40"/>
  <c r="F56" i="40" s="1"/>
  <c r="B60" i="40"/>
  <c r="F60" i="40" s="1"/>
  <c r="B57" i="40"/>
  <c r="F57" i="40" s="1"/>
  <c r="B51" i="40"/>
  <c r="F51" i="40" s="1"/>
  <c r="F61" i="40"/>
  <c r="B2" i="40" s="1"/>
  <c r="B3" i="40" s="1"/>
  <c r="H107" i="83" l="1"/>
  <c r="M48" i="83"/>
  <c r="T31" i="31"/>
  <c r="I12" i="82"/>
  <c r="T39" i="31"/>
  <c r="I20" i="82"/>
  <c r="T32" i="31"/>
  <c r="I13" i="82"/>
  <c r="T25" i="31"/>
  <c r="I6" i="82"/>
  <c r="T33" i="31"/>
  <c r="I14" i="82"/>
  <c r="T26" i="31"/>
  <c r="I7" i="82"/>
  <c r="T34" i="31"/>
  <c r="I15" i="82"/>
  <c r="T35" i="31"/>
  <c r="I16" i="82"/>
  <c r="T28" i="31"/>
  <c r="I9" i="82"/>
  <c r="T36" i="31"/>
  <c r="I17" i="82"/>
  <c r="T29" i="31"/>
  <c r="I10" i="82"/>
  <c r="T37" i="31"/>
  <c r="I18" i="82"/>
  <c r="T30" i="31"/>
  <c r="I11" i="82"/>
  <c r="T38" i="31"/>
  <c r="I19" i="82"/>
  <c r="E8" i="82"/>
  <c r="T27" i="31"/>
  <c r="S39" i="31"/>
  <c r="E20" i="82"/>
  <c r="D45" i="83" s="1"/>
  <c r="S32" i="31"/>
  <c r="E13" i="82"/>
  <c r="S33" i="31"/>
  <c r="E14" i="82"/>
  <c r="S35" i="31"/>
  <c r="E16" i="82"/>
  <c r="S28" i="31"/>
  <c r="E9" i="82"/>
  <c r="S36" i="31"/>
  <c r="E17" i="82"/>
  <c r="S29" i="31"/>
  <c r="E10" i="82"/>
  <c r="S37" i="31"/>
  <c r="E18" i="82"/>
  <c r="S30" i="31"/>
  <c r="E11" i="82"/>
  <c r="S38" i="31"/>
  <c r="E19" i="82"/>
  <c r="S31" i="31"/>
  <c r="E12" i="82"/>
  <c r="S25" i="31"/>
  <c r="E6" i="82"/>
  <c r="S26" i="31"/>
  <c r="E7" i="82"/>
  <c r="S34" i="31"/>
  <c r="E15" i="82"/>
  <c r="S27" i="31"/>
  <c r="C78" i="83" l="1"/>
  <c r="C73" i="83" s="1"/>
  <c r="C93" i="83"/>
  <c r="C86" i="83" s="1"/>
  <c r="C85" i="83"/>
  <c r="C72" i="83"/>
  <c r="C64" i="83"/>
  <c r="C63" i="83" s="1"/>
  <c r="C67" i="83" s="1"/>
  <c r="D55" i="83"/>
  <c r="M53" i="83" s="1"/>
  <c r="D53" i="83"/>
  <c r="D52" i="83"/>
  <c r="D122" i="83"/>
  <c r="D123" i="83" s="1"/>
  <c r="H108" i="83"/>
  <c r="M49" i="83"/>
  <c r="S22" i="31"/>
  <c r="R22" i="31" s="1"/>
  <c r="B6" i="74"/>
  <c r="D6" i="74" s="1"/>
  <c r="C95" i="83" l="1"/>
  <c r="C96" i="83" s="1"/>
  <c r="E96" i="83" s="1"/>
  <c r="E97" i="83" s="1"/>
  <c r="L66" i="83"/>
  <c r="M66" i="83" s="1"/>
  <c r="L65" i="83"/>
  <c r="M65" i="83" s="1"/>
  <c r="L64" i="83"/>
  <c r="M64" i="83" s="1"/>
  <c r="L68" i="83"/>
  <c r="M68" i="83" s="1"/>
  <c r="L67" i="83"/>
  <c r="M67" i="83" s="1"/>
  <c r="L63" i="83"/>
  <c r="M63" i="83" s="1"/>
  <c r="D59" i="83"/>
  <c r="M55" i="83" s="1"/>
  <c r="C68" i="83"/>
  <c r="D54" i="83" s="1"/>
  <c r="D48" i="83" s="1"/>
  <c r="M52" i="83" s="1"/>
  <c r="C79" i="83"/>
  <c r="B20" i="31"/>
  <c r="B21" i="31" s="1"/>
  <c r="C97" i="83" l="1"/>
  <c r="C80" i="83"/>
  <c r="E80" i="83" s="1"/>
  <c r="E81" i="83" s="1"/>
  <c r="M69" i="83"/>
  <c r="N69" i="83" s="1"/>
  <c r="D14" i="74"/>
  <c r="E14" i="74" s="1"/>
  <c r="C81" i="83" l="1"/>
  <c r="D58" i="83" s="1"/>
  <c r="D56" i="83" s="1"/>
  <c r="M54" i="83" s="1"/>
  <c r="N57" i="83" s="1"/>
  <c r="B5" i="74"/>
  <c r="D5" i="74" s="1"/>
  <c r="F14" i="74"/>
  <c r="N58" i="83" l="1"/>
  <c r="P57" i="83"/>
  <c r="N59" i="83"/>
  <c r="H111" i="83" l="1"/>
  <c r="D126" i="83" s="1"/>
  <c r="D127" i="83" s="1"/>
  <c r="N60" i="83"/>
  <c r="N61" i="83"/>
  <c r="H112" i="83" s="1"/>
  <c r="L5" i="82" l="1"/>
  <c r="F5" i="82"/>
  <c r="G5" i="82" s="1"/>
  <c r="H5" i="82" l="1"/>
  <c r="L10" i="82" l="1"/>
  <c r="F10" i="82"/>
  <c r="G10" i="82" s="1"/>
  <c r="H10" i="82" s="1"/>
  <c r="L19" i="82"/>
  <c r="F19" i="82"/>
  <c r="G19" i="82" s="1"/>
  <c r="H19" i="82" s="1"/>
  <c r="L7" i="82"/>
  <c r="F7" i="82"/>
  <c r="G7" i="82" s="1"/>
  <c r="H7" i="82" s="1"/>
  <c r="L6" i="82"/>
  <c r="F6" i="82"/>
  <c r="L18" i="82"/>
  <c r="F18" i="82"/>
  <c r="G18" i="82" s="1"/>
  <c r="H18" i="82" s="1"/>
  <c r="G6" i="82" l="1"/>
  <c r="L17" i="82"/>
  <c r="F17" i="82"/>
  <c r="G17" i="82" s="1"/>
  <c r="H17" i="82" s="1"/>
  <c r="L9" i="82"/>
  <c r="F9" i="82"/>
  <c r="G9" i="82" s="1"/>
  <c r="H9" i="82" s="1"/>
  <c r="L20" i="82"/>
  <c r="F20" i="82"/>
  <c r="G20" i="82" s="1"/>
  <c r="H20" i="82" s="1"/>
  <c r="L16" i="82"/>
  <c r="F16" i="82"/>
  <c r="G16" i="82" s="1"/>
  <c r="H16" i="82" s="1"/>
  <c r="L13" i="82"/>
  <c r="F13" i="82"/>
  <c r="G13" i="82" s="1"/>
  <c r="H13" i="82" s="1"/>
  <c r="L15" i="82"/>
  <c r="F15" i="82"/>
  <c r="G15" i="82" s="1"/>
  <c r="H15" i="82" s="1"/>
  <c r="L11" i="82"/>
  <c r="F11" i="82"/>
  <c r="G11" i="82" s="1"/>
  <c r="H11" i="82" s="1"/>
  <c r="L8" i="82"/>
  <c r="F8" i="82"/>
  <c r="G8" i="82" s="1"/>
  <c r="H8" i="82" s="1"/>
  <c r="F12" i="82"/>
  <c r="L12" i="82"/>
  <c r="L14" i="82"/>
  <c r="F14" i="82"/>
  <c r="G14" i="82" s="1"/>
  <c r="H14" i="82" s="1"/>
  <c r="E21" i="82"/>
  <c r="I21" i="82" s="1"/>
  <c r="F21" i="82" l="1"/>
  <c r="G12" i="82"/>
  <c r="H12" i="82" s="1"/>
  <c r="H6" i="82"/>
  <c r="G21" i="82"/>
  <c r="H21" i="82" s="1"/>
  <c r="G118" i="9" l="1"/>
  <c r="G4" i="52" s="1"/>
  <c r="B52" i="72" s="1"/>
  <c r="I118" i="9"/>
  <c r="I4" i="52" s="1"/>
  <c r="H118" i="9" l="1"/>
  <c r="F118" i="9"/>
  <c r="C105" i="9"/>
  <c r="H102" i="9"/>
  <c r="E118" i="9"/>
  <c r="E4" i="52" l="1"/>
  <c r="B48" i="72" s="1"/>
  <c r="D118" i="9"/>
  <c r="H4" i="52"/>
  <c r="H101" i="9"/>
  <c r="C104" i="9"/>
  <c r="H119" i="9"/>
  <c r="H5" i="52" s="1"/>
  <c r="C5" i="74"/>
  <c r="D7" i="53"/>
  <c r="B21" i="72" s="1"/>
  <c r="F4" i="52"/>
  <c r="B51" i="72" s="1"/>
  <c r="F119" i="9"/>
  <c r="F5" i="52" s="1"/>
  <c r="B53" i="72" s="1"/>
  <c r="M48" i="9" l="1"/>
  <c r="D5" i="53"/>
  <c r="H107" i="9"/>
  <c r="D45" i="9"/>
  <c r="D4" i="52"/>
  <c r="B47" i="72" s="1"/>
  <c r="D119" i="9"/>
  <c r="D5" i="52" s="1"/>
  <c r="B49" i="72" s="1"/>
  <c r="D122" i="9" l="1"/>
  <c r="H108" i="9"/>
  <c r="D13" i="53"/>
  <c r="M49" i="9"/>
  <c r="D53" i="9"/>
  <c r="C78" i="9"/>
  <c r="C73" i="9" s="1"/>
  <c r="C64" i="9"/>
  <c r="C63" i="9" s="1"/>
  <c r="C67" i="9" s="1"/>
  <c r="D55" i="9"/>
  <c r="M53" i="9" s="1"/>
  <c r="C85" i="9"/>
  <c r="D52" i="9"/>
  <c r="C93" i="9"/>
  <c r="C86" i="9" s="1"/>
  <c r="C72" i="9"/>
  <c r="C79" i="9" s="1"/>
  <c r="B20" i="72"/>
  <c r="D6" i="53"/>
  <c r="B22" i="72" s="1"/>
  <c r="C80" i="9" l="1"/>
  <c r="E80" i="9" s="1"/>
  <c r="E81" i="9" s="1"/>
  <c r="L64" i="9"/>
  <c r="M64" i="9" s="1"/>
  <c r="L68" i="9"/>
  <c r="M68" i="9" s="1"/>
  <c r="L65" i="9"/>
  <c r="M65" i="9" s="1"/>
  <c r="L66" i="9"/>
  <c r="M66" i="9" s="1"/>
  <c r="L63" i="9"/>
  <c r="M63" i="9" s="1"/>
  <c r="L67" i="9"/>
  <c r="M67" i="9" s="1"/>
  <c r="C6" i="74"/>
  <c r="D15" i="53"/>
  <c r="B31" i="72" s="1"/>
  <c r="C95" i="9"/>
  <c r="D59" i="9"/>
  <c r="M55" i="9" s="1"/>
  <c r="C68" i="9"/>
  <c r="D54" i="9" s="1"/>
  <c r="B30" i="72"/>
  <c r="D14" i="53"/>
  <c r="B32" i="72" s="1"/>
  <c r="D8" i="52"/>
  <c r="D123" i="9"/>
  <c r="D9" i="52" s="1"/>
  <c r="M69" i="9" l="1"/>
  <c r="N69" i="9" s="1"/>
  <c r="C81" i="9"/>
  <c r="C96" i="9"/>
  <c r="E96" i="9" s="1"/>
  <c r="E97" i="9" s="1"/>
  <c r="C97" i="9" l="1"/>
  <c r="D58" i="9" s="1"/>
  <c r="D56" i="9" s="1"/>
  <c r="M54" i="9" s="1"/>
  <c r="N57" i="9" s="1"/>
  <c r="P57" i="9" s="1"/>
  <c r="N58" i="9" l="1"/>
  <c r="N59" i="9"/>
  <c r="N60" i="9" s="1"/>
  <c r="H111" i="9" l="1"/>
  <c r="D126" i="9" s="1"/>
  <c r="N61" i="9"/>
  <c r="H112" i="9" s="1"/>
  <c r="C8" i="74" s="1"/>
  <c r="D19" i="53" l="1"/>
  <c r="D20" i="53" s="1"/>
  <c r="B40" i="72" s="1"/>
  <c r="D21" i="53"/>
  <c r="B39" i="72" s="1"/>
  <c r="D12" i="52"/>
  <c r="D127" i="9"/>
  <c r="D13" i="52" s="1"/>
  <c r="B38" i="7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<sst xmlns="http://schemas.openxmlformats.org/spreadsheetml/2006/main" count="8182" uniqueCount="3461">
  <si>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</si>
  <si>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</si>
  <si>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</si>
  <si>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</si>
  <si>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</si>
  <si>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</si>
  <si>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</si>
  <si>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</si>
  <si>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</si>
  <si>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</si>
  <si>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</si>
  <si>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</si>
  <si>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</si>
  <si>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</si>
  <si>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</si>
  <si>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</si>
  <si>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</si>
  <si>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</si>
  <si>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</si>
  <si>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</si>
  <si>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</si>
  <si>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</si>
  <si>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</si>
  <si>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</si>
  <si>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</si>
  <si>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</si>
  <si>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</si>
  <si>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</si>
  <si>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</si>
  <si>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</si>
  <si>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</si>
  <si>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</si>
  <si>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</si>
  <si>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</si>
  <si>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</si>
  <si>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</si>
  <si>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</si>
  <si>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</si>
  <si>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</si>
  <si>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</si>
  <si>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</si>
  <si>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</si>
  <si>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</si>
  <si>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</si>
  <si>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</si>
  <si>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</si>
  <si>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</si>
  <si>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</si>
  <si>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</si>
  <si>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</si>
  <si>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</si>
  <si>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</si>
  <si>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</si>
  <si>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</si>
  <si>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</si>
  <si>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</si>
  <si>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</si>
  <si>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</si>
  <si>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</si>
  <si>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</si>
  <si>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</si>
  <si>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</si>
  <si>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</si>
  <si>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</si>
  <si>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</si>
  <si>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</si>
  <si>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</si>
  <si>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</si>
  <si>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</si>
  <si>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</si>
  <si>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</si>
  <si>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</si>
  <si>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</si>
  <si>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</si>
  <si>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</si>
  <si>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</si>
  <si>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</si>
  <si>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</si>
  <si>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</si>
  <si>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</si>
  <si>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</si>
  <si>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</si>
  <si>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</si>
  <si>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</si>
  <si>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</si>
  <si>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</si>
  <si>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</si>
  <si>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</si>
  <si>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</si>
  <si>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</si>
  <si>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</si>
  <si>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</si>
  <si>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</si>
  <si>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</si>
  <si>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</si>
  <si>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</si>
  <si>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</si>
  <si>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</si>
  <si>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</si>
  <si>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</si>
  <si>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</si>
  <si>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</si>
  <si>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</si>
  <si>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</si>
  <si>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</si>
  <si>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</si>
  <si>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</si>
  <si>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</si>
  <si>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</si>
  <si>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</si>
  <si>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</si>
  <si>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</si>
  <si>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</si>
  <si>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</si>
  <si>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</si>
  <si>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</si>
  <si>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</si>
  <si>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</si>
  <si>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</si>
  <si>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</si>
  <si>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</si>
  <si>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</si>
  <si>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</si>
  <si>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</si>
  <si>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</si>
  <si>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</si>
  <si>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</si>
  <si>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</si>
  <si>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</si>
  <si>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</si>
  <si>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</si>
  <si>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</si>
  <si>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</si>
  <si>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</si>
  <si>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</si>
  <si>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</si>
  <si>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</si>
  <si>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</si>
  <si>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</si>
  <si>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</si>
  <si>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</si>
  <si>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</si>
  <si>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</si>
  <si>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</si>
  <si>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</si>
  <si>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</si>
  <si>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</si>
  <si>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</si>
  <si>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</si>
  <si>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</si>
  <si>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</si>
  <si>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</si>
  <si>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</si>
  <si>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</si>
  <si>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</si>
  <si>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</si>
  <si>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</si>
  <si>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</si>
  <si>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</si>
  <si>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</si>
  <si>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</si>
  <si>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</si>
  <si>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</si>
  <si>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</si>
  <si>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</si>
  <si>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</si>
  <si>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</si>
  <si>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</si>
  <si>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</si>
  <si>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</si>
  <si>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</si>
  <si>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</si>
  <si>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</si>
  <si>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</si>
  <si>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</si>
  <si>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</si>
  <si>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</si>
  <si>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</si>
  <si>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</si>
  <si>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</si>
  <si>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</si>
  <si>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</si>
  <si>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</si>
  <si>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</si>
  <si>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</si>
  <si>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</si>
  <si>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</si>
  <si>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</si>
  <si>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</si>
  <si>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</si>
  <si>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</si>
  <si>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</si>
  <si>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</si>
  <si>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</si>
  <si>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</si>
  <si>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</si>
  <si>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</si>
  <si>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</si>
  <si>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</si>
  <si>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</si>
  <si>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</si>
  <si>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</si>
  <si>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</si>
  <si>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</si>
  <si>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</si>
  <si>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</si>
  <si>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</si>
  <si>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</si>
  <si>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</si>
  <si>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</si>
  <si>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</si>
  <si>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</si>
  <si>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</si>
  <si>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</si>
  <si>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</si>
  <si>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</si>
  <si>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</si>
  <si>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</si>
  <si>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</si>
  <si>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</si>
  <si>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</si>
  <si>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</si>
  <si>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</si>
  <si>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</si>
  <si>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</si>
  <si>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</si>
  <si>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</si>
  <si>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</si>
  <si>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</si>
  <si>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</si>
  <si>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</si>
  <si>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</si>
  <si>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</si>
  <si>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</si>
  <si>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</si>
  <si>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</si>
  <si>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</si>
  <si>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</si>
  <si>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</si>
  <si>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</si>
  <si>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</si>
  <si>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</si>
  <si>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</si>
  <si>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</si>
  <si>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</si>
  <si>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</si>
  <si>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</si>
  <si>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</si>
  <si>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</si>
  <si>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</si>
  <si>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</si>
  <si>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</si>
  <si>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</si>
  <si>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</si>
  <si>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</si>
  <si>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</si>
  <si>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</si>
  <si>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</si>
  <si>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</si>
  <si>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</si>
  <si>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</si>
  <si>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</si>
  <si>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</si>
  <si>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</si>
  <si>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</si>
  <si>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</si>
  <si>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</si>
  <si>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</si>
  <si>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</si>
  <si>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</si>
  <si>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</si>
  <si>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</si>
  <si>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</si>
  <si>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</si>
  <si>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</si>
  <si>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</si>
  <si>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</si>
  <si>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</si>
  <si>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</si>
  <si>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</si>
  <si>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</si>
  <si>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</si>
  <si>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</si>
  <si>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</si>
  <si>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</si>
  <si>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</si>
  <si>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</si>
  <si>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</si>
  <si>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</si>
  <si>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</si>
  <si>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</si>
  <si>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</si>
  <si>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</si>
  <si>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</si>
  <si>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</si>
  <si>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</si>
  <si>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</si>
  <si>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</si>
  <si>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</si>
  <si>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</si>
  <si>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</si>
  <si>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</si>
  <si>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</si>
  <si>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</si>
  <si>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</si>
  <si>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</si>
  <si>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</si>
  <si>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</si>
  <si>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</si>
  <si>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</si>
  <si>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</si>
  <si>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</si>
  <si>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</si>
  <si>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</si>
  <si>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</si>
  <si>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</si>
  <si>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</si>
  <si>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</si>
  <si>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</si>
  <si>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</si>
  <si>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</si>
  <si>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</si>
  <si>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</si>
  <si>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</si>
  <si>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</si>
  <si>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</si>
  <si>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</si>
  <si>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</si>
  <si>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</si>
  <si>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</si>
  <si>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</si>
  <si>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</si>
  <si>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</si>
  <si>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</si>
  <si>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</si>
  <si>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</si>
  <si>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</si>
  <si>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</si>
  <si>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</si>
  <si>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</si>
  <si>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</si>
  <si>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</si>
  <si>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</si>
  <si>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</si>
  <si>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</si>
  <si>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</si>
  <si>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</si>
  <si>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</si>
  <si>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</si>
  <si>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</si>
  <si>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</si>
  <si>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</si>
  <si>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</si>
  <si>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</si>
  <si>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</si>
  <si>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</si>
  <si>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</si>
  <si>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</si>
  <si>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</si>
  <si>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</si>
  <si>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</si>
  <si>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</si>
  <si>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</si>
  <si>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</si>
  <si>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</si>
  <si>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</si>
  <si>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</si>
  <si>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</si>
  <si>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</si>
  <si>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</si>
  <si>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</si>
  <si>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</si>
  <si>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</si>
  <si>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</si>
  <si>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</si>
  <si>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</si>
  <si>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</si>
  <si>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</si>
  <si>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</si>
  <si>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</si>
  <si>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</si>
  <si>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</si>
  <si>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</si>
  <si>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</si>
  <si>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</si>
  <si>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</si>
  <si>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</si>
  <si>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</si>
  <si>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</si>
  <si>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</si>
  <si>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</si>
  <si>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</si>
  <si>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</si>
  <si>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</si>
  <si>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</si>
  <si>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</si>
  <si>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</si>
  <si>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</si>
  <si>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</si>
  <si>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</si>
  <si>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</si>
  <si>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</si>
  <si>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</si>
  <si>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</si>
  <si>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</si>
  <si>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</si>
  <si>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</si>
  <si>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</si>
  <si>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</si>
  <si>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</si>
  <si>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</si>
  <si>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</si>
  <si>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</si>
  <si>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</si>
  <si>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</si>
  <si>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</si>
  <si>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</si>
  <si>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</si>
  <si>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</si>
  <si>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</si>
  <si>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</si>
  <si>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</si>
  <si>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</si>
  <si>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</si>
  <si>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</si>
  <si>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</si>
  <si>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</si>
  <si>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</si>
  <si>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</si>
  <si>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</si>
  <si>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</si>
  <si>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</si>
  <si>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</si>
  <si>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</si>
  <si>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</si>
  <si>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</si>
  <si>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</si>
  <si>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</si>
  <si>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</si>
  <si>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</si>
  <si>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</si>
  <si>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</si>
  <si>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</si>
  <si>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</si>
  <si>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</si>
  <si>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</si>
  <si>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</si>
  <si>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</si>
  <si>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</si>
  <si>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</si>
  <si>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</si>
  <si>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</si>
  <si>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</si>
  <si>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</si>
  <si>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</si>
  <si>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</si>
  <si>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</si>
  <si>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</si>
  <si>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</si>
  <si>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</si>
  <si>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</si>
  <si>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</si>
  <si>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</si>
  <si>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</si>
  <si>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</si>
  <si>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</si>
  <si>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</si>
  <si>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</si>
  <si>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</si>
  <si>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</si>
  <si>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</si>
  <si>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</si>
  <si>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</si>
  <si>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</si>
  <si>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</si>
  <si>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</si>
  <si>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</si>
  <si>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</si>
  <si>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</si>
  <si>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</si>
  <si>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</si>
  <si>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</si>
  <si>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</si>
  <si>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</si>
  <si>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</si>
  <si>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</si>
  <si>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</si>
  <si>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</si>
  <si>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</si>
  <si>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</si>
  <si>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</si>
  <si>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</si>
  <si>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</si>
  <si>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</si>
  <si>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</si>
  <si>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</si>
  <si>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</si>
  <si>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</si>
  <si>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</si>
  <si>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</si>
  <si>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</si>
  <si>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</si>
  <si>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</si>
  <si>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</si>
  <si>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</si>
  <si>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</si>
  <si>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</si>
  <si>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</si>
  <si>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</si>
  <si>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</si>
  <si>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</si>
  <si>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</si>
  <si>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</si>
  <si>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</si>
  <si>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</si>
  <si>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</si>
  <si>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</si>
  <si>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</si>
  <si>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</si>
  <si>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</si>
  <si>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</si>
  <si>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</si>
  <si>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</si>
  <si>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</si>
  <si>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</si>
  <si>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</si>
  <si>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</si>
  <si>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</si>
  <si>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</si>
  <si>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</si>
  <si>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</si>
  <si>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</si>
  <si>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</si>
  <si>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</si>
  <si>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</si>
  <si>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</si>
  <si>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</si>
  <si>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</si>
  <si>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</si>
  <si>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</si>
  <si>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</si>
  <si>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</si>
  <si>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</si>
  <si>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</si>
  <si>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</si>
  <si>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</si>
  <si>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</si>
  <si>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</si>
  <si>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</si>
  <si>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</si>
  <si>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</si>
  <si>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</si>
  <si>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</si>
  <si>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</si>
  <si>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</si>
  <si>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</si>
  <si>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</si>
  <si>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</si>
  <si>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</si>
  <si>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</si>
  <si>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</si>
  <si>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</si>
  <si>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</si>
  <si>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</si>
  <si>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</si>
  <si>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</si>
  <si>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</si>
  <si>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</si>
  <si>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</si>
  <si>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</si>
  <si>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</si>
  <si>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</si>
  <si>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</si>
  <si>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</si>
  <si>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</si>
  <si>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</si>
  <si>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</si>
  <si>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</si>
  <si>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</si>
  <si>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</si>
  <si>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</si>
  <si>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</si>
  <si>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</si>
  <si>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</si>
  <si>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</si>
  <si>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</si>
  <si>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</si>
  <si>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</si>
  <si>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</si>
  <si>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</si>
  <si>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</si>
  <si>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</si>
  <si>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</si>
  <si>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</si>
  <si>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</si>
  <si>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</si>
  <si>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</si>
  <si>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</si>
  <si>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</si>
  <si>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</si>
  <si>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</si>
  <si>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</si>
  <si>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</si>
  <si>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</si>
  <si>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</si>
  <si>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</si>
  <si>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</si>
  <si>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</si>
  <si>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</si>
  <si>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</si>
  <si>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</si>
  <si>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</si>
  <si>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</si>
  <si>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</si>
  <si>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</si>
  <si>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</si>
  <si>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</si>
  <si>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</si>
  <si>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</si>
  <si>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</si>
  <si>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</si>
  <si>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</si>
  <si>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</si>
  <si>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</si>
  <si>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</si>
  <si>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</si>
  <si>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</si>
  <si>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</si>
  <si>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</si>
  <si>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</si>
  <si>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</si>
  <si>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</si>
  <si>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</si>
  <si>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</si>
  <si>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</si>
  <si>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</si>
  <si>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</si>
  <si>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</si>
  <si>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</si>
  <si>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</si>
  <si>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</si>
  <si>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</si>
  <si>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</si>
  <si>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</si>
  <si>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</si>
  <si>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</si>
  <si>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</si>
  <si>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</si>
  <si>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</si>
  <si>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</si>
  <si>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</si>
  <si>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</si>
  <si>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</si>
  <si>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</si>
  <si>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</si>
  <si>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</si>
  <si>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</si>
  <si>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</si>
  <si>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</si>
  <si>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</si>
  <si>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</si>
  <si>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</si>
  <si>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</si>
  <si>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</si>
  <si>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</si>
  <si>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</si>
  <si>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</si>
  <si>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</si>
  <si>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</si>
  <si>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</si>
  <si>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</si>
  <si>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</si>
  <si>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</si>
  <si>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</si>
  <si>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</si>
  <si>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</si>
  <si>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</si>
  <si>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</si>
  <si>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</si>
  <si>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</si>
  <si>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</si>
  <si>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</si>
  <si>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</si>
  <si>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</si>
  <si>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</si>
  <si>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</si>
  <si>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</si>
  <si>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</si>
  <si>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</si>
  <si>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</si>
  <si>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</si>
  <si>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</si>
  <si>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</si>
  <si>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</si>
  <si>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</si>
  <si>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</si>
  <si>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</si>
  <si>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</si>
  <si>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</si>
  <si>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</si>
  <si>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</si>
  <si>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</si>
  <si>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</si>
  <si>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</si>
  <si>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</si>
  <si>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</si>
  <si>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</si>
  <si>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</si>
  <si>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</si>
  <si>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</si>
  <si>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</si>
  <si>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</si>
  <si>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</si>
  <si>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</si>
  <si>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</si>
  <si>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</si>
  <si>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</si>
  <si>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</si>
  <si>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</si>
  <si>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</si>
  <si>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</si>
  <si>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</si>
  <si>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</si>
  <si>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</si>
  <si>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</si>
  <si>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</si>
  <si>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</si>
  <si>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</si>
  <si>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</si>
  <si>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</si>
  <si>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</si>
  <si>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</si>
  <si>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</si>
  <si>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</si>
  <si>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</si>
  <si>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</si>
  <si>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</si>
  <si>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</si>
  <si>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</si>
  <si>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</si>
  <si>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</si>
  <si>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</si>
  <si>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</si>
  <si>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</si>
  <si>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</si>
  <si>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</si>
  <si>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</si>
  <si>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</si>
  <si>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</si>
  <si>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</si>
  <si>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</si>
  <si>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</si>
  <si>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</si>
  <si>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</si>
  <si>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</si>
  <si>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</si>
  <si>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</si>
  <si>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</si>
  <si>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</si>
  <si>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</si>
  <si>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</si>
  <si>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</si>
  <si>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</si>
  <si>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</si>
  <si>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</si>
  <si>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</si>
  <si>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</si>
  <si>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</si>
  <si>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</si>
  <si>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</si>
  <si>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</si>
  <si>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</si>
  <si>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</si>
  <si>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</si>
  <si>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</si>
  <si>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</si>
  <si>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</si>
  <si>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</si>
  <si>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</si>
  <si>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</si>
  <si>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</si>
  <si>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</si>
  <si>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</si>
  <si>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</si>
  <si>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</si>
  <si>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</si>
  <si>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</si>
  <si>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</si>
  <si>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</si>
  <si>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</si>
  <si>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</si>
  <si>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</si>
  <si>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</si>
  <si>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</si>
  <si>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</si>
  <si>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</si>
  <si>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</si>
  <si>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</si>
  <si>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</si>
  <si>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</si>
  <si>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</si>
  <si>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</si>
  <si>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</si>
  <si>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</si>
  <si>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</si>
  <si>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</si>
  <si>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</si>
  <si>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</si>
  <si>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</si>
  <si>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</si>
  <si>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</si>
  <si>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</si>
  <si>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</si>
  <si>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</si>
  <si>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</si>
  <si>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</si>
  <si>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</si>
  <si>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</si>
  <si>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</si>
  <si>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</si>
  <si>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</si>
  <si>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</si>
  <si>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</si>
  <si>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</si>
  <si>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</si>
  <si>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</si>
  <si>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</si>
  <si>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</si>
  <si>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</si>
  <si>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</si>
  <si>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</si>
  <si>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</si>
  <si>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</si>
  <si>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</si>
  <si>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</si>
  <si>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</si>
  <si>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</si>
  <si>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</si>
  <si>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</si>
  <si>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</si>
  <si>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</si>
  <si>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</si>
  <si>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</si>
  <si>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</si>
  <si>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</si>
  <si>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</si>
  <si>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</si>
  <si>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</si>
  <si>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</si>
  <si>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</si>
  <si>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</si>
  <si>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</si>
  <si>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</si>
  <si>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</si>
  <si>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</si>
  <si>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</si>
  <si>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</si>
  <si>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</si>
  <si>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</si>
  <si>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</si>
  <si>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</si>
  <si>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</si>
  <si>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</si>
  <si>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</si>
  <si>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</si>
  <si>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</si>
  <si>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</si>
  <si>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</si>
  <si>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</si>
  <si>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</si>
  <si>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</si>
  <si>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</si>
  <si>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</si>
  <si>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</si>
  <si>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</si>
  <si>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</si>
  <si>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</si>
  <si>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</si>
  <si>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</si>
  <si>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</si>
  <si>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</si>
  <si>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</si>
  <si>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</si>
  <si>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</si>
  <si>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</si>
  <si>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</si>
  <si>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</si>
  <si>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</si>
  <si>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</si>
  <si>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</si>
  <si>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</si>
  <si>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</si>
  <si>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</si>
  <si>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</si>
  <si>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</si>
  <si>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</si>
  <si>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</si>
  <si>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</si>
  <si>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</si>
  <si>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</si>
  <si>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</si>
  <si>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</si>
  <si>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</si>
  <si>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</si>
  <si>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</si>
  <si>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</si>
  <si>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</si>
  <si>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</si>
  <si>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</si>
  <si>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</si>
  <si>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</si>
  <si>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</si>
  <si>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</si>
  <si>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</si>
  <si>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</si>
  <si>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</si>
  <si>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</si>
  <si>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</si>
  <si>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</si>
  <si>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</si>
  <si>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</si>
  <si>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</si>
  <si>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</si>
  <si>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</si>
  <si>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</si>
  <si>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</si>
  <si>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</si>
  <si>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</si>
  <si>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</si>
  <si>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</si>
  <si>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</si>
  <si>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</si>
  <si>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</si>
  <si>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</si>
  <si>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</si>
  <si>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</si>
  <si>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</si>
  <si>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</si>
  <si>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</si>
  <si>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</si>
  <si>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</si>
  <si>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</si>
  <si>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</si>
  <si>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</si>
  <si>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</si>
  <si>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</si>
  <si>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</si>
  <si>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</si>
  <si>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</si>
  <si>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</si>
  <si>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</si>
  <si>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</si>
  <si>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</si>
  <si>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</si>
  <si>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</si>
  <si>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</si>
  <si>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</si>
  <si>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</si>
  <si>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</si>
  <si>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</si>
  <si>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</si>
  <si>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</si>
  <si>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</si>
  <si>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</si>
  <si>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</si>
  <si>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</si>
  <si>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</si>
  <si>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</si>
  <si>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</si>
  <si>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</si>
  <si>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</si>
  <si>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</si>
  <si>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</si>
  <si>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</si>
  <si>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</si>
  <si>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</si>
  <si>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</si>
  <si>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</si>
  <si>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</si>
  <si>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</si>
  <si>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</si>
  <si>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</si>
  <si>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</si>
  <si>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</si>
  <si>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</si>
  <si>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</si>
  <si>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</si>
  <si>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</si>
  <si>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</si>
  <si>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</si>
  <si>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</si>
  <si>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</si>
  <si>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</si>
  <si>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</si>
  <si>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</si>
  <si>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</si>
  <si>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</si>
  <si>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</si>
  <si>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</si>
  <si>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</si>
  <si>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</si>
  <si>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</si>
  <si>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</si>
  <si>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</si>
  <si>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</si>
  <si>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</si>
  <si>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</si>
  <si>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</si>
  <si>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</si>
  <si>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</si>
  <si>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</si>
  <si>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</si>
  <si>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</si>
  <si>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</si>
  <si>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</si>
  <si>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</si>
  <si>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</si>
  <si>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</si>
  <si>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</si>
  <si>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</si>
  <si>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</si>
  <si>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</si>
  <si>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</si>
  <si>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</si>
  <si>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</si>
  <si>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</si>
  <si>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</si>
  <si>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</si>
  <si>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</si>
  <si>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</si>
  <si>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</si>
  <si>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</si>
  <si>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</si>
  <si>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</si>
  <si>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</si>
  <si>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</si>
  <si>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</si>
  <si>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</si>
  <si>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</si>
  <si>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</si>
  <si>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</si>
  <si>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</si>
  <si>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</si>
  <si>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</si>
  <si>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</si>
  <si>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</si>
  <si>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</si>
  <si>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</si>
  <si>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</si>
  <si>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</si>
  <si>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</si>
  <si>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</si>
  <si>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</si>
  <si>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</si>
  <si>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</si>
  <si>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</si>
  <si>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</si>
  <si>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</si>
  <si>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</si>
  <si>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</si>
  <si>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</si>
  <si>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</si>
  <si>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</si>
  <si>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</si>
  <si>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</si>
  <si>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</si>
  <si>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</si>
  <si>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</si>
  <si>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</si>
  <si>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</si>
  <si>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</si>
  <si>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</si>
  <si>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</si>
  <si>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</si>
  <si>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</si>
  <si>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</si>
  <si>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</si>
  <si>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</si>
  <si>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</si>
  <si>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</si>
  <si>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</si>
  <si>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</si>
  <si>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</si>
  <si>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</si>
  <si>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</si>
  <si>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</si>
  <si>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</si>
  <si>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</si>
  <si>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</si>
  <si>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</si>
  <si>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</si>
  <si>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</si>
  <si>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</si>
  <si>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</si>
  <si>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</si>
  <si>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</si>
  <si>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</si>
  <si>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</si>
  <si>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</si>
  <si>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</si>
  <si>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</si>
  <si>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</si>
  <si>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</si>
  <si>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</si>
  <si>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</si>
  <si>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</si>
  <si>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</si>
  <si>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</si>
  <si>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</si>
  <si>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</si>
  <si>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</si>
  <si>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</si>
  <si>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</si>
  <si>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</si>
  <si>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</si>
  <si>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</si>
  <si>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</si>
  <si>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</si>
  <si>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</si>
  <si>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</si>
  <si>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</si>
  <si>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</si>
  <si>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</si>
  <si>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</si>
  <si>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</si>
  <si>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</si>
  <si>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</si>
  <si>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</si>
  <si>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</si>
  <si>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</si>
  <si>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</si>
  <si>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</si>
  <si>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</si>
  <si>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</si>
  <si>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</si>
  <si>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</si>
  <si>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</si>
  <si>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</si>
  <si>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</si>
  <si>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</si>
  <si>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</si>
  <si>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</si>
  <si>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</si>
  <si>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</si>
  <si>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</si>
  <si>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</si>
  <si>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</si>
  <si>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</si>
  <si>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</si>
  <si>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</si>
  <si>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</si>
  <si>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</si>
  <si>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</si>
  <si>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</si>
  <si>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</si>
  <si>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</si>
  <si>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</si>
  <si>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</si>
  <si>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</si>
  <si>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</si>
  <si>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</si>
  <si>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</si>
  <si>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</si>
  <si>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</si>
  <si>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</si>
  <si>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</si>
  <si>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</si>
  <si>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</si>
  <si>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</si>
  <si>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</si>
  <si>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</si>
  <si>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</si>
  <si>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</si>
  <si>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</si>
  <si>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</si>
  <si>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</si>
  <si>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</si>
  <si>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</si>
  <si>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</si>
  <si>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</si>
  <si>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</si>
  <si>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</si>
  <si>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</si>
  <si>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</si>
  <si>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</si>
  <si>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</si>
  <si>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</si>
  <si>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</si>
  <si>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</si>
  <si>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</si>
  <si>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</si>
  <si>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</si>
  <si>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</si>
  <si>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</si>
  <si>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</si>
  <si>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</si>
  <si>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</si>
  <si>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</si>
  <si>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</si>
  <si>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</si>
  <si>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</si>
  <si>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</si>
  <si>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</si>
  <si>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</si>
  <si>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</si>
  <si>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</si>
  <si>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</si>
  <si>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</si>
  <si>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</si>
  <si>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</si>
  <si>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</si>
  <si>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</si>
  <si>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</si>
  <si>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</si>
  <si>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</si>
  <si>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</si>
  <si>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</si>
  <si>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</si>
  <si>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</si>
  <si>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</si>
  <si>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</si>
  <si>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</si>
  <si>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</si>
  <si>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</si>
  <si>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</si>
  <si>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</si>
  <si>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</si>
  <si>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</si>
  <si>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</si>
  <si>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</si>
  <si>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</si>
  <si>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</si>
  <si>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</si>
  <si>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</si>
  <si>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</si>
  <si>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</si>
  <si>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</si>
  <si>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</si>
  <si>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</si>
  <si>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</si>
  <si>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</si>
  <si>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</si>
  <si>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</si>
  <si>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</si>
  <si>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</si>
  <si>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</si>
  <si>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</si>
  <si>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</si>
  <si>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</si>
  <si>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</si>
  <si>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</si>
  <si>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</si>
  <si>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</si>
  <si>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</si>
  <si>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</si>
  <si>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</si>
  <si>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</si>
  <si>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</si>
  <si>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</si>
  <si>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</si>
  <si>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</si>
  <si>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</si>
  <si>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</si>
  <si>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</si>
  <si>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</si>
  <si>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</si>
  <si>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</si>
  <si>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</si>
  <si>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</si>
  <si>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</si>
  <si>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</si>
  <si>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</si>
  <si>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</si>
  <si>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</si>
  <si>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</si>
  <si>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</si>
  <si>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</si>
  <si>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</si>
  <si>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</si>
  <si>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</si>
  <si>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</si>
  <si>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</si>
  <si>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</si>
  <si>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</si>
  <si>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</si>
  <si>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</si>
  <si>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</si>
  <si>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</si>
  <si>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</si>
  <si>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</si>
  <si>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</si>
  <si>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</si>
  <si>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</si>
  <si>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</si>
  <si>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</si>
  <si>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</si>
  <si>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</si>
  <si>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</si>
  <si>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</si>
  <si>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</si>
  <si>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</si>
  <si>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</si>
  <si>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</si>
  <si>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</si>
  <si>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</si>
  <si>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</si>
  <si>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</si>
  <si>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</si>
  <si>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</si>
  <si>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</si>
  <si>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</si>
  <si>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</si>
  <si>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</si>
  <si>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</si>
  <si>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</si>
  <si>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</si>
  <si>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</si>
  <si>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</si>
  <si>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</si>
  <si>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</si>
  <si>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</si>
  <si>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</si>
  <si>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</si>
  <si>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</si>
  <si>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</si>
  <si>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</si>
  <si>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</si>
  <si>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</si>
  <si>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</si>
  <si>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</si>
  <si>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</si>
  <si>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</si>
  <si>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</si>
  <si>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</si>
  <si>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</si>
  <si>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</si>
  <si>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</si>
  <si>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</si>
  <si>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</si>
  <si>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</si>
  <si>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</si>
  <si>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</si>
  <si>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</si>
  <si>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</si>
  <si>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</si>
  <si>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</si>
  <si>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</si>
  <si>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</si>
  <si>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</si>
  <si>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</si>
  <si>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</si>
  <si>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</si>
  <si>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</si>
  <si>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</si>
  <si>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</si>
  <si>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</si>
  <si>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</si>
  <si>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</si>
  <si>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</si>
  <si>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</si>
  <si>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</si>
  <si>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</si>
  <si>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</si>
  <si>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</si>
  <si>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</si>
  <si>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</si>
  <si>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</si>
  <si>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</si>
  <si>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</si>
  <si>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</si>
  <si>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</si>
  <si>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</si>
  <si>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</si>
  <si>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</si>
  <si>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</si>
  <si>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</si>
  <si>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</si>
  <si>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</si>
  <si>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</si>
  <si>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</si>
  <si>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</si>
  <si>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</si>
  <si>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</si>
  <si>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</si>
  <si>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</si>
  <si>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</si>
  <si>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</si>
  <si>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</si>
  <si>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</si>
  <si>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</si>
  <si>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</si>
  <si>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</si>
  <si>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</si>
  <si>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</si>
  <si>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</si>
  <si>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</si>
  <si>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</si>
  <si>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</si>
  <si>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</si>
  <si>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</si>
  <si>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</si>
  <si>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</si>
  <si>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</si>
  <si>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</si>
  <si>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</si>
  <si>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</si>
  <si>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</si>
  <si>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</si>
  <si>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</si>
  <si>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</si>
  <si>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</si>
  <si>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</si>
  <si>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</si>
  <si>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</si>
  <si>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</si>
  <si>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</si>
  <si>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</si>
  <si>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</si>
  <si>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</si>
  <si>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</si>
  <si>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</si>
  <si>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</si>
  <si>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</si>
  <si>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</si>
  <si>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</si>
  <si>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</si>
  <si>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</si>
  <si>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</si>
  <si>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</si>
  <si>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</si>
  <si>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</si>
  <si>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</si>
  <si>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</si>
  <si>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</si>
  <si>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</si>
  <si>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</si>
  <si>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</si>
  <si>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</si>
  <si>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</si>
  <si>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</si>
  <si>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</si>
  <si>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</si>
  <si>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</si>
  <si>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</si>
  <si>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</si>
  <si>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</si>
  <si>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</si>
  <si>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</si>
  <si>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</si>
  <si>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</si>
  <si>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</si>
  <si>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</si>
  <si>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</si>
  <si>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</si>
  <si>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</si>
  <si>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</si>
  <si>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</si>
  <si>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</si>
  <si>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</si>
  <si>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</si>
  <si>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</si>
  <si>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</si>
  <si>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</si>
  <si>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</si>
  <si>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</si>
  <si>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</si>
  <si>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</si>
  <si>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</si>
  <si>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</si>
  <si>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</si>
  <si>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</si>
  <si>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</si>
  <si>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</si>
  <si>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</si>
  <si>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</si>
  <si>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</si>
  <si>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</si>
  <si>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</si>
  <si>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</si>
  <si>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</si>
  <si>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</si>
  <si>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</si>
  <si>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</si>
  <si>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</si>
  <si>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</si>
  <si>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</si>
  <si>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</si>
  <si>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</si>
  <si>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</si>
  <si>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</si>
  <si>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</si>
  <si>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</si>
  <si>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</si>
  <si>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</si>
  <si>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</si>
  <si>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</si>
  <si>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</si>
  <si>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</si>
  <si>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</si>
  <si>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</si>
  <si>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</si>
  <si>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</si>
  <si>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</si>
  <si>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</si>
  <si>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</si>
  <si>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</si>
  <si>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</si>
  <si>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</si>
  <si>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</si>
  <si>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</si>
  <si>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</si>
  <si>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</si>
  <si>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</si>
  <si>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</si>
  <si>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</si>
  <si>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</si>
  <si>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</si>
  <si>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</si>
  <si>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</si>
  <si>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</si>
  <si>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</si>
  <si>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</si>
  <si>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</si>
  <si>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</si>
  <si>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</si>
  <si>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</si>
  <si>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</si>
  <si>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</si>
  <si>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</si>
  <si>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</si>
  <si>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</si>
  <si>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</si>
  <si>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</si>
  <si>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</si>
  <si>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</si>
  <si>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</si>
  <si>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</si>
  <si>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</si>
  <si>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</si>
  <si>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</si>
  <si>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</si>
  <si>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</si>
  <si>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</si>
  <si>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</si>
  <si>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</si>
  <si>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</si>
  <si>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</si>
  <si>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</si>
  <si>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</si>
  <si>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</si>
  <si>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</si>
  <si>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</si>
  <si>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</si>
  <si>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</si>
  <si>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</si>
  <si>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</si>
  <si>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</si>
  <si>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</si>
  <si>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</si>
  <si>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</si>
  <si>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</si>
  <si>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</si>
  <si>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</si>
  <si>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</si>
  <si>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</si>
  <si>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</si>
  <si>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</si>
  <si>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</si>
  <si>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</si>
  <si>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</si>
  <si>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</si>
  <si>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</si>
  <si>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</si>
  <si>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</si>
  <si>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</si>
  <si>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</si>
  <si>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</si>
  <si>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</si>
  <si>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</si>
  <si>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</si>
  <si>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</si>
  <si>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</si>
  <si>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</si>
  <si>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</si>
  <si>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</si>
  <si>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</si>
  <si>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</si>
  <si>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</si>
  <si>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</si>
  <si>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</si>
  <si>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</si>
  <si>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</si>
  <si>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</si>
  <si>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</si>
  <si>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</si>
  <si>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</si>
  <si>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</si>
  <si>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</si>
  <si>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</si>
  <si>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</si>
  <si>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</si>
  <si>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</si>
  <si>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</si>
  <si>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</si>
  <si>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</si>
  <si>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</si>
  <si>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</si>
  <si>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</si>
  <si>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</si>
  <si>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</si>
  <si>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</si>
  <si>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</si>
  <si>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</si>
  <si>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</si>
  <si>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</si>
  <si>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</si>
  <si>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</si>
  <si>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</si>
  <si>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</si>
  <si>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</si>
  <si>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</si>
  <si>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</si>
  <si>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</si>
  <si>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</si>
  <si>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</si>
  <si>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</si>
  <si>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</si>
  <si>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</si>
  <si>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</si>
  <si>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</si>
  <si>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</si>
  <si>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</si>
  <si>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</si>
  <si>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</si>
  <si>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</si>
  <si>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</si>
  <si>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</si>
  <si>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</si>
  <si>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</si>
  <si>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</si>
  <si>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</si>
  <si>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</si>
  <si>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</si>
  <si>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</si>
  <si>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</si>
  <si>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</si>
  <si>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</si>
  <si>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</si>
  <si>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</si>
  <si>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</si>
  <si>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</si>
  <si>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</si>
  <si>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</si>
  <si>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</si>
  <si>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</si>
  <si>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</si>
  <si>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</si>
  <si>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</si>
  <si>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</si>
  <si>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</si>
  <si>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</si>
  <si>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</si>
  <si>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</si>
  <si>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</si>
  <si>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</si>
  <si>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</si>
  <si>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</si>
  <si>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</si>
  <si>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</si>
  <si>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</si>
  <si>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</si>
  <si>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</si>
  <si>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</si>
  <si>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</si>
  <si>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</si>
  <si>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</si>
  <si>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</si>
  <si>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</si>
  <si>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</si>
  <si>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</si>
  <si>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</si>
  <si>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</si>
  <si>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</si>
  <si>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</si>
  <si>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</si>
  <si>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</si>
  <si>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</si>
  <si>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</si>
  <si>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</si>
  <si>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</si>
  <si>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</si>
  <si>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</si>
  <si>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</si>
  <si>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</si>
  <si>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</si>
  <si>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</si>
  <si>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</si>
  <si>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</si>
  <si>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</si>
  <si>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</si>
  <si>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</si>
  <si>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</si>
  <si>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</si>
  <si>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</si>
  <si>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</si>
  <si>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</si>
  <si>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</si>
  <si>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</si>
  <si>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</si>
  <si>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</si>
  <si>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</si>
  <si>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</si>
  <si>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</si>
  <si>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</si>
  <si>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</si>
  <si>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</si>
  <si>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</si>
  <si>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</si>
  <si>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</si>
  <si>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</si>
  <si>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</si>
  <si>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</si>
  <si>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</si>
  <si>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</si>
  <si>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</si>
  <si>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</si>
  <si>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</si>
  <si>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</si>
  <si>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</si>
  <si>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</si>
  <si>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</si>
  <si>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</si>
  <si>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</si>
  <si>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</si>
  <si>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</si>
  <si>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</si>
  <si>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</si>
  <si>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</si>
  <si>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</si>
  <si>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</si>
  <si>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</si>
  <si>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</si>
  <si>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</si>
  <si>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</si>
  <si>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</si>
  <si>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</si>
  <si>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</si>
  <si>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</si>
  <si>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</si>
  <si>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</si>
  <si>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</si>
  <si>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</si>
  <si>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</si>
  <si>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</si>
  <si>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</si>
  <si>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</si>
  <si>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</si>
  <si>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</si>
  <si>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</si>
  <si>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</si>
  <si>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</si>
  <si>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</si>
  <si>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</si>
  <si>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</si>
  <si>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</si>
  <si>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</si>
  <si>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</si>
  <si>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</si>
  <si>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</si>
  <si>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</si>
  <si>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</si>
  <si>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</si>
  <si>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</si>
  <si>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</si>
  <si>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</si>
  <si>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</si>
  <si>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</si>
  <si>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</si>
  <si>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</si>
  <si>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</si>
  <si>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</si>
  <si>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</si>
  <si>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</si>
  <si>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</si>
  <si>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</si>
  <si>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</si>
  <si>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</si>
  <si>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</si>
  <si>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</si>
  <si>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</si>
  <si>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</si>
  <si>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</si>
  <si>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</si>
  <si>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</si>
  <si>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</si>
  <si>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</si>
  <si>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</si>
  <si>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</si>
  <si>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</si>
  <si>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</si>
  <si>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</si>
  <si>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</si>
  <si>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</si>
  <si>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</si>
  <si>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</si>
  <si>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</si>
  <si>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</si>
  <si>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</si>
  <si>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</si>
  <si>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</si>
  <si>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</si>
  <si>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</si>
  <si>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</si>
  <si>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</si>
  <si>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</si>
  <si>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</si>
  <si>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</si>
  <si>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</si>
  <si>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</si>
  <si>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</si>
  <si>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</si>
  <si>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</si>
  <si>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</si>
  <si>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</si>
  <si>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</si>
  <si>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</si>
  <si>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</si>
  <si>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</si>
  <si>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</si>
  <si>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</si>
  <si>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</si>
  <si>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</si>
  <si>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</si>
  <si>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</si>
  <si>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</si>
  <si>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</si>
  <si>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</si>
  <si>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</si>
  <si>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</si>
  <si>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</si>
  <si>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</si>
  <si>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</si>
  <si>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</si>
  <si>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</si>
  <si>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</si>
  <si>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</si>
  <si>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</si>
  <si>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</si>
  <si>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</si>
  <si>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</si>
  <si>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</si>
  <si>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</si>
  <si>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</si>
  <si>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</si>
  <si>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</si>
  <si>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</si>
  <si>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</si>
  <si>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</si>
  <si>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</si>
  <si>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</si>
  <si>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</si>
  <si>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</si>
  <si>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</si>
  <si>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</si>
  <si>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</si>
  <si>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</si>
  <si>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</si>
  <si>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</si>
  <si>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</si>
  <si>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</si>
  <si>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</si>
  <si>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</si>
  <si>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</si>
  <si>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</si>
  <si>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</si>
  <si>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</si>
  <si>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</si>
  <si>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</si>
  <si>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</si>
  <si>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</si>
  <si>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</si>
  <si>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</si>
  <si>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</si>
  <si>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</si>
  <si>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</si>
  <si>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</si>
  <si>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</si>
  <si>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</si>
  <si>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</si>
  <si>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</si>
  <si>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</si>
  <si>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</si>
  <si>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</si>
  <si>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</si>
  <si>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</si>
  <si>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</si>
  <si>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</si>
  <si>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</si>
  <si>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</si>
  <si>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</si>
  <si>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</si>
  <si>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</si>
  <si>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</si>
  <si>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</si>
  <si>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</si>
  <si>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</si>
  <si>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</si>
  <si>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</si>
  <si>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</si>
  <si>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</si>
  <si>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</si>
  <si>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</si>
  <si>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</si>
  <si>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</si>
  <si>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</si>
  <si>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</si>
  <si>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</si>
  <si>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</si>
  <si>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</si>
  <si>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</si>
  <si>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</si>
  <si>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</si>
  <si>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</si>
  <si>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</si>
  <si>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</si>
  <si>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</si>
  <si>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</si>
  <si>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</si>
  <si>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</si>
  <si>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</si>
  <si>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</si>
  <si>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</si>
  <si>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</si>
  <si>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</si>
  <si>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</si>
  <si>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</si>
  <si>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</si>
  <si>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</si>
  <si>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</si>
  <si>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</si>
  <si>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</si>
  <si>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</si>
  <si>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</si>
  <si>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</si>
  <si>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</si>
  <si>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</si>
  <si>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</si>
  <si>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</si>
  <si>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</si>
  <si>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</si>
  <si>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</si>
  <si>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</si>
  <si>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</si>
  <si>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</si>
  <si>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</si>
  <si>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</si>
  <si>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</si>
  <si>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</si>
  <si>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</si>
  <si>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</si>
  <si>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</si>
  <si>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</si>
  <si>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</si>
  <si>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</si>
  <si>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</si>
  <si>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</si>
  <si>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</si>
  <si>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</si>
  <si>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</si>
  <si>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</si>
  <si>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</si>
  <si>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</si>
  <si>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</si>
  <si>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</si>
  <si>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</si>
  <si>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</si>
  <si>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</si>
  <si>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</si>
  <si>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</si>
  <si>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</si>
  <si>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</si>
  <si>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</si>
  <si>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</si>
  <si>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</si>
  <si>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</si>
  <si>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</si>
  <si>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</si>
  <si>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</si>
  <si>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</si>
  <si>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</si>
  <si>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</si>
  <si>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</si>
  <si>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</si>
  <si>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</si>
  <si>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</si>
  <si>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</si>
  <si>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</si>
  <si>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</si>
  <si>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</si>
  <si>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</si>
  <si>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</si>
  <si>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</si>
  <si>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</si>
  <si>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</si>
  <si>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</si>
  <si>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</si>
  <si>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</si>
  <si>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</si>
  <si>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</si>
  <si>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</si>
  <si>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</si>
  <si>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</si>
  <si>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</si>
  <si>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</si>
  <si>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</si>
  <si>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</si>
  <si>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</si>
  <si>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</si>
  <si>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</si>
  <si>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</si>
  <si>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</si>
  <si>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</si>
  <si>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</si>
  <si>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</si>
  <si>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</si>
  <si>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</si>
  <si>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</si>
  <si>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</si>
  <si>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</si>
  <si>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</si>
  <si>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</si>
  <si>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</si>
  <si>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</si>
  <si>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</si>
  <si>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</si>
  <si>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</si>
  <si>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</si>
  <si>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</si>
  <si>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</si>
  <si>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</si>
  <si>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</si>
  <si>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</si>
  <si>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</si>
  <si>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</si>
  <si>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</si>
  <si>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</si>
  <si>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</si>
  <si>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</si>
  <si>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</si>
  <si>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</si>
  <si>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</si>
  <si>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</si>
  <si>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</si>
  <si>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</si>
  <si>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</si>
  <si>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</si>
  <si>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</si>
  <si>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</si>
  <si>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</si>
  <si>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</si>
  <si>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</si>
  <si>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</si>
  <si>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</si>
  <si>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</si>
  <si>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</si>
  <si>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</si>
  <si>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</si>
  <si>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</si>
  <si>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</si>
  <si>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</si>
  <si>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</si>
  <si>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</si>
  <si>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</si>
  <si>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</si>
  <si>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</si>
  <si>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</si>
  <si>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</si>
  <si>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</si>
  <si>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</si>
  <si>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</si>
  <si>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</si>
  <si>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</si>
  <si>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</si>
  <si>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</si>
  <si>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</si>
  <si>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</si>
  <si>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</si>
  <si>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</si>
  <si>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</si>
  <si>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</si>
  <si>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</si>
  <si>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</si>
  <si>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</si>
  <si>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</si>
  <si>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</si>
  <si>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</si>
  <si>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</si>
  <si>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</si>
  <si>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</si>
  <si>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</si>
  <si>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</si>
  <si>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</si>
  <si>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</si>
  <si>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</si>
  <si>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</si>
  <si>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</si>
  <si>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</si>
  <si>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</si>
  <si>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</si>
  <si>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</si>
  <si>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</si>
  <si>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</si>
  <si>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</si>
  <si>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</si>
  <si>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</si>
  <si>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</si>
  <si>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</si>
  <si>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</si>
  <si>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</si>
  <si>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</si>
  <si>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</si>
  <si>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</si>
  <si>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</si>
  <si>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</si>
  <si>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</si>
  <si>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</si>
  <si>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</si>
  <si>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</si>
  <si>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</si>
  <si>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</si>
  <si>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</si>
  <si>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</si>
  <si>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</si>
  <si>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</si>
  <si>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</si>
  <si>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</si>
  <si>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</si>
  <si>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</si>
  <si>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</si>
  <si>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</si>
  <si>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</si>
  <si>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</si>
  <si>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</si>
  <si>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</si>
  <si>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</si>
  <si>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</si>
  <si>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</si>
  <si>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</si>
  <si>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</si>
  <si>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</si>
  <si>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</si>
  <si>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</si>
  <si>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</si>
  <si>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</si>
  <si>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</si>
  <si>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</si>
  <si>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</si>
  <si>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</si>
  <si>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</si>
  <si>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</si>
  <si>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</si>
  <si>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</si>
  <si>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</si>
  <si>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</si>
  <si>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</si>
  <si>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</si>
  <si>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</si>
  <si>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</si>
  <si>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</si>
  <si>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</si>
  <si>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</si>
  <si>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</si>
  <si>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</si>
  <si>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</si>
  <si>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</si>
  <si>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</si>
  <si>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</si>
  <si>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</si>
  <si>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</si>
  <si>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</si>
  <si>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</si>
  <si>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</si>
  <si>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</si>
  <si>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</si>
  <si>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</si>
  <si>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</si>
  <si>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</si>
  <si>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</si>
  <si>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</si>
  <si>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</si>
  <si>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</si>
  <si>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</si>
  <si>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</si>
  <si>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</si>
  <si>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</si>
  <si>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</si>
  <si>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</si>
  <si>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</si>
  <si>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</si>
  <si>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</si>
  <si>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</si>
  <si>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</si>
  <si>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</si>
  <si>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</si>
  <si>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</si>
  <si>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</si>
  <si>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</si>
  <si>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</si>
  <si>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</si>
  <si>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</si>
  <si>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</si>
  <si>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</si>
  <si>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</si>
  <si>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</si>
  <si>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</si>
  <si>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</si>
  <si>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</si>
  <si>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</si>
  <si>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</si>
  <si>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</si>
  <si>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</si>
  <si>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</si>
  <si>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</si>
  <si>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</si>
  <si>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</si>
  <si>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</si>
  <si>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</si>
  <si>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</si>
  <si>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</si>
  <si>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</si>
  <si>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</si>
  <si>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</si>
  <si>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</si>
  <si>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</si>
  <si>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</si>
  <si>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</si>
  <si>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</si>
  <si>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</si>
  <si>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</si>
  <si>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</si>
  <si>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</si>
  <si>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</si>
  <si>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</si>
  <si>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</si>
  <si>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</si>
  <si>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</si>
  <si>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</si>
  <si>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</si>
  <si>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</si>
  <si>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</si>
  <si>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</si>
  <si>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</si>
  <si>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</si>
  <si>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</si>
  <si>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</si>
  <si>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</si>
  <si>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</si>
  <si>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</si>
  <si>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</si>
  <si>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</si>
  <si>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</si>
  <si>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</si>
  <si>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</si>
  <si>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</si>
  <si>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</si>
  <si>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</si>
  <si>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</si>
  <si>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</si>
  <si>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</si>
  <si>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</si>
  <si>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</si>
  <si>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</si>
  <si>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</si>
  <si>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</si>
  <si>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</si>
  <si>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</si>
  <si>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</si>
  <si>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</si>
  <si>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</si>
  <si>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</si>
  <si>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</si>
  <si>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</si>
  <si>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</si>
  <si>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</si>
  <si>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</si>
  <si>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</si>
  <si>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</si>
  <si>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</si>
  <si>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</si>
  <si>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</si>
  <si>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</si>
  <si>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</si>
  <si>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</si>
  <si>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</si>
  <si>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</si>
  <si>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</si>
  <si>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</si>
  <si>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</si>
  <si>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</si>
  <si>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</si>
  <si>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</si>
  <si>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</si>
  <si>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</si>
  <si>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</si>
  <si>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</si>
  <si>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</si>
  <si>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</si>
  <si>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</si>
  <si>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</si>
  <si>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</si>
  <si>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</si>
  <si>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</si>
  <si>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</si>
  <si>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</si>
  <si>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</si>
  <si>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</si>
  <si>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</si>
  <si>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</si>
  <si>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</si>
  <si>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</si>
  <si>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</si>
  <si>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</si>
  <si>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</si>
  <si>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</si>
  <si>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</si>
  <si>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</si>
  <si>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</si>
  <si>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</si>
  <si>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</si>
  <si>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</si>
  <si>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</si>
  <si>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</si>
  <si>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</si>
  <si>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</si>
  <si>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</si>
  <si>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</si>
  <si>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</si>
  <si>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</si>
  <si>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</si>
  <si>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</si>
  <si>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</si>
  <si>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</si>
  <si>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</si>
  <si>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</si>
  <si>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</si>
  <si>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</si>
  <si>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</si>
  <si>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</si>
  <si>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</si>
  <si>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</si>
  <si>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</si>
  <si>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</si>
  <si>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</si>
  <si>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</si>
  <si>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</si>
  <si>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</si>
  <si>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</si>
  <si>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</si>
  <si>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</si>
  <si>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</si>
  <si>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</si>
  <si>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</si>
  <si>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</si>
  <si>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</si>
  <si>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</si>
  <si>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</si>
  <si>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</si>
  <si>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</si>
  <si>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</si>
  <si>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</si>
  <si>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</si>
  <si>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</si>
  <si>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</si>
  <si>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</si>
  <si>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</si>
  <si>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</si>
  <si>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</si>
  <si>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</si>
  <si>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</si>
  <si>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</si>
  <si>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</si>
  <si>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</si>
  <si>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</si>
  <si>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</si>
  <si>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</si>
  <si>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</si>
  <si>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</si>
  <si>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</si>
  <si>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</si>
  <si>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</si>
  <si>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</si>
  <si>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</si>
  <si>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</si>
  <si>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</si>
  <si>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</si>
  <si>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</si>
  <si>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</si>
  <si>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</si>
  <si>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</si>
  <si>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</si>
  <si>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</si>
  <si>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</si>
  <si>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</si>
  <si>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</si>
  <si>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</si>
  <si>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</si>
  <si>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</si>
  <si>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</si>
  <si>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</si>
  <si>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</si>
  <si>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</si>
  <si>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</si>
  <si>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</si>
  <si>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</si>
  <si>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</si>
  <si>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</si>
  <si>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</si>
  <si>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</si>
  <si>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</si>
  <si>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</si>
  <si>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</si>
  <si>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</si>
  <si>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</si>
  <si>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</si>
  <si>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</si>
  <si>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</si>
  <si>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</si>
  <si>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</si>
  <si>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</si>
  <si>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</si>
  <si>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</si>
  <si>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</si>
  <si>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</si>
  <si>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</si>
  <si>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</si>
  <si>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</si>
  <si>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</si>
  <si>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</si>
  <si>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</si>
  <si>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</si>
  <si>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</si>
  <si>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</si>
  <si>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</si>
  <si>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</si>
  <si>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</si>
  <si>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</si>
  <si>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</si>
  <si>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</si>
  <si>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</si>
  <si>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</si>
  <si>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</si>
  <si>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</si>
  <si>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</si>
  <si>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</si>
  <si>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</si>
  <si>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</si>
  <si>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</si>
  <si>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</si>
  <si>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</si>
  <si>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</si>
  <si>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</si>
  <si>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</si>
  <si>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</si>
  <si>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</si>
  <si>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</si>
  <si>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</si>
  <si>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</si>
  <si>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</si>
  <si>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</si>
  <si>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</si>
  <si>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</si>
  <si>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</si>
  <si>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</si>
  <si>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</si>
  <si>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</si>
  <si>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</si>
  <si>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</si>
  <si>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</si>
  <si>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</si>
  <si>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</si>
  <si>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</si>
  <si>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</si>
  <si>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</si>
  <si>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</si>
  <si>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</si>
  <si>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</si>
  <si>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</si>
  <si>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</si>
  <si>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</si>
  <si>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</si>
  <si>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</si>
  <si>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</si>
  <si>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</si>
  <si>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</si>
  <si>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</si>
  <si>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</si>
  <si>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</si>
  <si>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</si>
  <si>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</si>
  <si>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</si>
  <si>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</si>
  <si>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</si>
  <si>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</si>
  <si>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</si>
  <si>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</si>
  <si>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</si>
  <si>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</si>
  <si>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</si>
  <si>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</si>
  <si>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</si>
  <si>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</si>
  <si>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</si>
  <si>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</si>
  <si>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</si>
  <si>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</si>
  <si>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</si>
  <si>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</si>
  <si>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</si>
  <si>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</si>
  <si>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</si>
  <si>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</si>
  <si>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</si>
  <si>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</si>
  <si>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</si>
  <si>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</si>
  <si>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</si>
  <si>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</si>
  <si>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</si>
  <si>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</si>
  <si>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</si>
  <si>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</si>
  <si>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</si>
  <si>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</si>
  <si>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</si>
  <si>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</si>
  <si>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</si>
  <si>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</si>
  <si>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</si>
  <si>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</si>
  <si>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</si>
  <si>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</si>
  <si>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</si>
  <si>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</si>
  <si>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</si>
  <si>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</si>
  <si>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</si>
  <si>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</si>
  <si>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</si>
  <si>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</si>
  <si>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</si>
  <si>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</si>
  <si>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</si>
  <si>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</si>
  <si>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</si>
  <si>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</si>
  <si>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</si>
  <si>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</si>
  <si>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</si>
  <si>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</si>
  <si>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</si>
  <si>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</si>
  <si>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</si>
  <si>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</si>
  <si>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</si>
  <si>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</si>
  <si>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</si>
  <si>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</si>
  <si>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</si>
  <si>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</si>
  <si>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</si>
  <si>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</si>
  <si>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</si>
  <si>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</si>
  <si>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</si>
  <si>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</si>
  <si>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</si>
  <si>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</si>
  <si>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</si>
  <si>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</si>
  <si>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</si>
  <si>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</si>
  <si>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</si>
  <si>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</si>
  <si>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</si>
  <si>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</si>
  <si>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</si>
  <si>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</si>
  <si>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</si>
  <si>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</si>
  <si>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</si>
  <si>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</si>
  <si>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</si>
  <si>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</si>
  <si>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</si>
  <si>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</si>
  <si>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</si>
  <si>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</si>
  <si>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</si>
  <si>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</si>
  <si>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</si>
  <si>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</si>
  <si>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</si>
  <si>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</si>
  <si>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</si>
  <si>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</si>
  <si>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</si>
  <si>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</si>
  <si>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</si>
  <si>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</si>
  <si>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</si>
  <si>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</si>
  <si>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</si>
  <si>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</si>
  <si>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</si>
  <si>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</si>
  <si>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</si>
  <si>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</si>
  <si>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</si>
  <si>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</si>
  <si>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</si>
  <si>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</si>
  <si>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</si>
  <si>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</si>
  <si>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</si>
  <si>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</si>
  <si>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</si>
  <si>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</si>
  <si>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</si>
  <si>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</si>
  <si>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</si>
  <si>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</si>
  <si>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</si>
  <si>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</si>
  <si>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</si>
  <si>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</si>
  <si>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</si>
  <si>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</si>
  <si>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</si>
  <si>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</si>
  <si>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</si>
  <si>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</si>
  <si>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</si>
  <si>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</si>
  <si>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</si>
  <si>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</si>
  <si>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</si>
  <si>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</si>
  <si>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</si>
  <si>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</si>
  <si>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</si>
  <si>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</si>
  <si>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</si>
  <si>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</si>
  <si>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</si>
  <si>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</si>
  <si>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</si>
  <si>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</si>
  <si>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</si>
  <si>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</si>
  <si>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</si>
  <si>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</si>
  <si>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</si>
  <si>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</si>
  <si>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</si>
  <si>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</si>
  <si>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</si>
  <si>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</si>
  <si>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</si>
  <si>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</si>
  <si>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</si>
  <si>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</si>
  <si>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</si>
  <si>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</si>
  <si>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</si>
  <si>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</si>
  <si>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</si>
  <si>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</si>
  <si>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</si>
  <si>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</si>
  <si>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</si>
  <si>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</si>
  <si>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</si>
  <si>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</si>
  <si>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</si>
  <si>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</si>
  <si>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</si>
  <si>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</si>
  <si>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</si>
  <si>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</si>
  <si>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</si>
  <si>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</si>
  <si>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</si>
  <si>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</si>
  <si>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</si>
  <si>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</si>
  <si>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</si>
  <si>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</si>
  <si>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</si>
  <si>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</si>
  <si>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</si>
  <si>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</si>
  <si>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</si>
  <si>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</si>
  <si>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</si>
  <si>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</si>
  <si>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</si>
  <si>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</si>
  <si>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</si>
  <si>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</si>
  <si>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</si>
  <si>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</si>
  <si>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</si>
  <si>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</si>
  <si>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</si>
  <si>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</si>
  <si>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</si>
  <si>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</si>
  <si>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</si>
  <si>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</si>
  <si>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</si>
  <si>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</si>
  <si>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</si>
  <si>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</si>
  <si>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</si>
  <si>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</si>
  <si>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</si>
  <si>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</si>
  <si>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</si>
  <si>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</si>
  <si>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</si>
  <si>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</si>
  <si>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</si>
  <si>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</si>
  <si>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</si>
  <si>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</si>
  <si>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</si>
  <si>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</si>
  <si>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</si>
  <si>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</si>
  <si>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</si>
  <si>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</si>
  <si>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</si>
  <si>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</si>
  <si>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</si>
  <si>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</si>
  <si>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</si>
  <si>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</si>
  <si>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</si>
  <si>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</si>
  <si>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</si>
  <si>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</si>
  <si>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</si>
  <si>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</si>
  <si>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</si>
  <si>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</si>
  <si>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</si>
  <si>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</si>
  <si>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</si>
  <si>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</si>
  <si>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</si>
  <si>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</si>
  <si>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</si>
  <si>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</si>
  <si>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</si>
  <si>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</si>
  <si>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</si>
  <si>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</si>
  <si>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</si>
  <si>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</si>
  <si>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</si>
  <si>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</si>
  <si>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</si>
  <si>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</si>
  <si>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</si>
  <si>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</si>
  <si>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</si>
  <si>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</si>
  <si>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</si>
  <si>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</si>
  <si>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</si>
  <si>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</si>
  <si>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</si>
  <si>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</si>
  <si>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</si>
  <si>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</si>
  <si>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</si>
  <si>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</si>
  <si>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</si>
  <si>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</si>
  <si>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</si>
  <si>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</si>
  <si>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</si>
  <si>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</si>
  <si>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</si>
  <si>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</si>
  <si>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</si>
  <si>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</si>
  <si>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</si>
  <si>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</si>
  <si>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</si>
  <si>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</si>
  <si>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</si>
  <si>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</si>
  <si>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</si>
  <si>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</si>
  <si>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</si>
  <si>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</si>
  <si>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</si>
  <si>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</si>
  <si>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</si>
  <si>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</si>
  <si>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</si>
  <si>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</si>
  <si>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</si>
  <si>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</si>
  <si>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</si>
  <si>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</si>
  <si>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</si>
  <si>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</si>
  <si>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</si>
  <si>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</si>
  <si>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</si>
  <si>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</si>
  <si>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</si>
  <si>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</si>
  <si>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</si>
  <si>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</si>
  <si>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</si>
  <si>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</si>
  <si>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</si>
  <si>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</si>
  <si>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</si>
  <si>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</si>
  <si>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</si>
  <si>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</si>
  <si>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</si>
  <si>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</si>
  <si>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</si>
  <si>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</si>
  <si>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</si>
  <si>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</si>
  <si>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</si>
  <si>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</si>
  <si>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</si>
  <si>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</si>
  <si>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</si>
  <si>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</si>
  <si>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</si>
  <si>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</si>
  <si>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</si>
  <si>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</si>
  <si>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</si>
  <si>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</si>
  <si>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</si>
  <si>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</si>
  <si>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</si>
  <si>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</si>
  <si>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</si>
  <si>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</si>
  <si>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</si>
  <si>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</si>
  <si>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</si>
  <si>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</si>
  <si>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</si>
  <si>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</si>
  <si>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</si>
  <si>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</si>
  <si>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</si>
  <si>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</si>
  <si>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</si>
  <si>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</si>
  <si>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</si>
  <si>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</si>
  <si>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</si>
  <si>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</si>
  <si>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</si>
  <si>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</si>
  <si>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</si>
  <si>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</si>
  <si>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</si>
  <si>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</si>
  <si>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</si>
  <si>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</si>
  <si>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</si>
  <si>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</si>
  <si>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</si>
  <si>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</si>
  <si>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</si>
  <si>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</si>
  <si>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</si>
  <si>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</si>
  <si>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</si>
  <si>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</si>
  <si>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</si>
  <si>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</si>
  <si>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</si>
  <si>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</si>
  <si>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</si>
  <si>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</si>
  <si>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</si>
  <si>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</si>
  <si>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</si>
  <si>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</si>
  <si>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</si>
  <si>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</si>
  <si>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</si>
  <si>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</si>
  <si>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</si>
  <si>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</si>
  <si>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</si>
  <si>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</si>
  <si>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</si>
  <si>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</si>
  <si>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</si>
  <si>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</si>
  <si>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</si>
  <si>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</si>
  <si>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</si>
  <si>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</si>
  <si>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</si>
  <si>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</si>
  <si>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</si>
  <si>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</si>
  <si>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</si>
  <si>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</si>
  <si>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</si>
  <si>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</si>
  <si>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</si>
  <si>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</si>
  <si>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</si>
  <si>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</si>
  <si>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</si>
  <si>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</si>
  <si>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</si>
  <si>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</si>
  <si>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</si>
  <si>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</si>
  <si>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</si>
  <si>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</si>
  <si>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</si>
  <si>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</si>
  <si>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</si>
  <si>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</si>
  <si>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</si>
  <si>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</si>
  <si>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</si>
  <si>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</si>
  <si>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</si>
  <si>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</si>
  <si>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</si>
  <si>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</si>
  <si>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</si>
  <si>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</si>
  <si>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</si>
  <si>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</si>
  <si>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</si>
  <si>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</si>
  <si>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</si>
  <si>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</si>
  <si>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</si>
  <si>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</si>
  <si>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</si>
  <si>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</si>
  <si>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</si>
  <si>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</si>
  <si>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</si>
  <si>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</si>
  <si>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</si>
  <si>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</si>
  <si>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</si>
  <si>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</si>
  <si>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</si>
  <si>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</si>
  <si>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</si>
  <si>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</si>
  <si>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</si>
  <si>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</si>
  <si>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</si>
  <si>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</si>
  <si>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</si>
  <si>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</si>
  <si>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</si>
  <si>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</si>
  <si>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</si>
  <si>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</si>
  <si>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</si>
  <si>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</si>
  <si>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</si>
  <si>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</si>
  <si>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</si>
  <si>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</si>
  <si>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</si>
  <si>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</si>
  <si>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</si>
  <si>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</si>
  <si>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</si>
  <si>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</si>
  <si>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</si>
  <si>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</si>
  <si>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</si>
  <si>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</si>
  <si>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</si>
  <si>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</si>
  <si>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</si>
  <si>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</si>
  <si>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</si>
  <si>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</si>
  <si>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</si>
  <si>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</si>
  <si>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</si>
  <si>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</si>
  <si>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</si>
  <si>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</si>
  <si>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</si>
  <si>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</si>
  <si>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</si>
  <si>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</si>
  <si>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</si>
  <si>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</si>
  <si>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</si>
  <si>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</si>
  <si>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</si>
  <si>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</si>
  <si>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</si>
  <si>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</si>
  <si>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</si>
  <si>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</si>
  <si>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</si>
  <si>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</si>
  <si>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</si>
  <si>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</si>
  <si>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</si>
  <si>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</si>
  <si>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</si>
  <si>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</si>
  <si>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</si>
  <si>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</si>
  <si>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</si>
  <si>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</si>
  <si>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</si>
  <si>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</si>
  <si>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</si>
  <si>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</si>
  <si>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</si>
  <si>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</si>
  <si>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</si>
  <si>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</si>
  <si>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</si>
  <si>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</si>
  <si>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</si>
  <si>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</si>
  <si>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</si>
  <si>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</si>
  <si>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</si>
  <si>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</si>
  <si>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</si>
  <si>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</si>
  <si>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</si>
  <si>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</si>
  <si>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</si>
  <si>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</si>
  <si>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</si>
  <si>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</si>
  <si>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</si>
  <si>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</si>
  <si>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</si>
  <si>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</si>
  <si>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</si>
  <si>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</si>
  <si>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</si>
  <si>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</si>
  <si>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</si>
  <si>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</si>
  <si>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</si>
  <si>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</si>
  <si>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</si>
  <si>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</si>
  <si>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</si>
  <si>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</si>
  <si>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</si>
  <si>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</si>
  <si>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</si>
  <si>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</si>
  <si>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</si>
  <si>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</si>
  <si>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</si>
  <si>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</si>
  <si>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</si>
  <si>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</si>
  <si>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</si>
  <si>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</si>
  <si>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</si>
  <si>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</si>
  <si>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</si>
  <si>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</si>
  <si>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</si>
  <si>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</si>
  <si>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</si>
  <si>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</si>
  <si>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</si>
  <si>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</si>
  <si>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</si>
  <si>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</si>
  <si>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</si>
  <si>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</si>
  <si>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</si>
  <si>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</si>
  <si>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</si>
  <si>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</si>
  <si>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</si>
  <si>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</si>
  <si>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</si>
  <si>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</si>
  <si>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</si>
  <si>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</si>
  <si>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</si>
  <si>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</si>
  <si>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</si>
  <si>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</si>
  <si>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</si>
  <si>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</si>
  <si>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</si>
  <si>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</si>
  <si>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</si>
  <si>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</si>
  <si>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</si>
  <si>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</si>
  <si>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</si>
  <si>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</si>
  <si>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</si>
  <si>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</si>
  <si>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</si>
  <si>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</si>
  <si>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</si>
  <si>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</si>
  <si>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</si>
  <si>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</si>
  <si>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</si>
  <si>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</si>
  <si>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</si>
  <si>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</si>
  <si>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</si>
  <si>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</si>
  <si>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</si>
  <si>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</si>
  <si>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</si>
  <si>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</si>
  <si>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</si>
  <si>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</si>
  <si>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</si>
  <si>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</si>
  <si>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</si>
  <si>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</si>
  <si>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</si>
  <si>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</si>
  <si>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</si>
  <si>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</si>
  <si>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</si>
  <si>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</si>
  <si>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</si>
  <si>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</si>
  <si>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</si>
  <si>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</si>
  <si>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</si>
  <si>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</si>
  <si>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</si>
  <si>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</si>
  <si>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</si>
  <si>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</si>
  <si>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</si>
  <si>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</si>
  <si>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</si>
  <si>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</si>
  <si>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</si>
  <si>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</si>
  <si>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</si>
  <si>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</si>
  <si>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</si>
  <si>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</si>
  <si>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</si>
  <si>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</si>
  <si>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</si>
  <si>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</si>
  <si>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</si>
  <si>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</si>
  <si>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</si>
  <si>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</si>
  <si>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</si>
  <si>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</si>
  <si>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</si>
  <si>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</si>
  <si>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</si>
  <si>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</si>
  <si>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</si>
  <si>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</si>
  <si>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</si>
  <si>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</si>
  <si>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</si>
  <si>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</si>
  <si>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</si>
  <si>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</si>
  <si>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</si>
  <si>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</si>
  <si>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</si>
  <si>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</si>
  <si>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</si>
  <si>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</si>
  <si>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</si>
  <si>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</si>
  <si>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</si>
  <si>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</si>
  <si>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</si>
  <si>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</si>
  <si>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</si>
  <si>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</si>
  <si>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</si>
  <si>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</si>
  <si>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</si>
  <si>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</si>
  <si>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</si>
  <si>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</si>
  <si>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</si>
  <si>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</si>
  <si>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</si>
  <si>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</si>
  <si>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</si>
  <si>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</si>
  <si>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</si>
  <si>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</si>
  <si>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</si>
  <si>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</si>
  <si>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</si>
  <si>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</si>
  <si>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</si>
  <si>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</si>
  <si>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</si>
  <si>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</si>
  <si>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</si>
  <si>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</si>
  <si>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</si>
  <si>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</si>
  <si>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</si>
  <si>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</si>
  <si>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</si>
  <si>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</si>
  <si>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</si>
  <si>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</si>
  <si>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</si>
  <si>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</si>
  <si>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</si>
  <si>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</si>
  <si>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</si>
  <si>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</si>
  <si>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</si>
  <si>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</si>
  <si>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</si>
  <si>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</si>
  <si>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</si>
  <si>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</si>
  <si>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</si>
  <si>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</si>
  <si>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</si>
  <si>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</si>
  <si>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</si>
  <si>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</si>
  <si>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</si>
  <si>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</si>
  <si>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</si>
  <si>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</si>
  <si>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</si>
  <si>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</si>
  <si>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</si>
  <si>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</si>
  <si>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</si>
  <si>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</si>
  <si>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</si>
  <si>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</si>
  <si>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</si>
  <si>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</si>
  <si>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</si>
  <si>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</si>
  <si>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</si>
  <si>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</si>
  <si>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</si>
  <si>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</si>
  <si>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</si>
  <si>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</si>
  <si>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</si>
  <si>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</si>
  <si>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</si>
  <si>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</si>
  <si>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</si>
  <si>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</si>
  <si>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</si>
  <si>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</si>
  <si>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</si>
  <si>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</si>
  <si>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</si>
  <si>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</si>
  <si>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</si>
  <si>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</si>
  <si>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</si>
  <si>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</si>
  <si>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</si>
  <si>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</si>
  <si>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</si>
  <si>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</si>
  <si>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</si>
  <si>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</si>
  <si>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</si>
  <si>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</si>
  <si>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</si>
  <si>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</si>
  <si>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</si>
  <si>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</si>
  <si>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</si>
  <si>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</si>
  <si>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</si>
  <si>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</si>
  <si>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</si>
  <si>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</si>
  <si>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</si>
  <si>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</si>
  <si>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</si>
  <si>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</si>
  <si>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</si>
  <si>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</si>
  <si>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</si>
  <si>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</si>
  <si>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</si>
  <si>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</si>
  <si>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</si>
  <si>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</si>
  <si>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</si>
  <si>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</si>
  <si>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</si>
  <si>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</si>
  <si>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</si>
  <si>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</si>
  <si>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</si>
  <si>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</si>
  <si>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</si>
  <si>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</si>
  <si>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</si>
  <si>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</si>
  <si>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</si>
  <si>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</si>
  <si>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</si>
  <si>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</si>
  <si>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</si>
  <si>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</si>
  <si>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</si>
  <si>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</si>
  <si>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</si>
  <si>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</si>
  <si>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</si>
  <si>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</si>
  <si>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</si>
  <si>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</si>
  <si>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</si>
  <si>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</si>
  <si>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</si>
  <si>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</si>
  <si>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</si>
  <si>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</si>
  <si>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</si>
  <si>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</si>
  <si>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</si>
  <si>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</si>
  <si>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</si>
  <si>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</si>
  <si>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</si>
  <si>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</si>
  <si>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</si>
  <si>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</si>
  <si>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</si>
  <si>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</si>
  <si>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</si>
  <si>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</si>
  <si>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地上</t>
  </si>
  <si>
    <t>序号</t>
    <phoneticPr fontId="134" type="noConversion"/>
  </si>
  <si>
    <t>坐落</t>
    <phoneticPr fontId="134" type="noConversion"/>
  </si>
  <si>
    <t>证号</t>
    <phoneticPr fontId="134" type="noConversion"/>
  </si>
  <si>
    <t>面积</t>
    <phoneticPr fontId="134" type="noConversion"/>
  </si>
  <si>
    <t>用途</t>
    <phoneticPr fontId="134" type="noConversion"/>
  </si>
  <si>
    <t>朝向</t>
    <phoneticPr fontId="134" type="noConversion"/>
  </si>
  <si>
    <t>北京市昌平区回南路9号院28号楼9层901号</t>
    <phoneticPr fontId="134" type="noConversion"/>
  </si>
  <si>
    <t>京（2019）昌不动产权第0007739号</t>
    <phoneticPr fontId="134" type="noConversion"/>
  </si>
  <si>
    <t>办公</t>
    <phoneticPr fontId="134" type="noConversion"/>
  </si>
  <si>
    <t>北京市昌平区回南路9号院28号楼9层902号</t>
  </si>
  <si>
    <t>京（2019）昌不动产权第0007741号</t>
    <phoneticPr fontId="134" type="noConversion"/>
  </si>
  <si>
    <t>办公</t>
    <phoneticPr fontId="134" type="noConversion"/>
  </si>
  <si>
    <t>北京市昌平区回南路9号院28号楼9层903号</t>
  </si>
  <si>
    <t>京（2019）昌不动产权第0007772号</t>
    <phoneticPr fontId="134" type="noConversion"/>
  </si>
  <si>
    <t>北京市昌平区回南路9号院28号楼9层904号</t>
  </si>
  <si>
    <t>京（2019）昌不动产权第0007742号</t>
  </si>
  <si>
    <t>北京市昌平区回南路9号院28号楼9层905号</t>
  </si>
  <si>
    <t>京（2019）昌不动产权第0007770号</t>
    <phoneticPr fontId="134" type="noConversion"/>
  </si>
  <si>
    <t>北京市昌平区回南路9号院28号楼9层906号</t>
  </si>
  <si>
    <t>京（2019）昌不动产权第0007744号</t>
  </si>
  <si>
    <t>北京市昌平区回南路9号院28号楼9层907号</t>
  </si>
  <si>
    <t>京（2019）昌不动产权第0007745号</t>
  </si>
  <si>
    <t>北京市昌平区回南路9号院28号楼9层908号</t>
  </si>
  <si>
    <t>京（2019）昌不动产权第0007746号</t>
  </si>
  <si>
    <t>北京市昌平区回南路9号院28号楼9层909号</t>
  </si>
  <si>
    <t>京（2019）昌不动产权第0007747号</t>
  </si>
  <si>
    <t>北京市昌平区回南路9号院28号楼9层910号</t>
  </si>
  <si>
    <t>京（2019）昌不动产权第0007749号</t>
    <phoneticPr fontId="134" type="noConversion"/>
  </si>
  <si>
    <t>北京市昌平区回南路9号院28号楼9层911号</t>
  </si>
  <si>
    <t>京（2019）昌不动产权第0007750号</t>
  </si>
  <si>
    <t>北京市昌平区回南路9号院28号楼9层912号</t>
  </si>
  <si>
    <t>京（2019）昌不动产权第0007751号</t>
  </si>
  <si>
    <t>北京市昌平区回南路9号院28号楼9层913号</t>
  </si>
  <si>
    <t>京（2019）昌不动产权第0007752号</t>
  </si>
  <si>
    <t>北京市昌平区回南路9号院28号楼9层914号</t>
  </si>
  <si>
    <t>京（2019）昌不动产权第0007753号</t>
  </si>
  <si>
    <t>北京市昌平区回南路9号院28号楼9层915号</t>
  </si>
  <si>
    <t>京（2019）昌不动产权第0007754号</t>
  </si>
  <si>
    <t>北京市昌平区回南路9号院28号楼9层916号</t>
  </si>
  <si>
    <t>京（2019）昌不动产权第0007755号</t>
  </si>
  <si>
    <t>合计</t>
    <phoneticPr fontId="134" type="noConversion"/>
  </si>
  <si>
    <t>成新度</t>
  </si>
  <si>
    <t>收益法 (元)</t>
  </si>
  <si>
    <t>利息：取LPR加浮动点数</t>
  </si>
  <si>
    <t>押一</t>
  </si>
  <si>
    <t>钢混</t>
  </si>
  <si>
    <t>非生产用房</t>
  </si>
  <si>
    <t>正常</t>
  </si>
  <si>
    <t>正常</t>
    <phoneticPr fontId="31" type="noConversion"/>
  </si>
  <si>
    <t>正常</t>
    <phoneticPr fontId="31" type="noConversion"/>
  </si>
  <si>
    <t>单套模式</t>
  </si>
  <si>
    <t>售价</t>
  </si>
  <si>
    <t>楼面单价</t>
  </si>
  <si>
    <t>比较法-办公</t>
  </si>
  <si>
    <r>
      <t>果栋l</t>
    </r>
    <r>
      <rPr>
        <sz val="11"/>
        <color theme="1"/>
        <rFont val="宋体"/>
        <family val="3"/>
        <charset val="134"/>
        <scheme val="minor"/>
      </rPr>
      <t>oft</t>
    </r>
    <phoneticPr fontId="134" type="noConversion"/>
  </si>
  <si>
    <t>面积</t>
    <phoneticPr fontId="134" type="noConversion"/>
  </si>
  <si>
    <t>单价</t>
    <phoneticPr fontId="134" type="noConversion"/>
  </si>
  <si>
    <t>楼层</t>
    <phoneticPr fontId="134" type="noConversion"/>
  </si>
  <si>
    <t>中区</t>
    <phoneticPr fontId="134" type="noConversion"/>
  </si>
  <si>
    <t>中区</t>
    <phoneticPr fontId="31" type="noConversion"/>
  </si>
  <si>
    <t>中区</t>
    <phoneticPr fontId="31" type="noConversion"/>
  </si>
  <si>
    <t>高区</t>
    <phoneticPr fontId="31" type="noConversion"/>
  </si>
  <si>
    <t>低区</t>
    <phoneticPr fontId="31" type="noConversion"/>
  </si>
  <si>
    <t>精装</t>
    <phoneticPr fontId="31" type="noConversion"/>
  </si>
  <si>
    <t>普装</t>
    <phoneticPr fontId="31" type="noConversion"/>
  </si>
  <si>
    <t>简装</t>
    <phoneticPr fontId="31" type="noConversion"/>
  </si>
  <si>
    <t>毛坯</t>
    <phoneticPr fontId="31" type="noConversion"/>
  </si>
  <si>
    <r>
      <rPr>
        <sz val="10"/>
        <color theme="1"/>
        <rFont val="宋体"/>
        <family val="3"/>
        <charset val="134"/>
      </rPr>
      <t>地址</t>
    </r>
    <phoneticPr fontId="134" type="noConversion"/>
  </si>
  <si>
    <t>评估值（万元）</t>
    <phoneticPr fontId="134" type="noConversion"/>
  </si>
  <si>
    <t>印花税（万元）</t>
    <phoneticPr fontId="134" type="noConversion"/>
  </si>
  <si>
    <t>净值（万元）</t>
    <phoneticPr fontId="134" type="noConversion"/>
  </si>
  <si>
    <t>净值单价</t>
    <phoneticPr fontId="134" type="noConversion"/>
  </si>
  <si>
    <t>评估单价</t>
    <phoneticPr fontId="134" type="noConversion"/>
  </si>
  <si>
    <t>原购买价</t>
    <phoneticPr fontId="134" type="noConversion"/>
  </si>
  <si>
    <r>
      <rPr>
        <sz val="10"/>
        <color theme="1"/>
        <rFont val="宋体"/>
        <family val="3"/>
        <charset val="134"/>
      </rPr>
      <t>合计</t>
    </r>
    <phoneticPr fontId="134" type="noConversion"/>
  </si>
  <si>
    <t>情况4</t>
  </si>
  <si>
    <t>转让取得</t>
  </si>
  <si>
    <t>非个人房产</t>
  </si>
  <si>
    <t>买卖合同</t>
  </si>
  <si>
    <t>2016年5月1日后购买</t>
  </si>
  <si>
    <t>中区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</si>
</sst>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07" fillId="0" borderId="1" xfId="0" applyFont="1" applyBorder="1">
      <alignment vertical="center"/>
    </xf>
    <xf numFmtId="0" fontId="107" fillId="0" borderId="1" xfId="0" applyFont="1" applyFill="1" applyBorder="1">
      <alignment vertical="center"/>
    </xf>
    <xf numFmtId="0" fontId="0" fillId="0" borderId="1" xfId="0" applyBorder="1">
      <alignment vertical="center"/>
    </xf>
    <xf numFmtId="0" fontId="95" fillId="0" borderId="0" xfId="0" applyFont="1">
      <alignment vertical="center"/>
    </xf>
    <xf numFmtId="0" fontId="0" fillId="5" borderId="0" xfId="0" applyFill="1">
      <alignment vertical="center"/>
    </xf>
    <xf numFmtId="0" fontId="0" fillId="0" borderId="0" xfId="0" applyFill="1">
      <alignment vertical="center"/>
    </xf>
    <xf numFmtId="49" fontId="128" fillId="2" borderId="26"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10" fontId="99" fillId="0" borderId="0" xfId="0" applyNumberFormat="1" applyFont="1">
      <alignment vertical="center"/>
    </xf>
    <xf numFmtId="0" fontId="99" fillId="0" borderId="1" xfId="0" applyFont="1" applyBorder="1">
      <alignment vertical="center"/>
    </xf>
    <xf numFmtId="0" fontId="122" fillId="0" borderId="1" xfId="0" applyFont="1" applyBorder="1">
      <alignment vertical="center"/>
    </xf>
    <xf numFmtId="0" fontId="122"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1" xfId="0" applyFont="1" applyBorder="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647191</xdr:colOff>
      <xdr:row>23</xdr:row>
      <xdr:rowOff>75698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76191" cy="4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2021-1-0668-F01DYGJ2&#21271;&#20140;&#24066;&#26124;&#24179;&#21306;&#22238;&#21335;&#36335;9&#21495;&#38498;28&#21495;&#27004;9&#23618;901&#21495;&#31561;16&#22871;&#21150;&#20844;&#29992;&#25151;&#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面积清单"/>
      <sheetName val="估价对象房地状况"/>
      <sheetName val="系统读取表"/>
      <sheetName val="结果表 (1修多)"/>
      <sheetName val="成本法"/>
      <sheetName val="假设开发法"/>
      <sheetName val="比较法-办公"/>
      <sheetName val="收益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2"/>
      <sheetName val="Sheet1"/>
      <sheetName val="结果表"/>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H3" t="str">
            <v>北京市昌平区回南路9号院28号楼9层901号</v>
          </cell>
        </row>
        <row r="4">
          <cell r="H4" t="str">
            <v>北京市昌平区回南路9号院28号楼9层902号</v>
          </cell>
        </row>
        <row r="5">
          <cell r="H5" t="str">
            <v>北京市昌平区回南路9号院28号楼9层903号</v>
          </cell>
        </row>
        <row r="6">
          <cell r="H6" t="str">
            <v>北京市昌平区回南路9号院28号楼9层904号</v>
          </cell>
        </row>
        <row r="7">
          <cell r="H7" t="str">
            <v>北京市昌平区回南路9号院28号楼9层905号</v>
          </cell>
        </row>
        <row r="8">
          <cell r="H8" t="str">
            <v>北京市昌平区回南路9号院28号楼9层906号</v>
          </cell>
        </row>
        <row r="9">
          <cell r="H9" t="str">
            <v>北京市昌平区回南路9号院28号楼9层907号</v>
          </cell>
        </row>
        <row r="10">
          <cell r="H10" t="str">
            <v>北京市昌平区回南路9号院28号楼9层908号</v>
          </cell>
        </row>
        <row r="11">
          <cell r="H11" t="str">
            <v>北京市昌平区回南路9号院28号楼9层909号</v>
          </cell>
        </row>
        <row r="12">
          <cell r="H12" t="str">
            <v>北京市昌平区回南路9号院28号楼9层910号</v>
          </cell>
        </row>
        <row r="13">
          <cell r="H13" t="str">
            <v>北京市昌平区回南路9号院28号楼9层911号</v>
          </cell>
        </row>
        <row r="14">
          <cell r="H14" t="str">
            <v>北京市昌平区回南路9号院28号楼9层912号</v>
          </cell>
        </row>
        <row r="15">
          <cell r="H15" t="str">
            <v>北京市昌平区回南路9号院28号楼9层913号</v>
          </cell>
        </row>
        <row r="16">
          <cell r="H16" t="str">
            <v>北京市昌平区回南路9号院28号楼9层914号</v>
          </cell>
        </row>
        <row r="17">
          <cell r="H17" t="str">
            <v>北京市昌平区回南路9号院28号楼9层915号</v>
          </cell>
        </row>
        <row r="18">
          <cell r="H18" t="str">
            <v>北京市昌平区回南路9号院28号楼9层916号</v>
          </cell>
        </row>
      </sheetData>
      <sheetData sheetId="13"/>
      <sheetData sheetId="14"/>
      <sheetData sheetId="15"/>
      <sheetData sheetId="16"/>
      <sheetData sheetId="17"/>
      <sheetData sheetId="18"/>
      <sheetData sheetId="19"/>
      <sheetData sheetId="20"/>
      <sheetData sheetId="21">
        <row r="27">
          <cell r="B27">
            <v>229.53</v>
          </cell>
        </row>
        <row r="28">
          <cell r="B28">
            <v>89.91</v>
          </cell>
        </row>
        <row r="29">
          <cell r="B29">
            <v>111.32</v>
          </cell>
        </row>
        <row r="30">
          <cell r="B30">
            <v>92.76</v>
          </cell>
        </row>
        <row r="31">
          <cell r="B31">
            <v>111.44</v>
          </cell>
        </row>
        <row r="32">
          <cell r="B32">
            <v>91.17</v>
          </cell>
        </row>
        <row r="33">
          <cell r="B33">
            <v>111.05</v>
          </cell>
        </row>
        <row r="34">
          <cell r="B34">
            <v>91.97</v>
          </cell>
        </row>
        <row r="35">
          <cell r="B35">
            <v>113.63</v>
          </cell>
        </row>
        <row r="36">
          <cell r="B36">
            <v>91.97</v>
          </cell>
        </row>
        <row r="37">
          <cell r="B37">
            <v>104.95</v>
          </cell>
        </row>
        <row r="38">
          <cell r="B38">
            <v>88.79</v>
          </cell>
        </row>
        <row r="39">
          <cell r="B39">
            <v>84.75</v>
          </cell>
        </row>
        <row r="40">
          <cell r="B40">
            <v>77.17</v>
          </cell>
        </row>
        <row r="41">
          <cell r="B41">
            <v>84.11</v>
          </cell>
        </row>
        <row r="42">
          <cell r="B42">
            <v>67.489999999999995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估价对象为北京市房地产，为所有。根据《国有土地使用证》[]，估价对象（分摊）出让国有建设用地使用权面积为0平方米，建筑面积为91.97平方米。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估价对象为北京市房地产,属开发建设的，该项目尚在开发建设中。根据《国有土地使用证》[]，估价对象（分摊）出让国有建设用地使用权面积为0平方米，规划建筑面积为91.97平方米。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2023年1月13日</v>
      </c>
    </row>
    <row r="13" spans="1:2" s="1202" customFormat="1">
      <c r="A13" s="1200" t="s">
        <v>529</v>
      </c>
      <c r="B13" s="1201" t="str">
        <f>'预评函-1'!A18</f>
        <v>本次估价的“房地产价值”是指在正常市场情况下，在价值时点2023年1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263</v>
      </c>
    </row>
    <row r="21" spans="1:2" s="1202" customFormat="1">
      <c r="A21" s="1200" t="s">
        <v>537</v>
      </c>
      <c r="B21" s="1201">
        <f ca="1">'预评函-2'!D7</f>
        <v>28582</v>
      </c>
    </row>
    <row r="22" spans="1:2" s="1202" customFormat="1">
      <c r="A22" s="1200" t="s">
        <v>538</v>
      </c>
      <c r="B22" s="1201" t="str">
        <f ca="1">'预评函-2'!D6</f>
        <v>贰佰陆拾叁万元整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263</v>
      </c>
    </row>
    <row r="31" spans="1:2" s="1202" customFormat="1">
      <c r="A31" s="1200" t="s">
        <v>576</v>
      </c>
      <c r="B31" s="1201">
        <f ca="1">'预评函-2'!D15</f>
        <v>28582</v>
      </c>
    </row>
    <row r="32" spans="1:2" s="1202" customFormat="1">
      <c r="A32" s="1200" t="s">
        <v>543</v>
      </c>
      <c r="B32" s="1201" t="str">
        <f ca="1">'预评函-2'!D14</f>
        <v>贰佰陆拾叁万元整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111</v>
      </c>
    </row>
    <row r="39" spans="1:2" s="1202" customFormat="1">
      <c r="A39" s="1200" t="s">
        <v>545</v>
      </c>
      <c r="B39" s="1201">
        <f ca="1">'预评函-2'!D21</f>
        <v>12069</v>
      </c>
    </row>
    <row r="40" spans="1:2" s="1202" customFormat="1">
      <c r="A40" s="1200" t="s">
        <v>546</v>
      </c>
      <c r="B40" s="1201" t="str">
        <f ca="1">'预评函-2'!D20</f>
        <v>壹佰壹拾壹万元整</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91.97</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3350</v>
      </c>
    </row>
    <row r="8" spans="1:23">
      <c r="A8" s="1545" t="s">
        <v>1026</v>
      </c>
      <c r="B8" s="1545" t="s">
        <v>1027</v>
      </c>
      <c r="C8" s="1546" t="s">
        <v>319</v>
      </c>
      <c r="F8" s="1547" t="s">
        <v>1028</v>
      </c>
      <c r="H8" s="1547" t="s">
        <v>2579</v>
      </c>
      <c r="I8" s="1547" t="s">
        <v>3351</v>
      </c>
    </row>
    <row r="9" spans="1:23">
      <c r="A9" s="1545" t="s">
        <v>1029</v>
      </c>
      <c r="B9" s="1545" t="s">
        <v>1030</v>
      </c>
      <c r="C9" s="1546" t="s">
        <v>320</v>
      </c>
      <c r="F9" s="1547" t="s">
        <v>1031</v>
      </c>
      <c r="H9" s="1547"/>
      <c r="I9" s="1550" t="s">
        <v>3352</v>
      </c>
    </row>
    <row r="10" spans="1:23">
      <c r="A10" s="1545" t="s">
        <v>1032</v>
      </c>
      <c r="B10" s="1545" t="s">
        <v>1033</v>
      </c>
      <c r="C10" s="1546" t="s">
        <v>321</v>
      </c>
      <c r="F10" s="1547" t="s">
        <v>2580</v>
      </c>
      <c r="I10" s="1550" t="s">
        <v>3353</v>
      </c>
    </row>
    <row r="11" spans="1:23">
      <c r="A11" s="1545" t="s">
        <v>1034</v>
      </c>
      <c r="B11" s="1545" t="s">
        <v>1035</v>
      </c>
      <c r="C11" s="1546" t="s">
        <v>322</v>
      </c>
      <c r="F11" s="1547" t="s">
        <v>13</v>
      </c>
      <c r="I11" s="1550" t="s">
        <v>3354</v>
      </c>
    </row>
    <row r="12" spans="1:23">
      <c r="A12" s="1545" t="s">
        <v>1036</v>
      </c>
      <c r="B12" s="1545" t="s">
        <v>1037</v>
      </c>
      <c r="C12" s="1546" t="s">
        <v>323</v>
      </c>
      <c r="I12" s="1550" t="s">
        <v>3355</v>
      </c>
    </row>
    <row r="13" spans="1:23">
      <c r="A13" s="1545" t="s">
        <v>1038</v>
      </c>
      <c r="B13" s="1545" t="s">
        <v>1039</v>
      </c>
      <c r="C13" s="1546" t="s">
        <v>324</v>
      </c>
      <c r="I13" s="1550" t="s">
        <v>3356</v>
      </c>
    </row>
    <row r="14" spans="1:23">
      <c r="A14" s="1545" t="s">
        <v>1040</v>
      </c>
      <c r="B14" s="1545" t="s">
        <v>1041</v>
      </c>
      <c r="C14" s="1547" t="s">
        <v>13</v>
      </c>
      <c r="I14" s="1550" t="s">
        <v>3357</v>
      </c>
    </row>
    <row r="15" spans="1:23">
      <c r="A15" s="1545" t="s">
        <v>1042</v>
      </c>
      <c r="B15" s="1545" t="s">
        <v>1043</v>
      </c>
      <c r="C15" s="1546"/>
      <c r="I15" s="1550" t="s">
        <v>3358</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3" t="s">
        <v>385</v>
      </c>
      <c r="C54" s="1550" t="s">
        <v>583</v>
      </c>
    </row>
    <row r="55" spans="1:4">
      <c r="A55" s="3521"/>
      <c r="B55" s="1553" t="s">
        <v>386</v>
      </c>
      <c r="C55" s="1550" t="s">
        <v>584</v>
      </c>
    </row>
    <row r="56" spans="1:4">
      <c r="A56" s="3521"/>
      <c r="B56" s="1553" t="s">
        <v>387</v>
      </c>
      <c r="C56" s="1550" t="s">
        <v>588</v>
      </c>
    </row>
    <row r="57" spans="1:4">
      <c r="A57" s="352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8" t="s">
        <v>2595</v>
      </c>
      <c r="J1" s="3226"/>
      <c r="K1" s="3226"/>
      <c r="L1" s="3226"/>
      <c r="M1" s="3226"/>
      <c r="N1" s="3439"/>
      <c r="O1" s="3439"/>
      <c r="P1" s="3439"/>
      <c r="Q1" s="3439"/>
      <c r="R1" s="3439"/>
    </row>
    <row r="2" spans="1:18">
      <c r="A2" s="3016"/>
      <c r="B2" s="3017"/>
      <c r="C2" s="3017"/>
      <c r="D2" s="3017"/>
      <c r="E2" s="3017"/>
      <c r="F2" s="3018"/>
      <c r="I2" s="3522" t="s">
        <v>2582</v>
      </c>
      <c r="J2" s="3522"/>
      <c r="K2" s="3522"/>
      <c r="L2" s="3522"/>
      <c r="M2" s="3522"/>
      <c r="N2" s="3522"/>
      <c r="O2" s="3522"/>
      <c r="P2" s="3522"/>
      <c r="Q2" s="3522"/>
      <c r="R2" s="3522"/>
    </row>
    <row r="3" spans="1:18">
      <c r="A3" s="3019" t="s">
        <v>2503</v>
      </c>
      <c r="B3" s="3020">
        <f>项目基本情况!D3</f>
        <v>44939</v>
      </c>
      <c r="C3" s="3022"/>
      <c r="D3" s="3022"/>
      <c r="E3" s="3022"/>
      <c r="F3" s="3018"/>
      <c r="I3" s="3440"/>
      <c r="J3" s="3440" t="s">
        <v>2586</v>
      </c>
      <c r="K3" s="3440" t="s">
        <v>2587</v>
      </c>
      <c r="L3" s="3440" t="s">
        <v>2588</v>
      </c>
      <c r="M3" s="3440" t="s">
        <v>2589</v>
      </c>
      <c r="N3" s="3441" t="s">
        <v>2590</v>
      </c>
      <c r="O3" s="3441" t="s">
        <v>2591</v>
      </c>
      <c r="P3" s="3441" t="s">
        <v>2592</v>
      </c>
      <c r="Q3" s="3441" t="s">
        <v>2593</v>
      </c>
      <c r="R3" s="3441" t="s">
        <v>2594</v>
      </c>
    </row>
    <row r="4" spans="1:18">
      <c r="A4" s="3019" t="s">
        <v>2504</v>
      </c>
      <c r="B4" s="3022" t="s">
        <v>2505</v>
      </c>
      <c r="C4" s="3022" t="s">
        <v>2506</v>
      </c>
      <c r="D4" s="3022" t="s">
        <v>2507</v>
      </c>
      <c r="E4" s="3022" t="s">
        <v>2508</v>
      </c>
      <c r="F4" s="3018"/>
      <c r="I4" s="3440" t="s">
        <v>2583</v>
      </c>
      <c r="J4" s="3440">
        <v>80</v>
      </c>
      <c r="K4" s="3440">
        <v>70</v>
      </c>
      <c r="L4" s="3440">
        <v>20</v>
      </c>
      <c r="M4" s="3440">
        <v>30</v>
      </c>
      <c r="N4" s="3022">
        <v>45</v>
      </c>
      <c r="O4" s="3022">
        <v>60</v>
      </c>
      <c r="P4" s="3022">
        <v>50</v>
      </c>
      <c r="Q4" s="3022">
        <v>20</v>
      </c>
      <c r="R4" s="3022">
        <v>375</v>
      </c>
    </row>
    <row r="5" spans="1:18">
      <c r="A5" s="3023">
        <v>40</v>
      </c>
      <c r="B5" s="3020">
        <v>46375</v>
      </c>
      <c r="C5" s="3022">
        <f>ROUNDDOWN(MIN((B5-B3)/365,A5),2)</f>
        <v>3.93</v>
      </c>
      <c r="D5" s="3024">
        <f>IF(ISERROR(ROUND(POWER(1+E5,A5-C5)*(POWER(1+E5,C5)-1)/(POWER(1+E5,A5)-1),3)),0,ROUND(POWER(1+E5,A5-C5)*(POWER(1+E5,C5)-1)/(POWER(1+E5,A5)-1),4))</f>
        <v>0.1804</v>
      </c>
      <c r="E5" s="3025">
        <v>0.04</v>
      </c>
      <c r="F5" s="3018"/>
      <c r="I5" s="3440" t="s">
        <v>2584</v>
      </c>
      <c r="J5" s="3440">
        <v>70</v>
      </c>
      <c r="K5" s="3440">
        <v>60</v>
      </c>
      <c r="L5" s="3440">
        <v>15</v>
      </c>
      <c r="M5" s="3440">
        <v>25</v>
      </c>
      <c r="N5" s="3022">
        <v>40</v>
      </c>
      <c r="O5" s="3022">
        <v>50</v>
      </c>
      <c r="P5" s="3022">
        <v>40</v>
      </c>
      <c r="Q5" s="3022">
        <v>15</v>
      </c>
      <c r="R5" s="3022">
        <v>315</v>
      </c>
    </row>
    <row r="6" spans="1:18">
      <c r="A6" s="3023">
        <v>50</v>
      </c>
      <c r="B6" s="3020">
        <v>50028</v>
      </c>
      <c r="C6" s="3022">
        <f>ROUNDDOWN(MIN((B6-B3)/365,A6),2)</f>
        <v>13.94</v>
      </c>
      <c r="D6" s="3024">
        <f>IF(ISERROR(ROUND(POWER(1+E6,A6-C6)*(POWER(1+E6,C6)-1)/(POWER(1+E6,A6)-1),3)),0,ROUND(POWER(1+E6,A6-C6)*(POWER(1+E6,C6)-1)/(POWER(1+E6,A6)-1),4))</f>
        <v>0.49009999999999998</v>
      </c>
      <c r="E6" s="3025">
        <v>0.04</v>
      </c>
      <c r="F6" s="3018"/>
      <c r="I6" s="3440" t="s">
        <v>2585</v>
      </c>
      <c r="J6" s="3440">
        <v>60</v>
      </c>
      <c r="K6" s="3440">
        <v>50</v>
      </c>
      <c r="L6" s="3440">
        <v>10</v>
      </c>
      <c r="M6" s="3440">
        <v>20</v>
      </c>
      <c r="N6" s="3022">
        <v>35</v>
      </c>
      <c r="O6" s="3022">
        <v>40</v>
      </c>
      <c r="P6" s="3022">
        <v>30</v>
      </c>
      <c r="Q6" s="3022">
        <v>10</v>
      </c>
      <c r="R6" s="3022">
        <v>255</v>
      </c>
    </row>
    <row r="7" spans="1:18">
      <c r="A7" s="3023">
        <v>70</v>
      </c>
      <c r="B7" s="3020">
        <v>57333</v>
      </c>
      <c r="C7" s="3022">
        <f>ROUNDDOWN(MIN((B7-B3)/365,A7),2)</f>
        <v>33.950000000000003</v>
      </c>
      <c r="D7" s="3024">
        <f>IF(ISERROR(ROUND(POWER(1+E7,A7-C7)*(POWER(1+E7,C7)-1)/(POWER(1+E7,A7)-1),3)),0,ROUND(POWER(1+E7,A7-C7)*(POWER(1+E7,C7)-1)/(POWER(1+E7,A7)-1),4))</f>
        <v>0.78639999999999999</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31" t="str">
        <f>IF(B10="北京市","北京市",C10)&amp;F10&amp;IF(结果表!G1="在建","出让国有建设用地使用权及在建建筑物",IF(结果表!G1="土地","出让国有建设用地使用权",))&amp;B9&amp;"预评估"</f>
        <v>北京市房地产抵押价值预评估</v>
      </c>
      <c r="C1" s="3532"/>
      <c r="D1" s="3532"/>
      <c r="E1" s="3532"/>
      <c r="F1" s="3532"/>
      <c r="G1" s="3532"/>
      <c r="H1" s="3532"/>
      <c r="I1" s="353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44939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3374</v>
      </c>
      <c r="C8" s="2389"/>
      <c r="D8" s="3534" t="s">
        <v>2176</v>
      </c>
      <c r="E8" s="2390" t="s">
        <v>3375</v>
      </c>
      <c r="F8" s="2391"/>
      <c r="G8" s="2662"/>
      <c r="H8" s="2662"/>
      <c r="I8" s="2662"/>
      <c r="J8" s="2438"/>
      <c r="K8" s="2613"/>
      <c r="L8" s="2612"/>
      <c r="M8" s="2612"/>
      <c r="N8" s="2438"/>
      <c r="O8" s="2449"/>
      <c r="P8" s="2438"/>
      <c r="Q8" s="2438"/>
      <c r="R8" s="2438"/>
    </row>
    <row r="9" spans="1:30" ht="13.5" thickBot="1">
      <c r="A9" s="2392" t="s">
        <v>2177</v>
      </c>
      <c r="B9" s="2393" t="s">
        <v>3375</v>
      </c>
      <c r="C9" s="2394"/>
      <c r="D9" s="3535"/>
      <c r="E9" s="2393" t="s">
        <v>587</v>
      </c>
      <c r="F9" s="2395"/>
      <c r="G9" s="2664"/>
      <c r="H9" s="2664"/>
      <c r="I9" s="2664"/>
      <c r="J9" s="2438"/>
      <c r="K9" s="2615"/>
      <c r="L9" s="2612"/>
      <c r="M9" s="2612"/>
      <c r="N9" s="2438"/>
      <c r="O9" s="2449"/>
      <c r="P9" s="2438"/>
      <c r="Q9" s="2438"/>
      <c r="R9" s="2438"/>
    </row>
    <row r="10" spans="1:30" ht="13.5" thickTop="1">
      <c r="A10" s="2396" t="s">
        <v>2178</v>
      </c>
      <c r="B10" s="2397" t="s">
        <v>3376</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3377</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4"/>
    </row>
    <row r="13" spans="1:30">
      <c r="A13" s="3424" t="s">
        <v>3340</v>
      </c>
      <c r="B13" s="2406" t="s">
        <v>2189</v>
      </c>
      <c r="C13" s="855"/>
      <c r="D13" s="855"/>
      <c r="E13" s="855">
        <v>57911</v>
      </c>
      <c r="F13" s="855"/>
      <c r="G13" s="855"/>
      <c r="H13" s="855"/>
      <c r="I13" s="855"/>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35.53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41"/>
      <c r="C16" s="3542"/>
      <c r="D16" s="3543"/>
      <c r="E16" s="2412" t="s">
        <v>2193</v>
      </c>
      <c r="F16" s="3544"/>
      <c r="G16" s="3545"/>
      <c r="H16" s="3545"/>
      <c r="I16" s="3546"/>
      <c r="J16" s="2438"/>
      <c r="K16" s="2616"/>
      <c r="L16" s="2450"/>
      <c r="M16" s="2450"/>
      <c r="N16" s="2508"/>
      <c r="O16" s="2450"/>
      <c r="P16" s="2508"/>
      <c r="Q16" s="2438"/>
      <c r="R16" s="2438"/>
    </row>
    <row r="17" spans="1:28">
      <c r="A17" s="313" t="s">
        <v>2194</v>
      </c>
      <c r="B17" s="302" t="s">
        <v>2195</v>
      </c>
      <c r="C17" s="8">
        <f>'数据-汇总表'!E3</f>
        <v>91.97</v>
      </c>
      <c r="D17" s="2321" t="s">
        <v>2196</v>
      </c>
      <c r="E17" s="3547" t="s">
        <v>2197</v>
      </c>
      <c r="F17" s="3548"/>
      <c r="G17" s="3548"/>
      <c r="H17" s="3548"/>
      <c r="I17" s="3549"/>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50" t="s">
        <v>2201</v>
      </c>
      <c r="F18" s="3551"/>
      <c r="G18" s="3551"/>
      <c r="H18" s="3551"/>
      <c r="I18" s="3552"/>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37" t="s">
        <v>2205</v>
      </c>
      <c r="C20" s="3538"/>
      <c r="D20" s="3539" t="s">
        <v>2206</v>
      </c>
      <c r="E20" s="3540"/>
      <c r="F20" s="2646" t="s">
        <v>1056</v>
      </c>
      <c r="G20" s="2663"/>
      <c r="H20" s="2663"/>
      <c r="I20" s="2663"/>
      <c r="J20" s="2438"/>
      <c r="K20" s="3536"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3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3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4"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4"/>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4"/>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5"/>
      <c r="B30" s="302" t="s">
        <v>2217</v>
      </c>
      <c r="C30" s="3526"/>
      <c r="D30" s="3527"/>
      <c r="E30" s="2663"/>
      <c r="F30" s="2663"/>
      <c r="G30" s="2663"/>
      <c r="H30" s="2663"/>
      <c r="I30" s="2663"/>
      <c r="J30" s="2438"/>
      <c r="K30" s="2615"/>
      <c r="L30" s="2612"/>
      <c r="M30" s="2612"/>
      <c r="N30" s="2438"/>
      <c r="O30" s="2449"/>
      <c r="P30" s="2438"/>
      <c r="Q30" s="2438"/>
      <c r="R30" s="2438"/>
      <c r="S30" s="2438"/>
      <c r="T30" s="2438"/>
      <c r="U30" s="2438"/>
      <c r="V30" s="2438"/>
    </row>
    <row r="31" spans="1:28">
      <c r="A31" s="3528"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23" t="s">
        <v>2227</v>
      </c>
      <c r="T34" s="2427" t="str">
        <f>NUMBERSTRING(7-K34,1)&amp;"通"</f>
        <v>七通</v>
      </c>
      <c r="U34" s="2438"/>
      <c r="V34" s="2438"/>
    </row>
    <row r="35" spans="1:30">
      <c r="A35" s="2428"/>
      <c r="B35" s="3530" t="s">
        <v>2228</v>
      </c>
      <c r="C35" s="3530"/>
      <c r="D35" s="3530"/>
      <c r="E35" s="3530"/>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91.97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91.97</v>
      </c>
      <c r="H5" s="13">
        <f t="shared" ref="H5:AT5" si="0">SUM(H13:H656)</f>
        <v>91.97</v>
      </c>
      <c r="I5" s="13">
        <f t="shared" si="0"/>
        <v>91.97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91.97</v>
      </c>
      <c r="BA5" s="15">
        <f t="shared" si="1"/>
        <v>91.97</v>
      </c>
      <c r="BB5" s="15">
        <f t="shared" si="1"/>
        <v>91.97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3378</v>
      </c>
      <c r="E13" s="13">
        <f>IF($C$3="是",ROUND($A$3*G13/$B$3,2),ROUND($A$3*(G13-AT13)/$B$3,2))</f>
        <v>0</v>
      </c>
      <c r="F13" s="29"/>
      <c r="G13" s="30">
        <f>H13+AC13+AT13</f>
        <v>91.97</v>
      </c>
      <c r="H13" s="17">
        <f>SUMIF(I$12:AB$12,"总值",I13:AB13)</f>
        <v>91.97</v>
      </c>
      <c r="I13" s="1625">
        <v>91.97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91.97</v>
      </c>
      <c r="BA13" s="13">
        <f>SUM(BB13:BK13)</f>
        <v>91.97</v>
      </c>
      <c r="BB13" s="13">
        <f>IF($D13="是",I13-J13,0)</f>
        <v>91.97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40" sqref="D4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62" t="s">
        <v>1131</v>
      </c>
      <c r="B2" s="3562"/>
      <c r="C2" s="3562"/>
      <c r="D2" s="795" t="s">
        <v>1107</v>
      </c>
      <c r="E2" s="1638" t="s">
        <v>1108</v>
      </c>
      <c r="F2" s="2658"/>
      <c r="G2" s="2649"/>
      <c r="H2" s="2650"/>
      <c r="I2" s="2324" t="s">
        <v>1132</v>
      </c>
      <c r="J2" s="2658"/>
      <c r="K2" s="2658"/>
      <c r="L2" s="2658"/>
      <c r="M2" s="2658"/>
      <c r="N2" s="2660"/>
      <c r="O2" s="2658"/>
      <c r="P2" s="2658"/>
    </row>
    <row r="3" spans="1:16" ht="15.75" thickBot="1">
      <c r="A3" s="3563" t="s">
        <v>1105</v>
      </c>
      <c r="B3" s="3563"/>
      <c r="C3" s="3563"/>
      <c r="D3" s="43">
        <f>'数据-基础表'!AY6</f>
        <v>0</v>
      </c>
      <c r="E3" s="43">
        <f>'数据-基础表'!AZ5</f>
        <v>91.97</v>
      </c>
      <c r="F3" s="2658"/>
      <c r="G3" s="1144"/>
      <c r="H3" s="1025" t="s">
        <v>1106</v>
      </c>
      <c r="I3" s="854" t="e">
        <f>ROUND('数据-基础表'!B3/'数据-基础表'!A3,2)</f>
        <v>#DIV/0!</v>
      </c>
      <c r="J3" s="2658"/>
      <c r="K3" s="2658"/>
      <c r="L3" s="2658"/>
      <c r="M3" s="2658"/>
      <c r="N3" s="2660"/>
      <c r="O3" s="2658"/>
      <c r="P3" s="2658"/>
    </row>
    <row r="4" spans="1:16" ht="15">
      <c r="A4" s="3564"/>
      <c r="B4" s="3565"/>
      <c r="C4" s="3566"/>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67" t="s">
        <v>1110</v>
      </c>
      <c r="C5" s="3567"/>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67" t="s">
        <v>1111</v>
      </c>
      <c r="C6" s="3567"/>
      <c r="D6" s="45">
        <f>ROUND($D$3*E6/$E$3,2)</f>
        <v>0</v>
      </c>
      <c r="E6" s="46">
        <f>E3-E5</f>
        <v>91.97</v>
      </c>
      <c r="F6" s="2658"/>
      <c r="G6" s="2652" t="s">
        <v>1112</v>
      </c>
      <c r="H6" s="1145" t="s">
        <v>1113</v>
      </c>
      <c r="I6" s="2653" t="e">
        <f>ROUND(F31/D31,2)</f>
        <v>#DIV/0!</v>
      </c>
      <c r="J6" s="2658"/>
      <c r="K6" s="2658"/>
      <c r="L6" s="2658"/>
      <c r="M6" s="2658"/>
      <c r="N6" s="2658"/>
      <c r="O6" s="2658"/>
      <c r="P6" s="2658"/>
    </row>
    <row r="7" spans="1:16" ht="15.75" thickBot="1">
      <c r="A7" s="3559"/>
      <c r="B7" s="3560"/>
      <c r="C7" s="3561"/>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91.97</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91.97</v>
      </c>
      <c r="F16" s="2658"/>
      <c r="G16" s="2659"/>
      <c r="H16" s="1647" t="s">
        <v>1135</v>
      </c>
      <c r="I16" s="1648"/>
      <c r="J16" s="1138"/>
      <c r="K16" s="3556" t="s">
        <v>1135</v>
      </c>
      <c r="L16" s="3557"/>
      <c r="M16" s="3557"/>
      <c r="N16" s="3557"/>
      <c r="O16" s="3557"/>
      <c r="P16" s="3558"/>
    </row>
    <row r="17" spans="1:19" ht="15">
      <c r="A17" s="1649" t="s">
        <v>1136</v>
      </c>
      <c r="B17" s="1650" t="s">
        <v>1137</v>
      </c>
      <c r="C17" s="1651" t="s">
        <v>1138</v>
      </c>
      <c r="D17" s="1652" t="s">
        <v>1126</v>
      </c>
      <c r="E17" s="1653" t="s">
        <v>1127</v>
      </c>
      <c r="F17" s="1654"/>
      <c r="G17" s="1655"/>
      <c r="H17" s="1656" t="s">
        <v>1139</v>
      </c>
      <c r="I17" s="1657" t="s">
        <v>1124</v>
      </c>
      <c r="J17" s="1138"/>
      <c r="K17" s="3553" t="s">
        <v>1140</v>
      </c>
      <c r="L17" s="3554"/>
      <c r="M17" s="3555"/>
      <c r="N17" s="3553" t="s">
        <v>1141</v>
      </c>
      <c r="O17" s="3554"/>
      <c r="P17" s="3555"/>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8">
        <v>704</v>
      </c>
      <c r="D19" s="45">
        <f>ROUND($D$3*E19/$E$3,2)</f>
        <v>0</v>
      </c>
      <c r="E19" s="53">
        <f t="shared" ref="E19:E26" si="1">SUM(F19:G19)</f>
        <v>91.97</v>
      </c>
      <c r="F19" s="2794">
        <f>'数据-基础表'!I13</f>
        <v>91.97</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91.97</v>
      </c>
    </row>
    <row r="20" spans="1:19">
      <c r="A20" s="1669"/>
      <c r="B20" s="47" t="s">
        <v>1153</v>
      </c>
      <c r="C20" s="3418"/>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8"/>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9"/>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9"/>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9"/>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9"/>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91.97</v>
      </c>
      <c r="F27" s="1139">
        <f>IF(SUM(F19:F26)=E8,SUM(F19:F26),"地上面积有误")</f>
        <v>91.97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91.97</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91.97</v>
      </c>
      <c r="F31" s="676">
        <f>F27+F30</f>
        <v>91.97</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L6" activePane="bottomRight" state="frozen"/>
      <selection activeCell="C50" sqref="C50"/>
      <selection pane="topRight" activeCell="C50" sqref="C50"/>
      <selection pane="bottomLeft" activeCell="C50" sqref="C50"/>
      <selection pane="bottomRight" activeCell="R32" sqref="R32"/>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44939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f>'数据-汇总表'!C19</f>
        <v>704</v>
      </c>
      <c r="B6" s="1712" t="str">
        <f>IF(A6=0,"","经营性")</f>
        <v>经营性</v>
      </c>
      <c r="C6" s="1713" t="s">
        <v>21</v>
      </c>
      <c r="D6" s="857">
        <f>SUMIF(项目基本情况!C$12:I$12,C6,项目基本情况!C$14:I$14)</f>
        <v>50</v>
      </c>
      <c r="E6" s="856">
        <f>IF(B6="","",SUMIF(项目基本情况!C$12:H$12,C6,项目基本情况!C$13:H$13))</f>
        <v>57911</v>
      </c>
      <c r="F6" s="64">
        <f>SUMIF(项目基本情况!C$12:I$12,C6,项目基本情况!C$15:I$15)</f>
        <v>35.53</v>
      </c>
      <c r="G6" s="65">
        <f>IF(ISERROR(ROUND(POWER(1+H6,D6-F6)*(POWER(1+H6,F6)-1)/(POWER(1+H6,D6)-1),3)),0,ROUND(POWER(1+H6,D6-F6)*(POWER(1+H6,F6)-1)/(POWER(1+H6,D6)-1),3))</f>
        <v>0.90200000000000002</v>
      </c>
      <c r="H6" s="731">
        <v>0.05</v>
      </c>
      <c r="I6" s="731">
        <v>5.5E-2</v>
      </c>
      <c r="J6" s="66">
        <v>7.0000000000000007E-2</v>
      </c>
      <c r="K6" s="1029">
        <f>SUMIF('数据-汇总表'!C$19:C$33,A6,'数据-汇总表'!E$19:E$33)</f>
        <v>91.97</v>
      </c>
      <c r="L6" s="732">
        <v>4500</v>
      </c>
      <c r="M6" s="67">
        <f t="shared" ref="M6:M14" si="0">ROUND(K6*L6/10000,0)</f>
        <v>41</v>
      </c>
      <c r="N6" s="730">
        <f>ROUND(1-(2023-N20)/60,2)</f>
        <v>0.83</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9">
        <v>3.5</v>
      </c>
      <c r="V6" s="70">
        <v>2.5000000000000001E-2</v>
      </c>
      <c r="W6" s="70">
        <v>0.1</v>
      </c>
      <c r="X6" s="1039"/>
      <c r="Y6" s="71">
        <f>N6</f>
        <v>0.83</v>
      </c>
      <c r="Z6" s="72"/>
      <c r="AA6" s="66"/>
      <c r="AB6" s="66"/>
      <c r="AC6" s="1039"/>
      <c r="AD6" s="73"/>
      <c r="AE6" s="1040">
        <f ca="1">IF(AN6="",0,SUMIF(INDIRECT("'"&amp;AN6&amp;"'"&amp;"!E:E"),$AE$5,INDIRECT("'"&amp;AN6&amp;"'"&amp;"!F:F")))</f>
        <v>35.53</v>
      </c>
      <c r="AF6" s="1347"/>
      <c r="AG6" s="138">
        <f>IF(AF6="",0,AE6-AF6)</f>
        <v>0</v>
      </c>
      <c r="AH6" s="74"/>
      <c r="AI6" s="76">
        <v>365</v>
      </c>
      <c r="AJ6" s="77"/>
      <c r="AK6" s="78">
        <v>0.01</v>
      </c>
      <c r="AL6" s="79">
        <v>1E-3</v>
      </c>
      <c r="AM6" s="80">
        <v>0.01</v>
      </c>
      <c r="AN6" s="1714" t="s">
        <v>3422</v>
      </c>
      <c r="AO6" s="52">
        <f ca="1">SUMIF(INDIRECT("'"&amp;AN6&amp;"'"&amp;"!A:A"),"总价",INDIRECT("'"&amp;AN6&amp;"'"&amp;"!B:B"))</f>
        <v>172.6267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9"/>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IF(B8="","",SUMIF(项目基本情况!C$12:H$12,C8,项目基本情况!C$13:H$13))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30"/>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IF(B9="","",SUMIF(项目基本情况!C$12:H$12,C9,项目基本情况!C$13:H$13))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9"/>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IF(B10="","",SUMIF(项目基本情况!C$12:H$12,C10,项目基本情况!C$13:H$13))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9"/>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IF(B11="","",SUMIF(项目基本情况!C$12:H$12,C11,项目基本情况!C$13:H$13))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9"/>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9"/>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31"/>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0.90200000000000002</v>
      </c>
      <c r="H16" s="90">
        <f>ROUND(SUMPRODUCT(H6:H13,K6:K13)/SUMPRODUCT((H6:H13&gt;0)*(K6:K13)),3)</f>
        <v>0.05</v>
      </c>
      <c r="I16" s="91"/>
      <c r="J16" s="91"/>
      <c r="K16" s="92">
        <f>SUM(K6:K15)</f>
        <v>91.97</v>
      </c>
      <c r="L16" s="93">
        <f>ROUND(M16*10000/SUM(K6:K14),0)</f>
        <v>4458</v>
      </c>
      <c r="M16" s="93">
        <f>SUM(M6:M14)</f>
        <v>41</v>
      </c>
      <c r="N16" s="94">
        <f>ROUND(SUMPRODUCT(M6:M14,N6:N14)/M16,3)</f>
        <v>0.83</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v>2013</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3423</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68" t="s">
        <v>2285</v>
      </c>
      <c r="B1" s="3569"/>
      <c r="C1" s="3569"/>
      <c r="D1" s="3569"/>
      <c r="E1" s="3569"/>
      <c r="F1" s="3569"/>
      <c r="G1" s="356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3" sqref="G33"/>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1642.01</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44939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4758</v>
      </c>
      <c r="C5" s="2511">
        <f ca="1">IF(B5=D14,结果表!H102,ROUND(B5*10000/$B$1,0))</f>
        <v>28582</v>
      </c>
      <c r="D5" s="2511" t="e">
        <f ca="1">ROUND(B5*10000/$B$2,0)</f>
        <v>#DIV/0!</v>
      </c>
      <c r="E5" s="2685"/>
      <c r="F5" s="2686"/>
      <c r="G5" s="2686"/>
      <c r="H5" s="2687"/>
      <c r="I5" s="2687"/>
      <c r="J5" s="2687"/>
      <c r="K5" s="2687"/>
    </row>
    <row r="6" spans="1:11" ht="16.5">
      <c r="A6" s="2511" t="s">
        <v>656</v>
      </c>
      <c r="B6" s="2511">
        <f>SUM(G14:G23)</f>
        <v>0</v>
      </c>
      <c r="C6" s="2511">
        <f ca="1">IF(B6=G14,结果表!H108,ROUND(B6*10000/$B$1,0))</f>
        <v>28582</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f ca="1">IF(B8=I14,结果表!H112,ROUND(B8*10000/$B$1,0))</f>
        <v>12069</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3366</v>
      </c>
      <c r="D10" s="2511" t="s">
        <v>3367</v>
      </c>
      <c r="E10" s="3442"/>
      <c r="F10" s="3446" t="s">
        <v>3368</v>
      </c>
      <c r="G10" s="3443"/>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1642.01</v>
      </c>
      <c r="C14" s="2517"/>
      <c r="D14" s="2517">
        <f ca="1">典型户型修正!B20</f>
        <v>4758</v>
      </c>
      <c r="E14" s="2517">
        <f ca="1">ROUND(D14*10000/B14,0)</f>
        <v>28977</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F27" sqref="F2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4" t="str">
        <f>项目基本情况!S2</f>
        <v>北京市房地产</v>
      </c>
      <c r="B2" s="3605"/>
      <c r="C2" s="3605"/>
      <c r="D2" s="3605"/>
      <c r="E2" s="3605"/>
      <c r="F2" s="3605"/>
      <c r="G2" s="3605"/>
      <c r="H2" s="3605"/>
      <c r="I2" s="3606"/>
    </row>
    <row r="3" spans="1:12" ht="12.75">
      <c r="A3" s="3608" t="s">
        <v>1264</v>
      </c>
      <c r="B3" s="3609"/>
      <c r="C3" s="3609"/>
      <c r="D3" s="3609"/>
      <c r="E3" s="3609"/>
      <c r="F3" s="3609"/>
      <c r="G3" s="3609"/>
      <c r="H3" s="3609"/>
      <c r="I3" s="3609"/>
    </row>
    <row r="4" spans="1:12" ht="14.25">
      <c r="A4" s="1753" t="s">
        <v>1265</v>
      </c>
      <c r="B4" s="1754" t="s">
        <v>1266</v>
      </c>
      <c r="C4" s="1755" t="s">
        <v>3433</v>
      </c>
      <c r="D4" s="1755" t="s">
        <v>3422</v>
      </c>
      <c r="E4" s="3610" t="s">
        <v>1267</v>
      </c>
      <c r="F4" s="3611"/>
      <c r="G4" s="3611"/>
      <c r="H4" s="3611"/>
      <c r="I4" s="361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4" t="s">
        <v>1268</v>
      </c>
      <c r="B5" s="3571">
        <v>25</v>
      </c>
      <c r="C5" s="3587"/>
      <c r="D5" s="3607"/>
      <c r="E5" s="131" t="s">
        <v>1269</v>
      </c>
      <c r="F5" s="1756"/>
      <c r="G5" s="1756"/>
      <c r="H5" s="1756"/>
      <c r="I5" s="1372"/>
    </row>
    <row r="6" spans="1:12" ht="12.75">
      <c r="A6" s="3584"/>
      <c r="B6" s="3571"/>
      <c r="C6" s="3588"/>
      <c r="D6" s="3607"/>
      <c r="E6" s="131" t="s">
        <v>1270</v>
      </c>
      <c r="F6" s="1756"/>
      <c r="G6" s="1756"/>
      <c r="H6" s="1756"/>
      <c r="I6" s="1372"/>
    </row>
    <row r="7" spans="1:12" ht="12.75">
      <c r="A7" s="3584"/>
      <c r="B7" s="3571"/>
      <c r="C7" s="3589"/>
      <c r="D7" s="3607"/>
      <c r="E7" s="131" t="s">
        <v>1271</v>
      </c>
      <c r="F7" s="1756"/>
      <c r="G7" s="1756"/>
      <c r="H7" s="1756"/>
      <c r="I7" s="1372"/>
    </row>
    <row r="8" spans="1:12" ht="12.75">
      <c r="A8" s="3584" t="s">
        <v>1272</v>
      </c>
      <c r="B8" s="3571">
        <v>15</v>
      </c>
      <c r="C8" s="3587"/>
      <c r="D8" s="3607"/>
      <c r="E8" s="131" t="s">
        <v>1273</v>
      </c>
      <c r="F8" s="1756"/>
      <c r="G8" s="1756"/>
      <c r="H8" s="1756"/>
      <c r="I8" s="1372"/>
    </row>
    <row r="9" spans="1:12" ht="12.75">
      <c r="A9" s="3584"/>
      <c r="B9" s="3571"/>
      <c r="C9" s="3589"/>
      <c r="D9" s="3607"/>
      <c r="E9" s="131" t="s">
        <v>1274</v>
      </c>
      <c r="F9" s="1756"/>
      <c r="G9" s="1756"/>
      <c r="H9" s="1756"/>
      <c r="I9" s="1372"/>
    </row>
    <row r="10" spans="1:12" ht="12.75">
      <c r="A10" s="3584" t="s">
        <v>1275</v>
      </c>
      <c r="B10" s="3571">
        <v>15</v>
      </c>
      <c r="C10" s="3587"/>
      <c r="D10" s="3607"/>
      <c r="E10" s="131" t="s">
        <v>1276</v>
      </c>
      <c r="F10" s="1756"/>
      <c r="G10" s="1756"/>
      <c r="H10" s="1756"/>
      <c r="I10" s="1372"/>
    </row>
    <row r="11" spans="1:12" ht="12.75">
      <c r="A11" s="3584"/>
      <c r="B11" s="3571"/>
      <c r="C11" s="3589"/>
      <c r="D11" s="3607"/>
      <c r="E11" s="131" t="s">
        <v>1277</v>
      </c>
      <c r="F11" s="1756"/>
      <c r="G11" s="1756"/>
      <c r="H11" s="1756"/>
      <c r="I11" s="1372"/>
    </row>
    <row r="12" spans="1:12" ht="12.75">
      <c r="A12" s="3584" t="s">
        <v>1278</v>
      </c>
      <c r="B12" s="3571">
        <v>15</v>
      </c>
      <c r="C12" s="3587"/>
      <c r="D12" s="3607"/>
      <c r="E12" s="131" t="s">
        <v>1279</v>
      </c>
      <c r="F12" s="1756"/>
      <c r="G12" s="1756"/>
      <c r="H12" s="1756"/>
      <c r="I12" s="1372"/>
    </row>
    <row r="13" spans="1:12" ht="12.75">
      <c r="A13" s="3584"/>
      <c r="B13" s="3571"/>
      <c r="C13" s="3589"/>
      <c r="D13" s="3607"/>
      <c r="E13" s="131" t="s">
        <v>1280</v>
      </c>
      <c r="F13" s="1756"/>
      <c r="G13" s="1756"/>
      <c r="H13" s="1756"/>
      <c r="I13" s="1372"/>
    </row>
    <row r="14" spans="1:12" ht="12.75">
      <c r="A14" s="3584" t="s">
        <v>1281</v>
      </c>
      <c r="B14" s="3571">
        <v>30</v>
      </c>
      <c r="C14" s="3587">
        <v>6</v>
      </c>
      <c r="D14" s="3607">
        <v>4</v>
      </c>
      <c r="E14" s="131" t="s">
        <v>1282</v>
      </c>
      <c r="F14" s="1756"/>
      <c r="G14" s="1756"/>
      <c r="H14" s="1756"/>
      <c r="I14" s="1372"/>
    </row>
    <row r="15" spans="1:12" ht="12.75">
      <c r="A15" s="3584"/>
      <c r="B15" s="3571"/>
      <c r="C15" s="3588"/>
      <c r="D15" s="3607"/>
      <c r="E15" s="131" t="s">
        <v>1283</v>
      </c>
      <c r="F15" s="1756"/>
      <c r="G15" s="1756"/>
      <c r="H15" s="1756"/>
      <c r="I15" s="1372"/>
    </row>
    <row r="16" spans="1:12" ht="12.75">
      <c r="A16" s="3584"/>
      <c r="B16" s="3571"/>
      <c r="C16" s="3589"/>
      <c r="D16" s="3607"/>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94" t="s">
        <v>2130</v>
      </c>
      <c r="F18" s="3595"/>
      <c r="G18" s="3595"/>
      <c r="H18" s="3595"/>
      <c r="I18" s="3595"/>
      <c r="K18" s="302" t="s">
        <v>1289</v>
      </c>
      <c r="L18" s="302">
        <f>IF(C1="",'数据-汇总表'!E3,SUMIF(项目类型,C1,'数据-汇总表'!E17:E26)+SUMIF(项目类型,C1,'数据-汇总表'!I17:I26))</f>
        <v>91.97</v>
      </c>
      <c r="M18" s="302">
        <f>IF(C1="",'数据-汇总表'!E3,SUMIF(项目类型,C1,'数据-汇总表'!E17:E26))</f>
        <v>91.97</v>
      </c>
    </row>
    <row r="19" spans="1:36" ht="15">
      <c r="A19" s="1760" t="s">
        <v>1290</v>
      </c>
      <c r="B19" s="1761" t="s">
        <v>1291</v>
      </c>
      <c r="C19" s="134">
        <f ca="1">SUMIF(INDIRECT("'"&amp;C4&amp;"'"&amp;"!A:A"),结果表!B19,INDIRECT("'"&amp;C4&amp;"'"&amp;"!B:B"))</f>
        <v>323.03539999999998</v>
      </c>
      <c r="D19" s="135">
        <f ca="1">SUMIF(INDIRECT("'"&amp;D4&amp;"'"&amp;"!A:A"),结果表!B19,INDIRECT("'"&amp;D4&amp;"'"&amp;"!B:B"))</f>
        <v>172.6267</v>
      </c>
      <c r="E19" s="1760" t="s">
        <v>1292</v>
      </c>
      <c r="F19" s="1761" t="s">
        <v>1291</v>
      </c>
      <c r="G19" s="136">
        <f ca="1">ROUND(C19*$C$18+D19*$D$18,0)</f>
        <v>263</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35124</v>
      </c>
      <c r="D20" s="138">
        <f ca="1">SUMIF(INDIRECT("'"&amp;D4&amp;"'"&amp;"!A:A"),结果表!B20,INDIRECT("'"&amp;D4&amp;"'"&amp;"!B:B"))</f>
        <v>18770</v>
      </c>
      <c r="E20" s="1763"/>
      <c r="F20" s="1025" t="s">
        <v>1295</v>
      </c>
      <c r="G20" s="139">
        <f ca="1">ROUND(C20*$C$18+D20*$D$18,0)</f>
        <v>28582</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0.87129453323269224</v>
      </c>
      <c r="E22" s="129"/>
      <c r="F22" s="129"/>
      <c r="G22" s="129"/>
      <c r="H22" s="129"/>
      <c r="I22" s="129"/>
    </row>
    <row r="23" spans="1:36" ht="13.5" thickBot="1">
      <c r="A23" s="1746"/>
      <c r="B23" s="1746"/>
      <c r="C23" s="1746"/>
      <c r="D23" s="1746"/>
      <c r="E23" s="129"/>
      <c r="F23" s="129"/>
      <c r="G23" s="129"/>
      <c r="H23" s="129"/>
      <c r="I23" s="129"/>
    </row>
    <row r="24" spans="1:36" ht="14.25">
      <c r="A24" s="3578" t="s">
        <v>1299</v>
      </c>
      <c r="B24" s="1761" t="s">
        <v>1291</v>
      </c>
      <c r="C24" s="136">
        <f>IF(B30=0,0,D30)</f>
        <v>0</v>
      </c>
      <c r="D24" s="1768"/>
      <c r="E24" s="129"/>
      <c r="F24" s="129"/>
      <c r="G24" s="129"/>
      <c r="H24" s="129"/>
      <c r="I24" s="129"/>
    </row>
    <row r="25" spans="1:36" ht="14.25">
      <c r="A25" s="3579"/>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28582</v>
      </c>
      <c r="D32" s="1774" t="s">
        <v>3432</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98" t="s">
        <v>1312</v>
      </c>
      <c r="B36" s="1786" t="s">
        <v>1313</v>
      </c>
      <c r="C36" s="145"/>
      <c r="D36" s="1787"/>
      <c r="E36" s="1788"/>
      <c r="F36" s="1789"/>
      <c r="G36" s="129"/>
      <c r="H36" s="129"/>
      <c r="I36" s="129"/>
    </row>
    <row r="37" spans="1:15" ht="15.75" thickBot="1">
      <c r="A37" s="3599"/>
      <c r="B37" s="1673" t="s">
        <v>1314</v>
      </c>
      <c r="C37" s="147"/>
      <c r="D37" s="1138"/>
      <c r="E37" s="1138"/>
      <c r="F37" s="1789"/>
      <c r="G37" s="129"/>
      <c r="H37" s="129"/>
      <c r="I37" s="129"/>
    </row>
    <row r="38" spans="1:15" ht="15.75" thickBot="1">
      <c r="A38" s="3600"/>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5" t="s">
        <v>1326</v>
      </c>
      <c r="B45" s="3576"/>
      <c r="C45" s="3577"/>
      <c r="D45" s="155">
        <f ca="1">ROUND(H101*F45,0)</f>
        <v>263</v>
      </c>
      <c r="E45" s="156" t="s">
        <v>1327</v>
      </c>
      <c r="F45" s="157">
        <v>1</v>
      </c>
      <c r="G45" s="158" t="s">
        <v>1328</v>
      </c>
      <c r="H45" s="129"/>
      <c r="I45" s="129"/>
      <c r="J45" s="3653" t="s">
        <v>1329</v>
      </c>
      <c r="K45" s="3653"/>
      <c r="L45" s="3653"/>
      <c r="M45" s="3653"/>
      <c r="N45" s="3653"/>
      <c r="O45" s="3653"/>
    </row>
    <row r="46" spans="1:15" ht="14.25" customHeight="1">
      <c r="A46" s="3572" t="s">
        <v>1330</v>
      </c>
      <c r="B46" s="3573"/>
      <c r="C46" s="3573"/>
      <c r="D46" s="3573"/>
      <c r="E46" s="3573"/>
      <c r="F46" s="3573"/>
      <c r="G46" s="3574"/>
      <c r="H46" s="1805"/>
      <c r="I46" s="159"/>
      <c r="J46" s="2522">
        <v>1</v>
      </c>
      <c r="K46" s="3634" t="s">
        <v>1331</v>
      </c>
      <c r="L46" s="3634"/>
      <c r="M46" s="3654"/>
      <c r="N46" s="3654"/>
      <c r="O46" s="3654"/>
    </row>
    <row r="47" spans="1:15" ht="12" customHeight="1">
      <c r="A47" s="160" t="s">
        <v>1332</v>
      </c>
      <c r="B47" s="161"/>
      <c r="C47" s="162"/>
      <c r="D47" s="1086" t="s">
        <v>1333</v>
      </c>
      <c r="E47" s="302" t="s">
        <v>1334</v>
      </c>
      <c r="F47" s="163" t="s">
        <v>1335</v>
      </c>
      <c r="G47" s="2545" t="s">
        <v>1336</v>
      </c>
      <c r="H47" s="2546"/>
      <c r="I47" s="159"/>
      <c r="J47" s="2522">
        <v>2</v>
      </c>
      <c r="K47" s="3634" t="s">
        <v>1337</v>
      </c>
      <c r="L47" s="3634"/>
      <c r="M47" s="3655">
        <f>'数据-取费表'!B2</f>
        <v>44939</v>
      </c>
      <c r="N47" s="3655"/>
      <c r="O47" s="3655"/>
    </row>
    <row r="48" spans="1:15" ht="25.5">
      <c r="A48" s="3603" t="s">
        <v>1338</v>
      </c>
      <c r="B48" s="3586"/>
      <c r="C48" s="3586"/>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34" t="s">
        <v>1340</v>
      </c>
      <c r="L48" s="3634"/>
      <c r="M48" s="3656">
        <f ca="1">H101</f>
        <v>263</v>
      </c>
      <c r="N48" s="3656"/>
      <c r="O48" s="3656"/>
    </row>
    <row r="49" spans="1:35" ht="25.5" customHeight="1">
      <c r="A49" s="2332" t="s">
        <v>1341</v>
      </c>
      <c r="B49" s="3570" t="s">
        <v>1342</v>
      </c>
      <c r="C49" s="3570"/>
      <c r="D49" s="1589">
        <v>0</v>
      </c>
      <c r="E49" s="324" t="s">
        <v>1343</v>
      </c>
      <c r="F49" s="2423" t="s">
        <v>28</v>
      </c>
      <c r="G49" s="3640"/>
      <c r="H49" s="2309" t="s">
        <v>2133</v>
      </c>
      <c r="I49" s="2310"/>
      <c r="J49" s="2522">
        <v>4</v>
      </c>
      <c r="K49" s="3634" t="str">
        <f>IF(项目基本情况!E8="房地产抵押价值","房地产抵押价值","抵押担保权已注销时的房地产抵押价值")</f>
        <v>房地产抵押价值</v>
      </c>
      <c r="L49" s="3634"/>
      <c r="M49" s="3656">
        <f ca="1">IF(项目基本情况!E8="房地产抵押价值",H107,H109)</f>
        <v>263</v>
      </c>
      <c r="N49" s="3656"/>
      <c r="O49" s="3656"/>
    </row>
    <row r="50" spans="1:35" ht="25.5" customHeight="1">
      <c r="A50" s="2550"/>
      <c r="B50" s="3570" t="s">
        <v>1344</v>
      </c>
      <c r="C50" s="3570"/>
      <c r="D50" s="2551"/>
      <c r="E50" s="332"/>
      <c r="F50" s="2423"/>
      <c r="G50" s="3641"/>
      <c r="H50" s="2311" t="s">
        <v>2134</v>
      </c>
      <c r="I50" s="2310"/>
      <c r="J50" s="3653" t="s">
        <v>1345</v>
      </c>
      <c r="K50" s="3653"/>
      <c r="L50" s="3653"/>
      <c r="M50" s="3653"/>
      <c r="N50" s="3653"/>
      <c r="O50" s="3653"/>
    </row>
    <row r="51" spans="1:35" ht="20.45" customHeight="1">
      <c r="A51" s="2552"/>
      <c r="B51" s="3570" t="s">
        <v>1346</v>
      </c>
      <c r="C51" s="3570"/>
      <c r="D51" s="1086"/>
      <c r="E51" s="327"/>
      <c r="F51" s="2423"/>
      <c r="G51" s="3642"/>
      <c r="H51" s="2311" t="s">
        <v>2135</v>
      </c>
      <c r="I51" s="2310"/>
      <c r="J51" s="2523" t="s">
        <v>1347</v>
      </c>
      <c r="K51" s="3634" t="s">
        <v>1348</v>
      </c>
      <c r="L51" s="3634"/>
      <c r="M51" s="2523" t="s">
        <v>1349</v>
      </c>
      <c r="N51" s="2523" t="s">
        <v>1350</v>
      </c>
      <c r="O51" s="2523" t="s">
        <v>1351</v>
      </c>
    </row>
    <row r="52" spans="1:35" ht="24" customHeight="1">
      <c r="A52" s="2334" t="s">
        <v>1352</v>
      </c>
      <c r="B52" s="3570" t="s">
        <v>1353</v>
      </c>
      <c r="C52" s="3570"/>
      <c r="D52" s="1086">
        <f ca="1">ROUND(D45*'数据-取费表'!B41/(1+'数据-取费表'!C42),0)</f>
        <v>14</v>
      </c>
      <c r="E52" s="2333" t="s">
        <v>1354</v>
      </c>
      <c r="F52" s="2553">
        <f>'数据-取费表'!B41</f>
        <v>5.5000000000000007E-2</v>
      </c>
      <c r="G52" s="2554"/>
      <c r="H52" s="2543"/>
      <c r="I52" s="1806"/>
      <c r="J52" s="2522">
        <v>1</v>
      </c>
      <c r="K52" s="3635" t="s">
        <v>1355</v>
      </c>
      <c r="L52" s="3635"/>
      <c r="M52" s="2524" t="b">
        <f>D48</f>
        <v>0</v>
      </c>
      <c r="N52" s="2522" t="str">
        <f>E48</f>
        <v>销售额×税（费）率</v>
      </c>
      <c r="O52" s="2525">
        <f>F48</f>
        <v>5.5000000000000007E-2</v>
      </c>
    </row>
    <row r="53" spans="1:35" ht="12" customHeight="1">
      <c r="A53" s="2334" t="s">
        <v>1356</v>
      </c>
      <c r="B53" s="3596" t="s">
        <v>2290</v>
      </c>
      <c r="C53" s="3597"/>
      <c r="D53" s="1086">
        <f ca="1">ROUND(D45*'数据-取费表'!B41/(1+'数据-取费表'!C42),0)</f>
        <v>14</v>
      </c>
      <c r="E53" s="2333" t="s">
        <v>1354</v>
      </c>
      <c r="F53" s="2553">
        <f>'数据-取费表'!B41</f>
        <v>5.5000000000000007E-2</v>
      </c>
      <c r="G53" s="2554"/>
      <c r="H53" s="2543"/>
      <c r="I53" s="1806"/>
      <c r="J53" s="2522">
        <v>2</v>
      </c>
      <c r="K53" s="3635" t="s">
        <v>1357</v>
      </c>
      <c r="L53" s="3635"/>
      <c r="M53" s="2524">
        <f t="shared" ref="M53:O54" ca="1" si="0">D55</f>
        <v>0</v>
      </c>
      <c r="N53" s="2522" t="str">
        <f t="shared" si="0"/>
        <v>销售额×税（费）率</v>
      </c>
      <c r="O53" s="2525" t="str">
        <f t="shared" si="0"/>
        <v>免征</v>
      </c>
    </row>
    <row r="54" spans="1:35" ht="12" customHeight="1">
      <c r="A54" s="2334" t="s">
        <v>1358</v>
      </c>
      <c r="B54" s="3596" t="s">
        <v>2291</v>
      </c>
      <c r="C54" s="3597"/>
      <c r="D54" s="1086">
        <f ca="1">C68</f>
        <v>14</v>
      </c>
      <c r="E54" s="327" t="s">
        <v>1359</v>
      </c>
      <c r="F54" s="2553">
        <f>'数据-取费表'!B41</f>
        <v>5.5000000000000007E-2</v>
      </c>
      <c r="G54" s="2554"/>
      <c r="H54" s="2555"/>
      <c r="I54" s="1806"/>
      <c r="J54" s="2522">
        <v>3</v>
      </c>
      <c r="K54" s="3635" t="s">
        <v>1360</v>
      </c>
      <c r="L54" s="3635"/>
      <c r="M54" s="2524">
        <f t="shared" ca="1" si="0"/>
        <v>149</v>
      </c>
      <c r="N54" s="2522" t="str">
        <f t="shared" si="0"/>
        <v>增值额×税（费）率</v>
      </c>
      <c r="O54" s="2526" t="str">
        <f t="shared" si="0"/>
        <v>免征</v>
      </c>
    </row>
    <row r="55" spans="1:35" ht="24" customHeight="1">
      <c r="A55" s="3585" t="s">
        <v>1361</v>
      </c>
      <c r="B55" s="3586"/>
      <c r="C55" s="3586"/>
      <c r="D55" s="2323">
        <f ca="1">IF(H55="个人住宅",0,ROUND(D45*I55,0))</f>
        <v>0</v>
      </c>
      <c r="E55" s="2333" t="s">
        <v>1362</v>
      </c>
      <c r="F55" s="2553" t="str">
        <f>IF(H55="正常",I55,"免征")</f>
        <v>免征</v>
      </c>
      <c r="G55" s="2554"/>
      <c r="H55" s="2549"/>
      <c r="I55" s="165">
        <f>'数据-取费表'!B49</f>
        <v>5.0000000000000001E-4</v>
      </c>
      <c r="J55" s="2522">
        <f>IF(H59="非个人房产","",4)</f>
        <v>4</v>
      </c>
      <c r="K55" s="3635" t="str">
        <f>IF(H59="非个人房产","——","个人所得税")</f>
        <v>个人所得税</v>
      </c>
      <c r="L55" s="3635"/>
      <c r="M55" s="2527">
        <f ca="1">D59</f>
        <v>3</v>
      </c>
      <c r="N55" s="2039" t="str">
        <f>E59</f>
        <v>差额计税</v>
      </c>
      <c r="O55" s="2528">
        <f>F59</f>
        <v>0.01</v>
      </c>
    </row>
    <row r="56" spans="1:35" ht="24.75">
      <c r="A56" s="3585" t="s">
        <v>1363</v>
      </c>
      <c r="B56" s="3586"/>
      <c r="C56" s="3586"/>
      <c r="D56" s="2323">
        <f ca="1">IF(H56="个人住宅",D57,D58)</f>
        <v>149</v>
      </c>
      <c r="E56" s="2333" t="s">
        <v>1364</v>
      </c>
      <c r="F56" s="2553" t="str">
        <f>IF(H56="正常",F58,"免征")</f>
        <v>免征</v>
      </c>
      <c r="G56" s="2556" t="s">
        <v>1365</v>
      </c>
      <c r="H56" s="2557"/>
      <c r="I56" s="1807"/>
      <c r="J56" s="2522" t="str">
        <f>IF(项目基本情况!K6="上海银行",IF(J55="",4,J55+1),"")</f>
        <v/>
      </c>
      <c r="K56" s="3658" t="str">
        <f>IF(项目基本情况!K6="上海银行","其他处置费用","")</f>
        <v/>
      </c>
      <c r="L56" s="3659"/>
      <c r="M56" s="2524" t="str">
        <f>IF(项目基本情况!K6="上海银行",M69,"")</f>
        <v/>
      </c>
      <c r="N56" s="3658" t="str">
        <f>IF(项目基本情况!K6="上海银行","包含处置中涉及的律师、诉讼、拍卖、评估等费用","")</f>
        <v/>
      </c>
      <c r="O56" s="3661"/>
    </row>
    <row r="57" spans="1:35" ht="12.75">
      <c r="A57" s="2334" t="s">
        <v>1341</v>
      </c>
      <c r="B57" s="3596" t="s">
        <v>1366</v>
      </c>
      <c r="C57" s="3597"/>
      <c r="D57" s="1589">
        <v>0</v>
      </c>
      <c r="E57" s="324" t="s">
        <v>1343</v>
      </c>
      <c r="F57" s="302"/>
      <c r="G57" s="2554"/>
      <c r="H57" s="2558"/>
      <c r="I57" s="1807"/>
      <c r="J57" s="3635">
        <f>IF(AND(J55="",J56=""),4,IF(项目基本情况!K6="上海银行",结果表!J56+1,结果表!J55+1))</f>
        <v>5</v>
      </c>
      <c r="K57" s="3635" t="s">
        <v>1367</v>
      </c>
      <c r="L57" s="2529" t="s">
        <v>1368</v>
      </c>
      <c r="M57" s="2530"/>
      <c r="N57" s="2531">
        <f ca="1">SUMIF(M52:M56,"&lt;9e307")</f>
        <v>152</v>
      </c>
      <c r="O57" s="2532"/>
      <c r="P57" s="2689">
        <f ca="1">N57/M49</f>
        <v>0.57794676806083645</v>
      </c>
    </row>
    <row r="58" spans="1:35" ht="24.75">
      <c r="A58" s="2334" t="s">
        <v>1352</v>
      </c>
      <c r="B58" s="3596" t="s">
        <v>1369</v>
      </c>
      <c r="C58" s="3570"/>
      <c r="D58" s="2323">
        <f ca="1">IF(H58="转让取得",C81,C97)</f>
        <v>149</v>
      </c>
      <c r="E58" s="2333" t="s">
        <v>1364</v>
      </c>
      <c r="F58" s="302" t="s">
        <v>28</v>
      </c>
      <c r="G58" s="2554"/>
      <c r="H58" s="2557"/>
      <c r="I58" s="1807"/>
      <c r="J58" s="3635"/>
      <c r="K58" s="3635"/>
      <c r="L58" s="2529" t="s">
        <v>1370</v>
      </c>
      <c r="M58" s="2533"/>
      <c r="N58" s="2534" t="str">
        <f ca="1">NUMBERSTRING(INT(N57*10000),2)&amp;"元整"</f>
        <v>壹佰伍拾贰万元整</v>
      </c>
      <c r="O58" s="2535"/>
    </row>
    <row r="59" spans="1:35" ht="24.75" thickBot="1">
      <c r="A59" s="3638" t="s">
        <v>1371</v>
      </c>
      <c r="B59" s="3639"/>
      <c r="C59" s="3639"/>
      <c r="D59" s="2559">
        <f ca="1">IF(H59="非个人房产","——",IF(H59="个人住宅（满五唯一有凭证）",0,IF(H59="个人其他（无凭证）",ROUND(D45*F59,0),ROUND(C67*F59,0))))</f>
        <v>3</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36">
        <f>J57+1</f>
        <v>6</v>
      </c>
      <c r="K59" s="3635" t="s">
        <v>1372</v>
      </c>
      <c r="L59" s="2522" t="s">
        <v>1368</v>
      </c>
      <c r="M59" s="2536"/>
      <c r="N59" s="2537">
        <f ca="1">M49-N57</f>
        <v>111</v>
      </c>
      <c r="O59" s="2538"/>
    </row>
    <row r="60" spans="1:35" ht="12" customHeight="1">
      <c r="A60" s="1808"/>
      <c r="B60" s="1746"/>
      <c r="C60" s="1746"/>
      <c r="D60" s="1746"/>
      <c r="E60" s="1577"/>
      <c r="F60" s="1807"/>
      <c r="G60" s="1807"/>
      <c r="H60" s="1809"/>
      <c r="I60" s="129"/>
      <c r="J60" s="3637"/>
      <c r="K60" s="3635"/>
      <c r="L60" s="2529" t="s">
        <v>1370</v>
      </c>
      <c r="M60" s="2533"/>
      <c r="N60" s="2534" t="str">
        <f ca="1">NUMBERSTRING(INT(N59*10000),2)&amp;"元整"</f>
        <v>壹佰壹拾壹万元整</v>
      </c>
      <c r="O60" s="2535"/>
    </row>
    <row r="61" spans="1:35" ht="13.5" thickBot="1">
      <c r="A61" s="3583" t="s">
        <v>1373</v>
      </c>
      <c r="B61" s="3583"/>
      <c r="C61" s="3583"/>
      <c r="D61" s="3583"/>
      <c r="E61" s="3583"/>
      <c r="F61" s="1807"/>
      <c r="G61" s="1807"/>
      <c r="H61" s="1809"/>
      <c r="I61" s="129"/>
      <c r="J61" s="2522">
        <f>J59+1</f>
        <v>7</v>
      </c>
      <c r="K61" s="3635" t="s">
        <v>1374</v>
      </c>
      <c r="L61" s="3635"/>
      <c r="M61" s="2539"/>
      <c r="N61" s="2540">
        <f ca="1">ROUND(N59*10000/'数据-汇总表'!E3,0)</f>
        <v>12069</v>
      </c>
      <c r="O61" s="2541"/>
    </row>
    <row r="62" spans="1:35" ht="12.75">
      <c r="A62" s="3601" t="s">
        <v>1375</v>
      </c>
      <c r="B62" s="3602"/>
      <c r="C62" s="2020"/>
      <c r="D62" s="2020" t="s">
        <v>1376</v>
      </c>
      <c r="E62" s="166" t="s">
        <v>1377</v>
      </c>
      <c r="F62" s="1807"/>
      <c r="G62" s="1807"/>
      <c r="H62" s="1809"/>
      <c r="I62" s="129"/>
    </row>
    <row r="63" spans="1:35" ht="12.75">
      <c r="A63" s="173" t="s">
        <v>330</v>
      </c>
      <c r="B63" s="167" t="s">
        <v>1378</v>
      </c>
      <c r="C63" s="2563">
        <f ca="1">ROUND((C64+C65)/(1+'数据-取费表'!C42),0)</f>
        <v>250</v>
      </c>
      <c r="D63" s="167"/>
      <c r="E63" s="168"/>
      <c r="F63" s="1807"/>
      <c r="G63" s="1807"/>
      <c r="H63" s="1809"/>
      <c r="I63" s="129"/>
      <c r="J63" s="3660" t="s">
        <v>1379</v>
      </c>
      <c r="K63" s="1331" t="s">
        <v>1380</v>
      </c>
      <c r="L63" s="1331">
        <f ca="1">IF(M49&gt;10000,M49*0.5%,IF(AND(M49&gt;1000,M49&lt;=10000),M49*1%,IF(AND(M49&gt;100,M49&lt;=1000),M49*3%,IF(AND(M49&gt;10,M49&lt;=100),M49*5%,M49*8%))))</f>
        <v>7.89</v>
      </c>
      <c r="M63" s="302">
        <f ca="1">ROUND(L63,1)</f>
        <v>7.9</v>
      </c>
      <c r="N63" s="2542"/>
      <c r="Z63" s="1751"/>
      <c r="AI63" s="1752"/>
    </row>
    <row r="64" spans="1:35" ht="14.25" customHeight="1">
      <c r="A64" s="169" t="s">
        <v>325</v>
      </c>
      <c r="B64" s="170" t="s">
        <v>1381</v>
      </c>
      <c r="C64" s="2564">
        <f ca="1">D45</f>
        <v>263</v>
      </c>
      <c r="D64" s="170" t="s">
        <v>26</v>
      </c>
      <c r="E64" s="172"/>
      <c r="F64" s="1807"/>
      <c r="G64" s="1807"/>
      <c r="H64" s="1809"/>
      <c r="I64" s="129"/>
      <c r="J64" s="3660"/>
      <c r="K64" s="1331" t="s">
        <v>1382</v>
      </c>
      <c r="L64" s="1331">
        <f ca="1">IF(M49&gt;2000,M49*0.5%,IF(AND(M49&gt;1000,M49&lt;=2000),M49*0.6%,IF(AND(M49&gt;500,M49&lt;=1000),M49*0.7%,IF(AND(M49&gt;200,M49&lt;=500),M49*0.8%,IF(AND(M49&gt;100,M49&lt;=200),M49*0.9%,IF(AND(M49&gt;50,M49&lt;=100),M49*1%,IF(AND(M49&gt;20,M49&lt;=50),M49*1.5%,IF(AND(M49&gt;10,M49&lt;=20),M49*2%,IF(AND(M49&gt;1,M49&lt;=10),M49*2.5%)))))))))</f>
        <v>2.1040000000000001</v>
      </c>
      <c r="M64" s="302">
        <f t="shared" ref="M64:M65" ca="1" si="1">ROUND(L64,1)</f>
        <v>2.1</v>
      </c>
      <c r="N64" s="2543" t="s">
        <v>1383</v>
      </c>
      <c r="Z64" s="1751"/>
      <c r="AI64" s="1752"/>
    </row>
    <row r="65" spans="1:35" ht="14.25" customHeight="1">
      <c r="A65" s="169" t="s">
        <v>326</v>
      </c>
      <c r="B65" s="170" t="s">
        <v>1384</v>
      </c>
      <c r="C65" s="2565"/>
      <c r="D65" s="170"/>
      <c r="E65" s="172"/>
      <c r="F65" s="1807"/>
      <c r="G65" s="1807"/>
      <c r="H65" s="1809"/>
      <c r="I65" s="129"/>
      <c r="J65" s="3660"/>
      <c r="K65" s="1331" t="s">
        <v>1385</v>
      </c>
      <c r="L65" s="1331">
        <f ca="1">IF(M49&gt;1000,M49*0.1%,IF(AND(M49&gt;500,M49&lt;=1000),M49*0.5%,IF(AND(M49&gt;50,M49&lt;=500),M49*1%,IF(AND(M49&gt;1,M49&lt;=50),M49*1.5%))))</f>
        <v>2.63</v>
      </c>
      <c r="M65" s="302">
        <f t="shared" ca="1" si="1"/>
        <v>2.6</v>
      </c>
      <c r="N65" s="2543" t="s">
        <v>1383</v>
      </c>
      <c r="Z65" s="1751"/>
      <c r="AI65" s="1752"/>
    </row>
    <row r="66" spans="1:35" ht="14.25" customHeight="1">
      <c r="A66" s="173" t="s">
        <v>327</v>
      </c>
      <c r="B66" s="174" t="s">
        <v>1386</v>
      </c>
      <c r="C66" s="2566"/>
      <c r="D66" s="174" t="s">
        <v>26</v>
      </c>
      <c r="E66" s="1337" t="s">
        <v>671</v>
      </c>
      <c r="F66" s="1807"/>
      <c r="G66" s="1807"/>
      <c r="H66" s="1809"/>
      <c r="I66" s="129"/>
      <c r="J66" s="3660"/>
      <c r="K66" s="1331" t="s">
        <v>1387</v>
      </c>
      <c r="L66" s="1331">
        <f ca="1">M49*0.5%</f>
        <v>1.3149999999999999</v>
      </c>
      <c r="M66" s="302">
        <f ca="1">IF(L66&gt;0.5,0.5,ROUND(L66,0))</f>
        <v>0.5</v>
      </c>
      <c r="N66" s="2543" t="s">
        <v>1388</v>
      </c>
      <c r="Z66" s="1751"/>
      <c r="AI66" s="1752"/>
    </row>
    <row r="67" spans="1:35" ht="14.25" customHeight="1">
      <c r="A67" s="173" t="s">
        <v>328</v>
      </c>
      <c r="B67" s="174" t="s">
        <v>1389</v>
      </c>
      <c r="C67" s="2567">
        <f ca="1">C63-C66</f>
        <v>250</v>
      </c>
      <c r="D67" s="170" t="s">
        <v>26</v>
      </c>
      <c r="E67" s="172"/>
      <c r="F67" s="1807"/>
      <c r="G67" s="1807"/>
      <c r="H67" s="1809"/>
      <c r="I67" s="129"/>
      <c r="J67" s="3660"/>
      <c r="K67" s="1331" t="s">
        <v>1390</v>
      </c>
      <c r="L67" s="1331">
        <f ca="1">IF(M49&gt;=10000,(8.25+(M49-10000)*0.01%),IF(AND(M49&gt;=8000,M49&lt;10000),(7.85+(M49-8000)*0.02%),IF(AND(M49&gt;=5000,M49&lt;8000),(6.65+(M49-5000)*0.04%),IF(AND(M49&gt;=2000,M49&lt;5000),(4.25+(PM49-2000)*0.08%),IF(AND(M49&gt;=1000,M49&lt;2000),(2.75+(M49-1000)*0.15%),IF(AND(M49&gt;=100,M49&lt;1000),(0.5+(M49-100)*0.25%),IF(AND(M49&gt;0,M49&lt;100),M49*0.5%)))))))</f>
        <v>0.90749999999999997</v>
      </c>
      <c r="M67" s="302">
        <f ca="1">ROUND(L67*0.9,1)</f>
        <v>0.8</v>
      </c>
      <c r="N67" s="2542"/>
      <c r="Z67" s="1751"/>
      <c r="AI67" s="1752"/>
    </row>
    <row r="68" spans="1:35" ht="14.25" customHeight="1" thickBot="1">
      <c r="A68" s="176" t="s">
        <v>329</v>
      </c>
      <c r="B68" s="177" t="s">
        <v>1391</v>
      </c>
      <c r="C68" s="2568">
        <f ca="1">IF(C67&lt;=0,0,ROUND(C67*D68,0))</f>
        <v>14</v>
      </c>
      <c r="D68" s="2569">
        <f>'数据-取费表'!B41</f>
        <v>5.5000000000000007E-2</v>
      </c>
      <c r="E68" s="178"/>
      <c r="F68" s="1807"/>
      <c r="G68" s="1807"/>
      <c r="H68" s="1809"/>
      <c r="I68" s="129"/>
      <c r="J68" s="3660"/>
      <c r="K68" s="1331" t="s">
        <v>1392</v>
      </c>
      <c r="L68" s="1331">
        <f ca="1">IF(M49&gt;10000,M49*0.5%,IF(AND(M49&gt;5000,M49&lt;=10000),M49*1%,IF(AND(M49&gt;1000,M49&lt;=5000),M49*2%,IF(AND(M49&gt;200,M49&lt;=1000),M49*3%,M49*5%))))</f>
        <v>7.89</v>
      </c>
      <c r="M68" s="302">
        <f ca="1">ROUND(L68,1)</f>
        <v>7.9</v>
      </c>
      <c r="N68" s="2542"/>
      <c r="Z68" s="1751"/>
      <c r="AI68" s="1752"/>
    </row>
    <row r="69" spans="1:35" s="1771" customFormat="1" ht="16.5" customHeight="1">
      <c r="A69" s="1810"/>
      <c r="B69" s="1811"/>
      <c r="C69" s="1812"/>
      <c r="D69" s="1813"/>
      <c r="E69" s="1814"/>
      <c r="F69" s="1577"/>
      <c r="G69" s="1577"/>
      <c r="H69" s="1576"/>
      <c r="I69" s="1746"/>
      <c r="J69" s="3660"/>
      <c r="K69" s="1331" t="s">
        <v>1393</v>
      </c>
      <c r="L69" s="1331"/>
      <c r="M69" s="302">
        <f ca="1">ROUND(SUM(M63:M68),0)</f>
        <v>22</v>
      </c>
      <c r="N69" s="2544">
        <f ca="1">M69/M49</f>
        <v>8.3650190114068435E-2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2" t="s">
        <v>1394</v>
      </c>
      <c r="B70" s="3623"/>
      <c r="C70" s="3623"/>
      <c r="D70" s="3623"/>
      <c r="E70" s="3623"/>
      <c r="F70" s="3623"/>
      <c r="G70" s="3623"/>
      <c r="H70" s="362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1" t="s">
        <v>1375</v>
      </c>
      <c r="B71" s="3602"/>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250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6" t="s">
        <v>1402</v>
      </c>
      <c r="F76" s="3570"/>
      <c r="G76" s="3570"/>
      <c r="H76" s="362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5.000000000000001E-3</v>
      </c>
      <c r="E78" s="3580" t="s">
        <v>1406</v>
      </c>
      <c r="F78" s="3581"/>
      <c r="G78" s="3581"/>
      <c r="H78" s="359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249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249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149</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2" t="s">
        <v>1410</v>
      </c>
      <c r="B83" s="3623"/>
      <c r="C83" s="3623"/>
      <c r="D83" s="3623"/>
      <c r="E83" s="3623"/>
      <c r="F83" s="3623"/>
      <c r="G83" s="3623"/>
      <c r="H83" s="362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1" t="s">
        <v>1375</v>
      </c>
      <c r="B84" s="360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250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62" t="s">
        <v>2128</v>
      </c>
      <c r="H90" s="3663"/>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80" t="s">
        <v>1419</v>
      </c>
      <c r="F91" s="3581"/>
      <c r="G91" s="358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80" t="s">
        <v>1422</v>
      </c>
      <c r="F92" s="3581"/>
      <c r="G92" s="3581"/>
      <c r="H92" s="3590"/>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5.000000000000001E-3</v>
      </c>
      <c r="E93" s="3580" t="s">
        <v>1406</v>
      </c>
      <c r="F93" s="3581"/>
      <c r="G93" s="3581"/>
      <c r="H93" s="359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91" t="s">
        <v>1426</v>
      </c>
      <c r="F94" s="3592"/>
      <c r="G94" s="3592"/>
      <c r="H94" s="359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249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249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149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4" t="s">
        <v>1428</v>
      </c>
      <c r="B100" s="3565"/>
      <c r="C100" s="3565"/>
      <c r="D100" s="3582"/>
      <c r="E100" s="3565" t="s">
        <v>1429</v>
      </c>
      <c r="F100" s="3565"/>
      <c r="G100" s="3565"/>
      <c r="H100" s="3582"/>
      <c r="I100" s="129"/>
    </row>
    <row r="101" spans="1:35" ht="18.75" customHeight="1">
      <c r="A101" s="3643" t="s">
        <v>1430</v>
      </c>
      <c r="B101" s="3644"/>
      <c r="C101" s="2584" t="str">
        <f>C4</f>
        <v>比较法-办公</v>
      </c>
      <c r="D101" s="2585" t="str">
        <f>D4</f>
        <v>收益法 (元)</v>
      </c>
      <c r="E101" s="3657" t="s">
        <v>1431</v>
      </c>
      <c r="F101" s="3614"/>
      <c r="G101" s="1826" t="s">
        <v>1432</v>
      </c>
      <c r="H101" s="2594">
        <f ca="1">H118</f>
        <v>263</v>
      </c>
      <c r="I101" s="129"/>
    </row>
    <row r="102" spans="1:35" ht="18.75" customHeight="1">
      <c r="A102" s="3616" t="s">
        <v>1433</v>
      </c>
      <c r="B102" s="2583" t="s">
        <v>1432</v>
      </c>
      <c r="C102" s="2584">
        <f ca="1">IF(D32="楼面单价",ROUND(C19,0),C19)</f>
        <v>323</v>
      </c>
      <c r="D102" s="2585">
        <f ca="1">IF(D32="楼面单价",ROUND(D19,0),D19)</f>
        <v>173</v>
      </c>
      <c r="E102" s="3657"/>
      <c r="F102" s="3614"/>
      <c r="G102" s="1826" t="s">
        <v>1434</v>
      </c>
      <c r="H102" s="2554">
        <f ca="1">I118</f>
        <v>28582</v>
      </c>
      <c r="I102" s="129"/>
    </row>
    <row r="103" spans="1:35" ht="42.75" customHeight="1">
      <c r="A103" s="3616"/>
      <c r="B103" s="2583" t="s">
        <v>1434</v>
      </c>
      <c r="C103" s="2586">
        <f ca="1">C20</f>
        <v>35124</v>
      </c>
      <c r="D103" s="2587">
        <f ca="1">D20</f>
        <v>18770</v>
      </c>
      <c r="E103" s="3651" t="s">
        <v>1435</v>
      </c>
      <c r="F103" s="3652"/>
      <c r="G103" s="1827" t="s">
        <v>1436</v>
      </c>
      <c r="H103" s="2594">
        <f>IF(D36="正常操作",H104+H105+H106,H105+H106)</f>
        <v>0</v>
      </c>
      <c r="I103" s="129"/>
    </row>
    <row r="104" spans="1:35" ht="18.75" customHeight="1">
      <c r="A104" s="3616" t="s">
        <v>1437</v>
      </c>
      <c r="B104" s="2588" t="s">
        <v>1432</v>
      </c>
      <c r="C104" s="2589">
        <f ca="1">H118</f>
        <v>263</v>
      </c>
      <c r="D104" s="2590"/>
      <c r="E104" s="1673" t="s">
        <v>1438</v>
      </c>
      <c r="F104" s="1665"/>
      <c r="G104" s="1827" t="s">
        <v>1436</v>
      </c>
      <c r="H104" s="2595">
        <f>IF(D36="同一抵押权人同一抵押物续贷",C36&amp;"（续贷，未扣减，详见特别提示）",C36)</f>
        <v>0</v>
      </c>
      <c r="I104" s="129"/>
    </row>
    <row r="105" spans="1:35" ht="18.75" customHeight="1" thickBot="1">
      <c r="A105" s="3617"/>
      <c r="B105" s="2591" t="s">
        <v>1434</v>
      </c>
      <c r="C105" s="2592">
        <f ca="1">I118</f>
        <v>28582</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13" t="str">
        <f>IF(项目基本情况!E8="已注销","——","3.房地产抵押价值")</f>
        <v>3.房地产抵押价值</v>
      </c>
      <c r="F107" s="3614"/>
      <c r="G107" s="1826" t="s">
        <v>1432</v>
      </c>
      <c r="H107" s="2594">
        <f ca="1">IF(E107="——","——",H101-H103)</f>
        <v>263</v>
      </c>
      <c r="I107" s="129"/>
    </row>
    <row r="108" spans="1:35" ht="18.75" customHeight="1">
      <c r="A108" s="129"/>
      <c r="B108" s="129"/>
      <c r="C108" s="129"/>
      <c r="D108" s="129"/>
      <c r="E108" s="3613"/>
      <c r="F108" s="3614"/>
      <c r="G108" s="1826" t="s">
        <v>1434</v>
      </c>
      <c r="H108" s="2554">
        <f ca="1">IF(H107=H101,H102,ROUND(H107*10000/'数据-汇总表'!E3,0))</f>
        <v>28582</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614"/>
      <c r="G109" s="1826" t="s">
        <v>1432</v>
      </c>
      <c r="H109" s="2597" t="str">
        <f>IF(E109="——","——",H101-H105-H106)</f>
        <v>——</v>
      </c>
      <c r="I109" s="129"/>
    </row>
    <row r="110" spans="1:35" ht="18.75" customHeight="1">
      <c r="A110" s="129"/>
      <c r="B110" s="129"/>
      <c r="C110" s="129"/>
      <c r="D110" s="129"/>
      <c r="E110" s="3613"/>
      <c r="F110" s="3614"/>
      <c r="G110" s="1826" t="s">
        <v>1434</v>
      </c>
      <c r="H110" s="2554"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4.抵押净值</v>
      </c>
      <c r="F111" s="3615"/>
      <c r="G111" s="1826" t="s">
        <v>1432</v>
      </c>
      <c r="H111" s="2594">
        <f ca="1">IF(E111="——","——",N59)</f>
        <v>111</v>
      </c>
      <c r="I111" s="129"/>
    </row>
    <row r="112" spans="1:35" ht="18.75" customHeight="1" thickBot="1">
      <c r="A112" s="129"/>
      <c r="B112" s="129"/>
      <c r="C112" s="129"/>
      <c r="D112" s="129"/>
      <c r="E112" s="3646"/>
      <c r="F112" s="3647"/>
      <c r="G112" s="1829" t="s">
        <v>1434</v>
      </c>
      <c r="H112" s="2598">
        <f ca="1">IF(E111="——","——",N61)</f>
        <v>12069</v>
      </c>
      <c r="I112" s="129"/>
    </row>
    <row r="113" spans="1:27" ht="18.75" customHeight="1">
      <c r="A113" s="129"/>
      <c r="B113" s="129"/>
      <c r="C113" s="129"/>
      <c r="D113" s="129"/>
      <c r="E113" s="3618" t="s">
        <v>1440</v>
      </c>
      <c r="F113" s="3618"/>
      <c r="G113" s="3618"/>
      <c r="H113" s="3618"/>
      <c r="I113" s="129"/>
    </row>
    <row r="114" spans="1:27" ht="3.75" customHeight="1">
      <c r="A114" s="1746"/>
      <c r="B114" s="1746"/>
      <c r="C114" s="1746"/>
      <c r="D114" s="1746"/>
      <c r="E114" s="1808"/>
      <c r="F114" s="1808"/>
      <c r="G114" s="1808"/>
      <c r="H114" s="1808"/>
      <c r="I114" s="1746"/>
    </row>
    <row r="115" spans="1:27" ht="18.75" customHeight="1">
      <c r="A115" s="3628" t="s">
        <v>1442</v>
      </c>
      <c r="B115" s="3629"/>
      <c r="C115" s="3629"/>
      <c r="D115" s="3629"/>
      <c r="E115" s="3629"/>
      <c r="F115" s="3629"/>
      <c r="G115" s="3629"/>
      <c r="H115" s="3629"/>
      <c r="I115" s="3630"/>
    </row>
    <row r="116" spans="1:27" ht="27" customHeight="1">
      <c r="A116" s="3584" t="s">
        <v>1443</v>
      </c>
      <c r="B116" s="3619" t="s">
        <v>1444</v>
      </c>
      <c r="C116" s="3619" t="s">
        <v>1445</v>
      </c>
      <c r="D116" s="3632" t="s">
        <v>1446</v>
      </c>
      <c r="E116" s="3633"/>
      <c r="F116" s="3627" t="s">
        <v>1447</v>
      </c>
      <c r="G116" s="3627"/>
      <c r="H116" s="3584" t="s">
        <v>1448</v>
      </c>
      <c r="I116" s="3584"/>
    </row>
    <row r="117" spans="1:27" ht="18.75" customHeight="1">
      <c r="A117" s="3584"/>
      <c r="B117" s="3620"/>
      <c r="C117" s="3620"/>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91.97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263</v>
      </c>
      <c r="I118" s="2328">
        <f ca="1">ROUND(IF(D32="楼面单价",C32,H118*10000/B118),0)</f>
        <v>28582</v>
      </c>
    </row>
    <row r="119" spans="1:27" ht="18.75" customHeight="1">
      <c r="A119" s="3584" t="s">
        <v>1452</v>
      </c>
      <c r="B119" s="3584"/>
      <c r="C119" s="3584"/>
      <c r="D119" s="3624" t="e">
        <f ca="1">NUMBERSTRING(INT(D118*10000),2)&amp;"元整"</f>
        <v>#REF!</v>
      </c>
      <c r="E119" s="3626"/>
      <c r="F119" s="3624" t="e">
        <f ca="1">NUMBERSTRING(INT(F118*10000),2)&amp;"元整"</f>
        <v>#REF!</v>
      </c>
      <c r="G119" s="3626"/>
      <c r="H119" s="3624" t="str">
        <f ca="1">NUMBERSTRING(INT(H118*10000),2)&amp;"元整"</f>
        <v>贰佰陆拾叁万元整</v>
      </c>
      <c r="I119" s="3626"/>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4" t="s">
        <v>1452</v>
      </c>
      <c r="B121" s="3625"/>
      <c r="C121" s="3626"/>
      <c r="D121" s="3624" t="str">
        <f>IF(D120=0,"零元整",NUMBERSTRING(INT(D120*10000),2)&amp;"元整")</f>
        <v>零元整</v>
      </c>
      <c r="E121" s="3625"/>
      <c r="F121" s="3625"/>
      <c r="G121" s="3625"/>
      <c r="H121" s="3625"/>
      <c r="I121" s="3626"/>
      <c r="AA121" s="724"/>
    </row>
    <row r="122" spans="1:27" ht="18.75" customHeight="1">
      <c r="A122" s="3615" t="str">
        <f>IF(项目基本情况!B9="房地产市场价值","",MID(E107,3,LEN(E107)-2))</f>
        <v>房地产抵押价值</v>
      </c>
      <c r="B122" s="3615"/>
      <c r="C122" s="3615"/>
      <c r="D122" s="3648">
        <f ca="1">H107</f>
        <v>263</v>
      </c>
      <c r="E122" s="3649"/>
      <c r="F122" s="3649"/>
      <c r="G122" s="3649"/>
      <c r="H122" s="3649"/>
      <c r="I122" s="3650"/>
      <c r="AA122" s="724"/>
    </row>
    <row r="123" spans="1:27" ht="18.75" customHeight="1">
      <c r="A123" s="3584" t="s">
        <v>1452</v>
      </c>
      <c r="B123" s="3584"/>
      <c r="C123" s="3584"/>
      <c r="D123" s="3624" t="str">
        <f ca="1">NUMBERSTRING(INT(D122*10000),2)&amp;"元整"</f>
        <v>贰佰陆拾叁万元整</v>
      </c>
      <c r="E123" s="3625"/>
      <c r="F123" s="3625"/>
      <c r="G123" s="3625"/>
      <c r="H123" s="3625"/>
      <c r="I123" s="3626"/>
      <c r="AA123" s="724"/>
    </row>
    <row r="124" spans="1:27" ht="18.75" customHeight="1">
      <c r="A124" s="3615" t="str">
        <f>IF(项目基本情况!B9="房地产市场价值","",MID(E109,3,LEN(E109)-2))</f>
        <v/>
      </c>
      <c r="B124" s="3615"/>
      <c r="C124" s="3615"/>
      <c r="D124" s="3648" t="str">
        <f>H109</f>
        <v>——</v>
      </c>
      <c r="E124" s="3649"/>
      <c r="F124" s="3649"/>
      <c r="G124" s="3649"/>
      <c r="H124" s="3649"/>
      <c r="I124" s="3650"/>
      <c r="AA124" s="724"/>
    </row>
    <row r="125" spans="1:27" ht="18.75" customHeight="1">
      <c r="A125" s="3584" t="s">
        <v>1452</v>
      </c>
      <c r="B125" s="3584"/>
      <c r="C125" s="3584"/>
      <c r="D125" s="3624" t="e">
        <f>NUMBERSTRING(INT(D124*10000),2)&amp;"元整"</f>
        <v>#VALUE!</v>
      </c>
      <c r="E125" s="3625"/>
      <c r="F125" s="3625"/>
      <c r="G125" s="3625"/>
      <c r="H125" s="3625"/>
      <c r="I125" s="3626"/>
      <c r="AA125" s="724"/>
    </row>
    <row r="126" spans="1:27" ht="18.75" customHeight="1">
      <c r="A126" s="3615" t="str">
        <f>IF(项目基本情况!B9="房地产市场价值","",MID(E111,3,LEN(E111)-2))</f>
        <v>抵押净值</v>
      </c>
      <c r="B126" s="3615"/>
      <c r="C126" s="3615"/>
      <c r="D126" s="3648">
        <f ca="1">H111</f>
        <v>111</v>
      </c>
      <c r="E126" s="3649"/>
      <c r="F126" s="3649"/>
      <c r="G126" s="3649"/>
      <c r="H126" s="3649"/>
      <c r="I126" s="3650"/>
      <c r="AA126" s="724"/>
    </row>
    <row r="127" spans="1:27" ht="18.75" customHeight="1">
      <c r="A127" s="3584" t="s">
        <v>1452</v>
      </c>
      <c r="B127" s="3584"/>
      <c r="C127" s="3584"/>
      <c r="D127" s="3624" t="str">
        <f ca="1">NUMBERSTRING(INT(D126*10000),2)&amp;"元整"</f>
        <v>壹佰壹拾壹万元整</v>
      </c>
      <c r="E127" s="3625"/>
      <c r="F127" s="3625"/>
      <c r="G127" s="3625"/>
      <c r="H127" s="3625"/>
      <c r="I127" s="3626"/>
      <c r="AA127" s="724"/>
    </row>
    <row r="128" spans="1:27" ht="21.75" customHeight="1">
      <c r="A128" s="3631" t="s">
        <v>1453</v>
      </c>
      <c r="B128" s="3631"/>
      <c r="C128" s="3631"/>
      <c r="D128" s="3631"/>
      <c r="E128" s="3631"/>
      <c r="F128" s="3631"/>
      <c r="G128" s="3631"/>
      <c r="H128" s="3631"/>
      <c r="I128" s="3631"/>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52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5654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91.97</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91.97</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0</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45</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41</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2</v>
      </c>
      <c r="D37" s="217">
        <f ca="1">D19</f>
        <v>91.97</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64" t="s">
        <v>1544</v>
      </c>
    </row>
    <row r="43" spans="1:7" ht="13.5" customHeight="1">
      <c r="A43" s="779" t="s">
        <v>347</v>
      </c>
      <c r="B43" s="215" t="s">
        <v>1545</v>
      </c>
      <c r="C43" s="238">
        <f ca="1">ROUND(IF('数据-取费表'!B22&lt;=1,C39*F22*'数据-取费表'!B21/2,C39*(POWER((1+F22),'数据-取费表'!B21/2)-1)),0)</f>
        <v>0</v>
      </c>
      <c r="D43" s="238"/>
      <c r="E43" s="238"/>
      <c r="F43" s="239"/>
      <c r="G43" s="3665"/>
    </row>
    <row r="44" spans="1:7" ht="13.5" customHeight="1">
      <c r="A44" s="779" t="s">
        <v>348</v>
      </c>
      <c r="B44" s="215" t="s">
        <v>1546</v>
      </c>
      <c r="C44" s="238">
        <f ca="1">ROUND(IF('数据-取费表'!B22&lt;=1,C40*F22*'数据-取费表'!B21/2,C40*(POWER((1+F22),'数据-取费表'!B21/2)-1)),4)</f>
        <v>8.0000000000000004E-4</v>
      </c>
      <c r="D44" s="238"/>
      <c r="E44" s="238"/>
      <c r="F44" s="239"/>
      <c r="G44" s="3666"/>
    </row>
    <row r="45" spans="1:7" s="214" customFormat="1" ht="13.5" customHeight="1">
      <c r="A45" s="255" t="s">
        <v>1547</v>
      </c>
      <c r="B45" s="244" t="s">
        <v>1513</v>
      </c>
      <c r="C45" s="245">
        <f ca="1">C46</f>
        <v>7</v>
      </c>
      <c r="D45" s="235">
        <f ca="1">C47</f>
        <v>3.0000000000000001E-3</v>
      </c>
      <c r="E45" s="236" t="s">
        <v>1539</v>
      </c>
      <c r="F45" s="246">
        <f ca="1">F27</f>
        <v>0.15</v>
      </c>
      <c r="G45" s="247" t="s">
        <v>1548</v>
      </c>
    </row>
    <row r="46" spans="1:7" s="214" customFormat="1" ht="13.5" customHeight="1">
      <c r="A46" s="779" t="s">
        <v>346</v>
      </c>
      <c r="B46" s="248" t="s">
        <v>1549</v>
      </c>
      <c r="C46" s="249">
        <f ca="1">ROUND((C33+C39)*F27,0)</f>
        <v>7</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60</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50</v>
      </c>
      <c r="D51" s="232"/>
      <c r="E51" s="232"/>
      <c r="F51" s="264"/>
      <c r="G51" s="234" t="s">
        <v>1560</v>
      </c>
    </row>
    <row r="52" spans="1:7" s="208" customFormat="1" ht="16.5" thickBot="1">
      <c r="A52" s="265" t="s">
        <v>1561</v>
      </c>
      <c r="B52" s="266"/>
      <c r="C52" s="267">
        <f ca="1">C31+C51</f>
        <v>52</v>
      </c>
      <c r="D52" s="266"/>
      <c r="E52" s="266"/>
      <c r="F52" s="266"/>
      <c r="G52" s="268"/>
    </row>
    <row r="55" spans="1:7" ht="15">
      <c r="B55" s="270" t="s">
        <v>1562</v>
      </c>
      <c r="C55" s="271"/>
    </row>
    <row r="56" spans="1:7">
      <c r="B56" s="273" t="s">
        <v>802</v>
      </c>
      <c r="C56" s="275">
        <f ca="1">1-C57</f>
        <v>3.8000000000000034E-2</v>
      </c>
    </row>
    <row r="57" spans="1:7">
      <c r="B57" s="273" t="s">
        <v>803</v>
      </c>
      <c r="C57" s="274">
        <f ca="1">ROUND(C51/C52,3)</f>
        <v>0.96199999999999997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1" t="str">
        <f>项目基本情况!B1</f>
        <v>北京市房地产抵押价值预评估</v>
      </c>
      <c r="C37" s="3481"/>
      <c r="D37" s="3481"/>
      <c r="E37" s="3481"/>
      <c r="F37" s="3481"/>
      <c r="G37" s="3481"/>
      <c r="H37" s="3481"/>
      <c r="I37" s="348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5">
        <f ca="1">ROUND(IF(D2="——",C52/10000,C52/10000-E2),4)</f>
        <v>54.245199999999997</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5898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18394</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18394</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18394</v>
      </c>
      <c r="D10" s="844">
        <f ca="1">IF(B1="",'数据-汇总表'!E6,IF(INDIRECT("'数据-取费表'!c"&amp;$G$1)="住宅",INDIRECT("'数据-取费表'!s"&amp;$G$1),INDIRECT("'数据-取费表'!k"&amp;$G$1)+INDIRECT("'数据-取费表'!s"&amp;$G$1)))</f>
        <v>91.97</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18394</v>
      </c>
      <c r="D19" s="848">
        <f ca="1">D9+D10</f>
        <v>91.97</v>
      </c>
      <c r="E19" s="211">
        <f>'数据-取费表'!B31</f>
        <v>200</v>
      </c>
      <c r="F19" s="231"/>
      <c r="G19" s="1855"/>
    </row>
    <row r="20" spans="1:7" s="214" customFormat="1" ht="13.5" customHeight="1">
      <c r="A20" s="255" t="s">
        <v>1574</v>
      </c>
      <c r="B20" s="210" t="s">
        <v>1575</v>
      </c>
      <c r="C20" s="232">
        <f ca="1">ROUND((C5+C19)*F20,0)</f>
        <v>736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3147</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1558</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1558</v>
      </c>
      <c r="D24" s="238"/>
      <c r="E24" s="238"/>
      <c r="F24" s="239"/>
      <c r="G24" s="240" t="s">
        <v>1586</v>
      </c>
    </row>
    <row r="25" spans="1:7" s="214" customFormat="1" ht="24">
      <c r="A25" s="779" t="s">
        <v>1476</v>
      </c>
      <c r="B25" s="215" t="s">
        <v>1587</v>
      </c>
      <c r="C25" s="1127">
        <f ca="1">ROUND(IF('数据-取费表'!B22&lt;=1,C20*F22*'数据-取费表'!B22/2,C20*(POWER((1+F22),'数据-取费表'!B22/2)-1)),0)</f>
        <v>31</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5629</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5629</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50119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450883</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413865</v>
      </c>
      <c r="D34" s="217"/>
      <c r="E34" s="220"/>
      <c r="F34" s="257"/>
      <c r="G34" s="219"/>
    </row>
    <row r="35" spans="1:7" ht="13.5" customHeight="1">
      <c r="A35" s="779" t="s">
        <v>351</v>
      </c>
      <c r="B35" s="215" t="s">
        <v>1527</v>
      </c>
      <c r="C35" s="220">
        <f ca="1">ROUND(C34*F35,0)</f>
        <v>12416</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18394</v>
      </c>
      <c r="D37" s="217">
        <f ca="1">D19</f>
        <v>91.97</v>
      </c>
      <c r="E37" s="249">
        <f>'数据-取费表'!B35</f>
        <v>200</v>
      </c>
      <c r="F37" s="259"/>
      <c r="G37" s="261"/>
    </row>
    <row r="38" spans="1:7" ht="13.5" customHeight="1">
      <c r="A38" s="779" t="s">
        <v>354</v>
      </c>
      <c r="B38" s="215" t="s">
        <v>1533</v>
      </c>
      <c r="C38" s="220">
        <f ca="1">ROUND(C34*F38,0)</f>
        <v>6208</v>
      </c>
      <c r="D38" s="220"/>
      <c r="E38" s="220"/>
      <c r="F38" s="259">
        <f>'数据-取费表'!B36</f>
        <v>1.4999999999999999E-2</v>
      </c>
      <c r="G38" s="219" t="s">
        <v>1528</v>
      </c>
    </row>
    <row r="39" spans="1:7" s="214" customFormat="1" ht="13.5" customHeight="1">
      <c r="A39" s="255" t="s">
        <v>1534</v>
      </c>
      <c r="B39" s="210" t="s">
        <v>1535</v>
      </c>
      <c r="C39" s="232">
        <f ca="1">ROUND(C33*F20,0)</f>
        <v>9018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19086</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18712</v>
      </c>
      <c r="D42" s="238"/>
      <c r="E42" s="238"/>
      <c r="F42" s="239"/>
      <c r="G42" s="3664" t="s">
        <v>1591</v>
      </c>
    </row>
    <row r="43" spans="1:7" ht="13.5" customHeight="1">
      <c r="A43" s="779" t="s">
        <v>347</v>
      </c>
      <c r="B43" s="215" t="s">
        <v>1545</v>
      </c>
      <c r="C43" s="238">
        <f ca="1">ROUND(IF('数据-取费表'!B22&lt;=1,C39*F22*'数据-取费表'!B20/2,C39*(POWER((1+F22),'数据-取费表'!B20/2)-1)),0)</f>
        <v>374</v>
      </c>
      <c r="D43" s="238"/>
      <c r="E43" s="238"/>
      <c r="F43" s="239"/>
      <c r="G43" s="3665"/>
    </row>
    <row r="44" spans="1:7" ht="13.5" customHeight="1">
      <c r="A44" s="779" t="s">
        <v>348</v>
      </c>
      <c r="B44" s="215" t="s">
        <v>1546</v>
      </c>
      <c r="C44" s="238">
        <f ca="1">ROUND(IF('数据-取费表'!B22&lt;=1,C40*F22*'数据-取费表'!B20/2,C40*(POWER((1+F22),'数据-取费表'!B20/2)-1)),4)</f>
        <v>8.0000000000000004E-4</v>
      </c>
      <c r="D44" s="238"/>
      <c r="E44" s="238"/>
      <c r="F44" s="239"/>
      <c r="G44" s="3666"/>
    </row>
    <row r="45" spans="1:7" s="214" customFormat="1" ht="13.5" customHeight="1">
      <c r="A45" s="255" t="s">
        <v>1547</v>
      </c>
      <c r="B45" s="244" t="s">
        <v>1513</v>
      </c>
      <c r="C45" s="245">
        <f ca="1">C46</f>
        <v>68985</v>
      </c>
      <c r="D45" s="235">
        <f ca="1">C47</f>
        <v>3.0000000000000001E-3</v>
      </c>
      <c r="E45" s="236" t="s">
        <v>1539</v>
      </c>
      <c r="F45" s="246">
        <f ca="1">F27</f>
        <v>0.15</v>
      </c>
      <c r="G45" s="247" t="s">
        <v>1548</v>
      </c>
    </row>
    <row r="46" spans="1:7" s="214" customFormat="1" ht="13.5" customHeight="1">
      <c r="A46" s="779" t="s">
        <v>346</v>
      </c>
      <c r="B46" s="248" t="s">
        <v>1549</v>
      </c>
      <c r="C46" s="249">
        <f ca="1">ROUND((C33+C39)*F27,0)</f>
        <v>68985</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593172</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492333</v>
      </c>
      <c r="D51" s="232"/>
      <c r="E51" s="232"/>
      <c r="F51" s="264"/>
      <c r="G51" s="234" t="s">
        <v>1560</v>
      </c>
    </row>
    <row r="52" spans="1:7" s="208" customFormat="1" ht="16.5" thickBot="1">
      <c r="A52" s="265" t="s">
        <v>1561</v>
      </c>
      <c r="B52" s="266"/>
      <c r="C52" s="267">
        <f ca="1">C31+C51</f>
        <v>542452</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v>
      </c>
      <c r="C2" s="276" t="s">
        <v>1595</v>
      </c>
      <c r="D2" s="276"/>
      <c r="E2" s="2805"/>
      <c r="F2" s="2805"/>
      <c r="G2" s="2805"/>
      <c r="H2" s="2805"/>
      <c r="I2" s="2805"/>
      <c r="J2" s="2805"/>
      <c r="K2" s="2805"/>
    </row>
    <row r="3" spans="1:33" ht="18" customHeight="1" thickBot="1">
      <c r="A3" s="203" t="s">
        <v>1464</v>
      </c>
      <c r="B3" s="204">
        <f ca="1">ROUND(B2*10000/IF(C1="",'数据-汇总表'!E3,INDIRECT("'数据-取费表'!K"&amp;$K$1)),0)</f>
        <v>-217</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91.97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91.97</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91.97</v>
      </c>
      <c r="E20" s="21">
        <f>'数据-取费表'!B28</f>
        <v>200</v>
      </c>
      <c r="F20" s="803"/>
      <c r="G20" s="12"/>
      <c r="H20" s="808"/>
      <c r="I20" s="808"/>
      <c r="J20" s="808"/>
      <c r="K20" s="809"/>
    </row>
    <row r="21" spans="1:33" s="802" customFormat="1" ht="13.5" customHeight="1">
      <c r="A21" s="789" t="s">
        <v>357</v>
      </c>
      <c r="B21" s="812" t="s">
        <v>1628</v>
      </c>
      <c r="C21" s="813">
        <f ca="1">C16+C17+C18</f>
        <v>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-2</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9" t="s">
        <v>694</v>
      </c>
      <c r="C6" s="1073">
        <f ca="1">ROUND(F6*F8*F7*(1-F9)/10000,0)</f>
        <v>0</v>
      </c>
      <c r="D6" s="155" t="s">
        <v>2108</v>
      </c>
      <c r="E6" s="302" t="s">
        <v>696</v>
      </c>
      <c r="F6" s="303">
        <f ca="1">INDIRECT("'数据-取费表'!u"&amp;$G$1)</f>
        <v>0</v>
      </c>
      <c r="G6" s="1383"/>
      <c r="H6" s="1068" t="s">
        <v>398</v>
      </c>
      <c r="I6" s="3669" t="s">
        <v>694</v>
      </c>
      <c r="J6" s="301">
        <f ca="1">ROUND(M6*M8*M7*(1-M9)/10000,0)</f>
        <v>0</v>
      </c>
      <c r="K6" s="155" t="s">
        <v>2107</v>
      </c>
      <c r="L6" s="302" t="s">
        <v>696</v>
      </c>
      <c r="M6" s="303">
        <f ca="1">INDIRECT("'数据-取费表'!z"&amp;$G$1)</f>
        <v>0</v>
      </c>
    </row>
    <row r="7" spans="1:37" ht="18" customHeight="1">
      <c r="A7" s="1072"/>
      <c r="B7" s="3670"/>
      <c r="C7" s="1074"/>
      <c r="D7" s="307"/>
      <c r="E7" s="1075" t="s">
        <v>697</v>
      </c>
      <c r="F7" s="303">
        <f ca="1">IF(INDIRECT("'数据-取费表'!ah"&amp;$G$1)="",INDIRECT("'数据-取费表'!k"&amp;$G$1),INDIRECT("'数据-取费表'!ah"&amp;$G$1))</f>
        <v>0</v>
      </c>
      <c r="G7" s="1383"/>
      <c r="H7" s="304"/>
      <c r="I7" s="3670"/>
      <c r="J7" s="306"/>
      <c r="K7" s="307"/>
      <c r="L7" s="302" t="s">
        <v>697</v>
      </c>
      <c r="M7" s="303">
        <f ca="1">F7</f>
        <v>0</v>
      </c>
    </row>
    <row r="8" spans="1:37" ht="18" customHeight="1">
      <c r="A8" s="304"/>
      <c r="B8" s="3670"/>
      <c r="C8" s="306"/>
      <c r="D8" s="307"/>
      <c r="E8" s="302" t="s">
        <v>698</v>
      </c>
      <c r="F8" s="303">
        <f ca="1">INDIRECT("'数据-取费表'!ai"&amp;$G$1)</f>
        <v>0</v>
      </c>
      <c r="G8" s="1383"/>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3"/>
      <c r="H9" s="304"/>
      <c r="I9" s="367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3344</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67" t="s">
        <v>837</v>
      </c>
      <c r="L53" s="3668"/>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60" zoomScaleNormal="70" workbookViewId="0">
      <selection activeCell="D31" sqref="D3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704</v>
      </c>
      <c r="E1" s="3434" t="s">
        <v>3430</v>
      </c>
      <c r="F1" s="1878" t="s">
        <v>3431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323.03539999999998</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35124</v>
      </c>
      <c r="C3" s="354" t="s">
        <v>1768</v>
      </c>
      <c r="D3" s="353">
        <f>IF(D1="",'数据-汇总表'!E3,SUMIF('数据-汇总表'!$C19:$C33,D1,'数据-汇总表'!$E19:$E33))</f>
        <v>91.97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90" t="s">
        <v>1770</v>
      </c>
      <c r="D4" s="3691"/>
      <c r="E4" s="3692" t="s">
        <v>1771</v>
      </c>
      <c r="F4" s="3693"/>
      <c r="G4" s="3690" t="s">
        <v>1772</v>
      </c>
      <c r="H4" s="3691"/>
      <c r="I4" s="3690" t="s">
        <v>1773</v>
      </c>
      <c r="J4" s="3691"/>
      <c r="K4" s="559" t="s">
        <v>1774</v>
      </c>
      <c r="L4" s="2714"/>
      <c r="M4" s="2715"/>
      <c r="N4" s="2715"/>
      <c r="O4" s="2715"/>
      <c r="P4" s="3694" t="s">
        <v>1775</v>
      </c>
      <c r="Q4" s="3695"/>
      <c r="R4" s="3700" t="s">
        <v>1771</v>
      </c>
      <c r="S4" s="3701"/>
      <c r="T4" s="3700" t="s">
        <v>1772</v>
      </c>
      <c r="U4" s="3701"/>
      <c r="V4" s="3706" t="s">
        <v>1773</v>
      </c>
      <c r="W4" s="3706"/>
      <c r="X4" s="1957"/>
      <c r="Y4" s="3700" t="s">
        <v>1775</v>
      </c>
      <c r="Z4" s="3701"/>
      <c r="AA4" s="3718" t="s">
        <v>1771</v>
      </c>
      <c r="AB4" s="3718" t="s">
        <v>1772</v>
      </c>
      <c r="AC4" s="3687" t="s">
        <v>1773</v>
      </c>
    </row>
    <row r="5" spans="1:29" ht="15">
      <c r="A5" s="358"/>
      <c r="B5" s="359"/>
      <c r="C5" s="3710" t="s">
        <v>1673</v>
      </c>
      <c r="D5" s="3711"/>
      <c r="E5" s="3721" t="s">
        <v>1674</v>
      </c>
      <c r="F5" s="3722"/>
      <c r="G5" s="3710" t="s">
        <v>1675</v>
      </c>
      <c r="H5" s="3711"/>
      <c r="I5" s="3710" t="s">
        <v>1676</v>
      </c>
      <c r="J5" s="3711"/>
      <c r="K5" s="559"/>
      <c r="L5" s="2714"/>
      <c r="M5" s="2715"/>
      <c r="N5" s="2715"/>
      <c r="O5" s="2715"/>
      <c r="P5" s="3696"/>
      <c r="Q5" s="3697"/>
      <c r="R5" s="3702"/>
      <c r="S5" s="3703"/>
      <c r="T5" s="3702"/>
      <c r="U5" s="3703"/>
      <c r="V5" s="3707"/>
      <c r="W5" s="3707"/>
      <c r="X5" s="1354"/>
      <c r="Y5" s="3702"/>
      <c r="Z5" s="3703"/>
      <c r="AA5" s="3719"/>
      <c r="AB5" s="3719"/>
      <c r="AC5" s="3688"/>
    </row>
    <row r="6" spans="1:29" ht="15.75" thickBot="1">
      <c r="A6" s="360"/>
      <c r="B6" s="361"/>
      <c r="C6" s="3708" t="s">
        <v>1677</v>
      </c>
      <c r="D6" s="3709"/>
      <c r="E6" s="3716" t="s">
        <v>1677</v>
      </c>
      <c r="F6" s="3717"/>
      <c r="G6" s="3708" t="s">
        <v>1677</v>
      </c>
      <c r="H6" s="3709"/>
      <c r="I6" s="3708" t="s">
        <v>1677</v>
      </c>
      <c r="J6" s="3709"/>
      <c r="K6" s="559" t="s">
        <v>1678</v>
      </c>
      <c r="L6" s="2714"/>
      <c r="M6" s="2715"/>
      <c r="N6" s="2715"/>
      <c r="O6" s="2715"/>
      <c r="P6" s="3698"/>
      <c r="Q6" s="3699"/>
      <c r="R6" s="3702"/>
      <c r="S6" s="3703"/>
      <c r="T6" s="3704"/>
      <c r="U6" s="3705"/>
      <c r="V6" s="3707"/>
      <c r="W6" s="3707"/>
      <c r="X6" s="1354"/>
      <c r="Y6" s="3704"/>
      <c r="Z6" s="3705"/>
      <c r="AA6" s="3720"/>
      <c r="AB6" s="3720"/>
      <c r="AC6" s="3689"/>
    </row>
    <row r="7" spans="1:29" s="108" customFormat="1" ht="15.75" thickBot="1">
      <c r="A7" s="362" t="s">
        <v>1679</v>
      </c>
      <c r="B7" s="363"/>
      <c r="C7" s="364">
        <f>'数据-取费表'!B2</f>
        <v>44939</v>
      </c>
      <c r="D7" s="365">
        <v>100</v>
      </c>
      <c r="E7" s="366">
        <f>C7</f>
        <v>44939</v>
      </c>
      <c r="F7" s="367">
        <f>SUMIF(59:59,YEAR(E7)&amp;"-"&amp;MONTH(E7),60:60)</f>
        <v>100</v>
      </c>
      <c r="G7" s="366">
        <f>C7</f>
        <v>44939</v>
      </c>
      <c r="H7" s="365">
        <f>SUMIF(59:59,YEAR(G7)&amp;"-"&amp;MONTH(G7),60:60)</f>
        <v>100</v>
      </c>
      <c r="I7" s="366">
        <f>C7</f>
        <v>44939</v>
      </c>
      <c r="J7" s="365">
        <f>SUMIF(59:59,YEAR(I7)&amp;"-"&amp;MONTH(I7),60:60)</f>
        <v>100</v>
      </c>
      <c r="K7" s="560"/>
      <c r="L7" s="2716"/>
      <c r="M7" s="2717"/>
      <c r="N7" s="2717"/>
      <c r="O7" s="2717"/>
      <c r="P7" s="3712" t="s">
        <v>1680</v>
      </c>
      <c r="Q7" s="3715"/>
      <c r="R7" s="700" t="s">
        <v>14</v>
      </c>
      <c r="S7" s="701">
        <f t="shared" ref="S7:S15" si="0">F7</f>
        <v>100</v>
      </c>
      <c r="T7" s="700" t="s">
        <v>14</v>
      </c>
      <c r="U7" s="701">
        <f t="shared" ref="U7:U15" si="1">H7</f>
        <v>100</v>
      </c>
      <c r="V7" s="700" t="s">
        <v>14</v>
      </c>
      <c r="W7" s="701">
        <f t="shared" ref="W7:W15" si="2">J7</f>
        <v>100</v>
      </c>
      <c r="X7" s="702"/>
      <c r="Y7" s="3714" t="s">
        <v>1680</v>
      </c>
      <c r="Z7" s="3713"/>
      <c r="AA7" s="703">
        <f>D7/F7</f>
        <v>1</v>
      </c>
      <c r="AB7" s="703">
        <f>D7/H7</f>
        <v>1</v>
      </c>
      <c r="AC7" s="1958">
        <f>D7/J7</f>
        <v>1</v>
      </c>
    </row>
    <row r="8" spans="1:29" s="108" customFormat="1" ht="15.75" thickBot="1">
      <c r="A8" s="362" t="s">
        <v>1681</v>
      </c>
      <c r="B8" s="363"/>
      <c r="C8" s="368" t="s">
        <v>3427</v>
      </c>
      <c r="D8" s="365">
        <v>100</v>
      </c>
      <c r="E8" s="3470" t="s">
        <v>3428</v>
      </c>
      <c r="F8" s="367">
        <f>SUMIF(62:62,E8,63:63)-SUMIF(62:62,C8,63:63)+100</f>
        <v>100</v>
      </c>
      <c r="G8" s="3470" t="s">
        <v>3428</v>
      </c>
      <c r="H8" s="365">
        <f>SUMIF(62:62,G8,63:63)-SUMIF(62:62,C8,63:63)+100</f>
        <v>100</v>
      </c>
      <c r="I8" s="3470" t="s">
        <v>3429</v>
      </c>
      <c r="J8" s="365">
        <f>SUMIF(62:62,I8,63:63)-SUMIF(62:62,C8,63:63)+100</f>
        <v>100</v>
      </c>
      <c r="K8" s="560"/>
      <c r="L8" s="2716"/>
      <c r="M8" s="2717"/>
      <c r="N8" s="2717"/>
      <c r="O8" s="2717"/>
      <c r="P8" s="3712" t="s">
        <v>1683</v>
      </c>
      <c r="Q8" s="3713"/>
      <c r="R8" s="700" t="s">
        <v>14</v>
      </c>
      <c r="S8" s="701">
        <f t="shared" si="0"/>
        <v>100</v>
      </c>
      <c r="T8" s="700" t="s">
        <v>14</v>
      </c>
      <c r="U8" s="701">
        <f t="shared" si="1"/>
        <v>100</v>
      </c>
      <c r="V8" s="700" t="s">
        <v>14</v>
      </c>
      <c r="W8" s="701">
        <f t="shared" si="2"/>
        <v>100</v>
      </c>
      <c r="X8" s="702"/>
      <c r="Y8" s="3714" t="s">
        <v>1683</v>
      </c>
      <c r="Z8" s="3713"/>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571" t="s">
        <v>1687</v>
      </c>
      <c r="Z9" s="52" t="str">
        <f t="shared" ref="Z9:Z15" si="7">Q9</f>
        <v>用途</v>
      </c>
      <c r="AA9" s="703">
        <f t="shared" si="3"/>
        <v>1</v>
      </c>
      <c r="AB9" s="703">
        <f t="shared" si="4"/>
        <v>1</v>
      </c>
      <c r="AC9" s="1958">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571"/>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2"/>
      <c r="Q11" s="1342" t="str">
        <f t="shared" si="6"/>
        <v>容积率</v>
      </c>
      <c r="R11" s="700" t="s">
        <v>14</v>
      </c>
      <c r="S11" s="701">
        <f t="shared" si="0"/>
        <v>100</v>
      </c>
      <c r="T11" s="700" t="s">
        <v>14</v>
      </c>
      <c r="U11" s="701">
        <f t="shared" si="1"/>
        <v>100</v>
      </c>
      <c r="V11" s="700" t="s">
        <v>14</v>
      </c>
      <c r="W11" s="701">
        <f t="shared" si="2"/>
        <v>100</v>
      </c>
      <c r="X11" s="702"/>
      <c r="Y11" s="3571"/>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2"/>
      <c r="Q12" s="1342">
        <f t="shared" si="6"/>
        <v>111</v>
      </c>
      <c r="R12" s="700" t="s">
        <v>14</v>
      </c>
      <c r="S12" s="701">
        <f t="shared" si="0"/>
        <v>100</v>
      </c>
      <c r="T12" s="700" t="s">
        <v>14</v>
      </c>
      <c r="U12" s="701">
        <f t="shared" si="1"/>
        <v>100</v>
      </c>
      <c r="V12" s="700" t="s">
        <v>14</v>
      </c>
      <c r="W12" s="701">
        <f t="shared" si="2"/>
        <v>100</v>
      </c>
      <c r="X12" s="702"/>
      <c r="Y12" s="3571"/>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2"/>
      <c r="Q13" s="1342">
        <f t="shared" si="6"/>
        <v>111</v>
      </c>
      <c r="R13" s="700" t="s">
        <v>14</v>
      </c>
      <c r="S13" s="701">
        <f t="shared" si="0"/>
        <v>100</v>
      </c>
      <c r="T13" s="700" t="s">
        <v>14</v>
      </c>
      <c r="U13" s="701">
        <f t="shared" si="1"/>
        <v>100</v>
      </c>
      <c r="V13" s="700" t="s">
        <v>14</v>
      </c>
      <c r="W13" s="701">
        <f t="shared" si="2"/>
        <v>100</v>
      </c>
      <c r="X13" s="702"/>
      <c r="Y13" s="3571"/>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2"/>
      <c r="Q14" s="1342">
        <f t="shared" si="6"/>
        <v>111</v>
      </c>
      <c r="R14" s="700" t="s">
        <v>14</v>
      </c>
      <c r="S14" s="701">
        <f t="shared" si="0"/>
        <v>100</v>
      </c>
      <c r="T14" s="700" t="s">
        <v>14</v>
      </c>
      <c r="U14" s="701">
        <f t="shared" si="1"/>
        <v>100</v>
      </c>
      <c r="V14" s="700" t="s">
        <v>14</v>
      </c>
      <c r="W14" s="701">
        <f t="shared" si="2"/>
        <v>100</v>
      </c>
      <c r="X14" s="702"/>
      <c r="Y14" s="3571"/>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8" t="s">
        <v>1691</v>
      </c>
      <c r="Q15" s="1351" t="str">
        <f t="shared" si="6"/>
        <v>办公集聚程度</v>
      </c>
      <c r="R15" s="704" t="s">
        <v>14</v>
      </c>
      <c r="S15" s="705">
        <f t="shared" si="0"/>
        <v>100</v>
      </c>
      <c r="T15" s="704" t="s">
        <v>14</v>
      </c>
      <c r="U15" s="705">
        <f t="shared" si="1"/>
        <v>100</v>
      </c>
      <c r="V15" s="704" t="s">
        <v>14</v>
      </c>
      <c r="W15" s="705">
        <f t="shared" si="2"/>
        <v>100</v>
      </c>
      <c r="X15" s="1354"/>
      <c r="Y15" s="3680"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79"/>
      <c r="Q16" s="1351"/>
      <c r="R16" s="704"/>
      <c r="S16" s="705"/>
      <c r="T16" s="704"/>
      <c r="U16" s="705"/>
      <c r="V16" s="704"/>
      <c r="W16" s="705"/>
      <c r="X16" s="1354"/>
      <c r="Y16" s="3681"/>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9"/>
      <c r="Q17" s="1351" t="str">
        <f>B17</f>
        <v>交通便捷度</v>
      </c>
      <c r="R17" s="704" t="s">
        <v>14</v>
      </c>
      <c r="S17" s="705">
        <f>F17</f>
        <v>100</v>
      </c>
      <c r="T17" s="704" t="s">
        <v>14</v>
      </c>
      <c r="U17" s="705">
        <f>H17</f>
        <v>100</v>
      </c>
      <c r="V17" s="704" t="s">
        <v>14</v>
      </c>
      <c r="W17" s="705">
        <f>J17</f>
        <v>100</v>
      </c>
      <c r="X17" s="1354"/>
      <c r="Y17" s="3681"/>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79"/>
      <c r="Q18" s="1351"/>
      <c r="R18" s="704"/>
      <c r="S18" s="705"/>
      <c r="T18" s="704"/>
      <c r="U18" s="705"/>
      <c r="V18" s="704"/>
      <c r="W18" s="705"/>
      <c r="X18" s="1354"/>
      <c r="Y18" s="3681"/>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9"/>
      <c r="Q19" s="1351" t="str">
        <f>B19</f>
        <v>公共配套设施</v>
      </c>
      <c r="R19" s="704" t="s">
        <v>14</v>
      </c>
      <c r="S19" s="705">
        <f>F19</f>
        <v>100</v>
      </c>
      <c r="T19" s="704" t="s">
        <v>14</v>
      </c>
      <c r="U19" s="705">
        <f>H19</f>
        <v>100</v>
      </c>
      <c r="V19" s="704" t="s">
        <v>14</v>
      </c>
      <c r="W19" s="705">
        <f>J19</f>
        <v>100</v>
      </c>
      <c r="X19" s="1354"/>
      <c r="Y19" s="3681"/>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79"/>
      <c r="Q20" s="1351"/>
      <c r="R20" s="704"/>
      <c r="S20" s="705"/>
      <c r="T20" s="704"/>
      <c r="U20" s="705"/>
      <c r="V20" s="704"/>
      <c r="W20" s="705"/>
      <c r="X20" s="1354"/>
      <c r="Y20" s="3681"/>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9"/>
      <c r="Q21" s="1351" t="str">
        <f>B21</f>
        <v>基础设施水平</v>
      </c>
      <c r="R21" s="704" t="s">
        <v>14</v>
      </c>
      <c r="S21" s="705">
        <f>F21</f>
        <v>100</v>
      </c>
      <c r="T21" s="704" t="s">
        <v>14</v>
      </c>
      <c r="U21" s="705">
        <f>H21</f>
        <v>100</v>
      </c>
      <c r="V21" s="704" t="s">
        <v>14</v>
      </c>
      <c r="W21" s="705">
        <f>J21</f>
        <v>100</v>
      </c>
      <c r="X21" s="1354"/>
      <c r="Y21" s="3681"/>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679"/>
      <c r="Q22" s="1351"/>
      <c r="R22" s="704"/>
      <c r="S22" s="705"/>
      <c r="T22" s="704"/>
      <c r="U22" s="705"/>
      <c r="V22" s="704"/>
      <c r="W22" s="705"/>
      <c r="X22" s="1354"/>
      <c r="Y22" s="3681"/>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9"/>
      <c r="Q23" s="1351" t="str">
        <f>B23</f>
        <v>环境质量</v>
      </c>
      <c r="R23" s="704" t="s">
        <v>14</v>
      </c>
      <c r="S23" s="705">
        <f>F23</f>
        <v>100</v>
      </c>
      <c r="T23" s="704" t="s">
        <v>14</v>
      </c>
      <c r="U23" s="705">
        <f>H23</f>
        <v>100</v>
      </c>
      <c r="V23" s="704" t="s">
        <v>14</v>
      </c>
      <c r="W23" s="705">
        <f>J23</f>
        <v>100</v>
      </c>
      <c r="X23" s="1354"/>
      <c r="Y23" s="3681"/>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79"/>
      <c r="Q24" s="1351"/>
      <c r="R24" s="704"/>
      <c r="S24" s="705"/>
      <c r="T24" s="704"/>
      <c r="U24" s="705"/>
      <c r="V24" s="704"/>
      <c r="W24" s="705"/>
      <c r="X24" s="1354"/>
      <c r="Y24" s="3681"/>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79"/>
      <c r="Q25" s="1351" t="str">
        <f>B25</f>
        <v>毗邻道路的类型与等级</v>
      </c>
      <c r="R25" s="704" t="s">
        <v>14</v>
      </c>
      <c r="S25" s="705">
        <f>F25</f>
        <v>100</v>
      </c>
      <c r="T25" s="704" t="s">
        <v>14</v>
      </c>
      <c r="U25" s="705">
        <f>H25</f>
        <v>100</v>
      </c>
      <c r="V25" s="704" t="s">
        <v>14</v>
      </c>
      <c r="W25" s="705">
        <f>J25</f>
        <v>100</v>
      </c>
      <c r="X25" s="1354"/>
      <c r="Y25" s="3681"/>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79"/>
      <c r="Q26" s="1351"/>
      <c r="R26" s="704"/>
      <c r="S26" s="705"/>
      <c r="T26" s="704"/>
      <c r="U26" s="705"/>
      <c r="V26" s="704"/>
      <c r="W26" s="705"/>
      <c r="X26" s="1354"/>
      <c r="Y26" s="3681"/>
      <c r="Z26" s="1355"/>
      <c r="AA26" s="1352">
        <v>1</v>
      </c>
      <c r="AB26" s="1352">
        <v>1</v>
      </c>
      <c r="AC26" s="1961">
        <v>1</v>
      </c>
    </row>
    <row r="27" spans="1:29" ht="15">
      <c r="A27" s="379"/>
      <c r="B27" s="580" t="s">
        <v>1783</v>
      </c>
      <c r="C27" s="3471" t="s">
        <v>3460</v>
      </c>
      <c r="D27" s="386">
        <v>100</v>
      </c>
      <c r="E27" s="3472" t="s">
        <v>3439</v>
      </c>
      <c r="F27" s="386">
        <f>SUMIF(89:89,E27,90:90)-SUMIF(89:89,C27,90:90)+100</f>
        <v>100</v>
      </c>
      <c r="G27" s="3471" t="s">
        <v>3439</v>
      </c>
      <c r="H27" s="386">
        <f>SUMIF(89:89,G27,90:90)-SUMIF(89:89,C27,90:90)+100</f>
        <v>100</v>
      </c>
      <c r="I27" s="3472" t="s">
        <v>3440</v>
      </c>
      <c r="J27" s="386">
        <f>SUMIF(89:89,I27,90:90)-SUMIF(89:89,C27,90:90)+100</f>
        <v>100</v>
      </c>
      <c r="K27" s="561">
        <v>3</v>
      </c>
      <c r="L27" s="2721"/>
      <c r="M27" s="2715"/>
      <c r="N27" s="2715"/>
      <c r="O27" s="2715"/>
      <c r="P27" s="3679"/>
      <c r="Q27" s="1351" t="str">
        <f t="shared" ref="Q27:Q47" si="11">B27</f>
        <v>楼层</v>
      </c>
      <c r="R27" s="704" t="s">
        <v>14</v>
      </c>
      <c r="S27" s="705">
        <f>F27</f>
        <v>100</v>
      </c>
      <c r="T27" s="704" t="s">
        <v>14</v>
      </c>
      <c r="U27" s="705">
        <f>H27</f>
        <v>100</v>
      </c>
      <c r="V27" s="704" t="s">
        <v>14</v>
      </c>
      <c r="W27" s="705">
        <f>J27</f>
        <v>100</v>
      </c>
      <c r="X27" s="1354"/>
      <c r="Y27" s="3681"/>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79"/>
      <c r="Q28" s="1342" t="str">
        <f t="shared" si="11"/>
        <v>朝向</v>
      </c>
      <c r="R28" s="700" t="s">
        <v>14</v>
      </c>
      <c r="S28" s="701">
        <f>F28</f>
        <v>100</v>
      </c>
      <c r="T28" s="700" t="s">
        <v>14</v>
      </c>
      <c r="U28" s="701">
        <f>H28</f>
        <v>100</v>
      </c>
      <c r="V28" s="700" t="s">
        <v>14</v>
      </c>
      <c r="W28" s="701">
        <f>J28</f>
        <v>100</v>
      </c>
      <c r="X28" s="702"/>
      <c r="Y28" s="3681"/>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79"/>
      <c r="Q29" s="1351">
        <f t="shared" si="11"/>
        <v>111</v>
      </c>
      <c r="R29" s="704" t="s">
        <v>14</v>
      </c>
      <c r="S29" s="705">
        <f t="shared" ref="S29:S47" si="12">F29</f>
        <v>100</v>
      </c>
      <c r="T29" s="704" t="s">
        <v>14</v>
      </c>
      <c r="U29" s="705">
        <f t="shared" ref="U29:U47" si="13">H29</f>
        <v>100</v>
      </c>
      <c r="V29" s="704" t="s">
        <v>14</v>
      </c>
      <c r="W29" s="705">
        <f t="shared" ref="W29:W47" si="14">J29</f>
        <v>100</v>
      </c>
      <c r="X29" s="1354"/>
      <c r="Y29" s="3681"/>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79"/>
      <c r="Q30" s="1351">
        <f t="shared" si="11"/>
        <v>111</v>
      </c>
      <c r="R30" s="704" t="s">
        <v>14</v>
      </c>
      <c r="S30" s="705">
        <f t="shared" si="12"/>
        <v>100</v>
      </c>
      <c r="T30" s="704" t="s">
        <v>14</v>
      </c>
      <c r="U30" s="705">
        <f t="shared" si="13"/>
        <v>100</v>
      </c>
      <c r="V30" s="704" t="s">
        <v>14</v>
      </c>
      <c r="W30" s="705">
        <f t="shared" si="14"/>
        <v>100</v>
      </c>
      <c r="X30" s="1354"/>
      <c r="Y30" s="3681"/>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79"/>
      <c r="Q31" s="1351">
        <f t="shared" si="11"/>
        <v>111</v>
      </c>
      <c r="R31" s="704" t="s">
        <v>14</v>
      </c>
      <c r="S31" s="705">
        <f t="shared" si="12"/>
        <v>100</v>
      </c>
      <c r="T31" s="704" t="s">
        <v>14</v>
      </c>
      <c r="U31" s="705">
        <f t="shared" si="13"/>
        <v>100</v>
      </c>
      <c r="V31" s="704" t="s">
        <v>14</v>
      </c>
      <c r="W31" s="705">
        <f t="shared" si="14"/>
        <v>100</v>
      </c>
      <c r="X31" s="1354"/>
      <c r="Y31" s="3681"/>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79"/>
      <c r="Q32" s="1351">
        <f t="shared" si="11"/>
        <v>111</v>
      </c>
      <c r="R32" s="704" t="s">
        <v>14</v>
      </c>
      <c r="S32" s="705">
        <f t="shared" si="12"/>
        <v>100</v>
      </c>
      <c r="T32" s="704" t="s">
        <v>14</v>
      </c>
      <c r="U32" s="705">
        <f t="shared" si="13"/>
        <v>100</v>
      </c>
      <c r="V32" s="704" t="s">
        <v>14</v>
      </c>
      <c r="W32" s="705">
        <f t="shared" si="14"/>
        <v>100</v>
      </c>
      <c r="X32" s="1354"/>
      <c r="Y32" s="3681"/>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82" t="s">
        <v>1696</v>
      </c>
      <c r="Q33" s="1351" t="str">
        <f t="shared" si="11"/>
        <v>建筑类型</v>
      </c>
      <c r="R33" s="704" t="s">
        <v>14</v>
      </c>
      <c r="S33" s="705">
        <f t="shared" si="12"/>
        <v>100</v>
      </c>
      <c r="T33" s="704" t="s">
        <v>14</v>
      </c>
      <c r="U33" s="705">
        <f t="shared" si="13"/>
        <v>100</v>
      </c>
      <c r="V33" s="704" t="s">
        <v>14</v>
      </c>
      <c r="W33" s="705">
        <f t="shared" si="14"/>
        <v>100</v>
      </c>
      <c r="X33" s="1354"/>
      <c r="Y33" s="3685" t="s">
        <v>1696</v>
      </c>
      <c r="Z33" s="1355" t="str">
        <f t="shared" si="15"/>
        <v>建筑类型</v>
      </c>
      <c r="AA33" s="1352">
        <f t="shared" si="3"/>
        <v>1</v>
      </c>
      <c r="AB33" s="1352">
        <f t="shared" si="4"/>
        <v>1</v>
      </c>
      <c r="AC33" s="1961">
        <f t="shared" si="5"/>
        <v>1</v>
      </c>
    </row>
    <row r="34" spans="1:29" s="422" customFormat="1" ht="15">
      <c r="A34" s="419"/>
      <c r="B34" s="375" t="s">
        <v>1697</v>
      </c>
      <c r="C34" s="420">
        <f>D3</f>
        <v>91.97</v>
      </c>
      <c r="D34" s="127">
        <v>100</v>
      </c>
      <c r="E34" s="381">
        <f>Sheet1!I5</f>
        <v>229.53</v>
      </c>
      <c r="F34" s="376">
        <f>LOOKUP(E34,104:104,105:105)-LOOKUP(C34,104:104,105:105)+100</f>
        <v>98</v>
      </c>
      <c r="G34" s="380">
        <f>Sheet1!I6</f>
        <v>89.91</v>
      </c>
      <c r="H34" s="127">
        <f>LOOKUP(G34,104:104,105:105)-LOOKUP(C34,104:104,105:105)+100</f>
        <v>100</v>
      </c>
      <c r="I34" s="380">
        <f>Sheet1!I7</f>
        <v>111.32</v>
      </c>
      <c r="J34" s="127">
        <f>LOOKUP(I34,104:104,105:105)-LOOKUP(C34,104:104,105:105)+100</f>
        <v>99</v>
      </c>
      <c r="K34" s="562"/>
      <c r="L34" s="2720"/>
      <c r="M34" s="2722"/>
      <c r="N34" s="2722"/>
      <c r="O34" s="2722"/>
      <c r="P34" s="3683"/>
      <c r="Q34" s="706" t="str">
        <f t="shared" si="11"/>
        <v>项目建筑规模</v>
      </c>
      <c r="R34" s="707" t="s">
        <v>14</v>
      </c>
      <c r="S34" s="708">
        <f t="shared" si="12"/>
        <v>98</v>
      </c>
      <c r="T34" s="707" t="s">
        <v>14</v>
      </c>
      <c r="U34" s="708">
        <f t="shared" si="13"/>
        <v>100</v>
      </c>
      <c r="V34" s="707" t="s">
        <v>14</v>
      </c>
      <c r="W34" s="708">
        <f t="shared" si="14"/>
        <v>99</v>
      </c>
      <c r="X34" s="709"/>
      <c r="Y34" s="3685"/>
      <c r="Z34" s="710" t="str">
        <f t="shared" si="15"/>
        <v>项目建筑规模</v>
      </c>
      <c r="AA34" s="1352">
        <f t="shared" si="3"/>
        <v>1.0204081632653061</v>
      </c>
      <c r="AB34" s="1352">
        <f t="shared" si="4"/>
        <v>1</v>
      </c>
      <c r="AC34" s="1961">
        <f t="shared" si="5"/>
        <v>1.0101010101010102</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3"/>
      <c r="Q35" s="1351" t="str">
        <f t="shared" si="11"/>
        <v>建筑结构</v>
      </c>
      <c r="R35" s="704" t="s">
        <v>14</v>
      </c>
      <c r="S35" s="705">
        <f t="shared" si="12"/>
        <v>100</v>
      </c>
      <c r="T35" s="704" t="s">
        <v>14</v>
      </c>
      <c r="U35" s="705">
        <f t="shared" si="13"/>
        <v>100</v>
      </c>
      <c r="V35" s="704" t="s">
        <v>14</v>
      </c>
      <c r="W35" s="705">
        <f t="shared" si="14"/>
        <v>100</v>
      </c>
      <c r="X35" s="1354"/>
      <c r="Y35" s="3685"/>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3"/>
      <c r="Q36" s="1351" t="str">
        <f t="shared" si="11"/>
        <v>公共部分装修</v>
      </c>
      <c r="R36" s="704" t="s">
        <v>14</v>
      </c>
      <c r="S36" s="705">
        <f t="shared" si="12"/>
        <v>100</v>
      </c>
      <c r="T36" s="704" t="s">
        <v>14</v>
      </c>
      <c r="U36" s="705">
        <f t="shared" si="13"/>
        <v>100</v>
      </c>
      <c r="V36" s="704" t="s">
        <v>14</v>
      </c>
      <c r="W36" s="705">
        <f t="shared" si="14"/>
        <v>100</v>
      </c>
      <c r="X36" s="1354"/>
      <c r="Y36" s="3685"/>
      <c r="Z36" s="1355" t="str">
        <f t="shared" si="15"/>
        <v>公共部分装修</v>
      </c>
      <c r="AA36" s="1352">
        <f t="shared" si="3"/>
        <v>1</v>
      </c>
      <c r="AB36" s="1352">
        <f t="shared" si="4"/>
        <v>1</v>
      </c>
      <c r="AC36" s="1961">
        <f t="shared" si="5"/>
        <v>1</v>
      </c>
    </row>
    <row r="37" spans="1:29" ht="15">
      <c r="A37" s="423"/>
      <c r="B37" s="375" t="s">
        <v>1786</v>
      </c>
      <c r="C37" s="425">
        <f>'数据-取费表'!N6</f>
        <v>0.83</v>
      </c>
      <c r="D37" s="386">
        <v>100</v>
      </c>
      <c r="E37" s="425">
        <f>C37</f>
        <v>0.83</v>
      </c>
      <c r="F37" s="412">
        <f>LOOKUP(E37,111:111,112:112)-LOOKUP(C37,111:111,112:112)+100</f>
        <v>100</v>
      </c>
      <c r="G37" s="425">
        <f>E37</f>
        <v>0.83</v>
      </c>
      <c r="H37" s="412">
        <f>LOOKUP(G37,111:111,112:112)-LOOKUP(C37,111:111,112:112)+100</f>
        <v>100</v>
      </c>
      <c r="I37" s="425">
        <f>G37</f>
        <v>0.83</v>
      </c>
      <c r="J37" s="386">
        <f>LOOKUP(I37,111:111,112:112)-LOOKUP(C37,111:111,112:112)+100</f>
        <v>100</v>
      </c>
      <c r="K37" s="561"/>
      <c r="L37" s="2721"/>
      <c r="M37" s="2715"/>
      <c r="N37" s="2715"/>
      <c r="O37" s="2715"/>
      <c r="P37" s="3683"/>
      <c r="Q37" s="1351" t="str">
        <f t="shared" si="11"/>
        <v>成新度</v>
      </c>
      <c r="R37" s="704" t="s">
        <v>14</v>
      </c>
      <c r="S37" s="705">
        <f t="shared" si="12"/>
        <v>100</v>
      </c>
      <c r="T37" s="704" t="s">
        <v>14</v>
      </c>
      <c r="U37" s="705">
        <f t="shared" si="13"/>
        <v>100</v>
      </c>
      <c r="V37" s="704" t="s">
        <v>14</v>
      </c>
      <c r="W37" s="705">
        <f t="shared" si="14"/>
        <v>100</v>
      </c>
      <c r="X37" s="1354"/>
      <c r="Y37" s="3685"/>
      <c r="Z37" s="1355" t="str">
        <f t="shared" si="15"/>
        <v>成新度</v>
      </c>
      <c r="AA37" s="1352">
        <f t="shared" si="3"/>
        <v>1</v>
      </c>
      <c r="AB37" s="1352">
        <f t="shared" si="4"/>
        <v>1</v>
      </c>
      <c r="AC37" s="1961">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3"/>
      <c r="Q38" s="1342" t="str">
        <f t="shared" si="11"/>
        <v>写字楼等级</v>
      </c>
      <c r="R38" s="700" t="s">
        <v>14</v>
      </c>
      <c r="S38" s="701">
        <f t="shared" si="12"/>
        <v>100</v>
      </c>
      <c r="T38" s="700" t="s">
        <v>14</v>
      </c>
      <c r="U38" s="701">
        <f t="shared" si="13"/>
        <v>100</v>
      </c>
      <c r="V38" s="700" t="s">
        <v>14</v>
      </c>
      <c r="W38" s="701">
        <f t="shared" si="14"/>
        <v>100</v>
      </c>
      <c r="X38" s="702"/>
      <c r="Y38" s="3685"/>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3" t="s">
        <v>1696</v>
      </c>
      <c r="Q39" s="1351" t="str">
        <f t="shared" si="11"/>
        <v>物业管理</v>
      </c>
      <c r="R39" s="704" t="s">
        <v>14</v>
      </c>
      <c r="S39" s="705">
        <f t="shared" si="12"/>
        <v>100</v>
      </c>
      <c r="T39" s="704" t="s">
        <v>14</v>
      </c>
      <c r="U39" s="705">
        <f t="shared" si="13"/>
        <v>100</v>
      </c>
      <c r="V39" s="704" t="s">
        <v>14</v>
      </c>
      <c r="W39" s="705">
        <f t="shared" si="14"/>
        <v>100</v>
      </c>
      <c r="X39" s="1354"/>
      <c r="Y39" s="3685"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3"/>
      <c r="Q40" s="1351" t="str">
        <f t="shared" si="11"/>
        <v>市政基础设施</v>
      </c>
      <c r="R40" s="704" t="s">
        <v>14</v>
      </c>
      <c r="S40" s="705">
        <f t="shared" si="12"/>
        <v>100</v>
      </c>
      <c r="T40" s="704" t="s">
        <v>14</v>
      </c>
      <c r="U40" s="705">
        <f t="shared" si="13"/>
        <v>100</v>
      </c>
      <c r="V40" s="704" t="s">
        <v>14</v>
      </c>
      <c r="W40" s="705">
        <f t="shared" si="14"/>
        <v>100</v>
      </c>
      <c r="X40" s="1354"/>
      <c r="Y40" s="3685"/>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3"/>
      <c r="Q41" s="1351" t="str">
        <f t="shared" si="11"/>
        <v>层高</v>
      </c>
      <c r="R41" s="704" t="s">
        <v>14</v>
      </c>
      <c r="S41" s="705">
        <f t="shared" si="12"/>
        <v>100</v>
      </c>
      <c r="T41" s="704" t="s">
        <v>14</v>
      </c>
      <c r="U41" s="705">
        <f t="shared" si="13"/>
        <v>100</v>
      </c>
      <c r="V41" s="704" t="s">
        <v>14</v>
      </c>
      <c r="W41" s="705">
        <f t="shared" si="14"/>
        <v>100</v>
      </c>
      <c r="X41" s="1354"/>
      <c r="Y41" s="3685"/>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3"/>
      <c r="Q42" s="706" t="str">
        <f t="shared" si="11"/>
        <v>单套建筑面积</v>
      </c>
      <c r="R42" s="707" t="s">
        <v>14</v>
      </c>
      <c r="S42" s="708">
        <f t="shared" si="12"/>
        <v>100</v>
      </c>
      <c r="T42" s="707" t="s">
        <v>14</v>
      </c>
      <c r="U42" s="708">
        <f t="shared" si="13"/>
        <v>100</v>
      </c>
      <c r="V42" s="707" t="s">
        <v>14</v>
      </c>
      <c r="W42" s="708">
        <f t="shared" si="14"/>
        <v>100</v>
      </c>
      <c r="X42" s="709"/>
      <c r="Y42" s="3685"/>
      <c r="Z42" s="710" t="str">
        <f t="shared" si="15"/>
        <v>单套建筑面积</v>
      </c>
      <c r="AA42" s="1352">
        <f t="shared" si="3"/>
        <v>1</v>
      </c>
      <c r="AB42" s="1352">
        <f t="shared" si="4"/>
        <v>1</v>
      </c>
      <c r="AC42" s="1961">
        <f t="shared" si="5"/>
        <v>1</v>
      </c>
    </row>
    <row r="43" spans="1:29" ht="15">
      <c r="A43" s="423"/>
      <c r="B43" s="375" t="s">
        <v>1792</v>
      </c>
      <c r="C43" s="3474" t="s">
        <v>3444</v>
      </c>
      <c r="D43" s="386">
        <v>100</v>
      </c>
      <c r="E43" s="3474" t="s">
        <v>3444</v>
      </c>
      <c r="F43" s="412">
        <f>SUMIF(123:123,E43,124:124)-SUMIF(123:123,C43,124:124)+100</f>
        <v>100</v>
      </c>
      <c r="G43" s="3474" t="s">
        <v>3445</v>
      </c>
      <c r="H43" s="386">
        <f>SUMIF(123:123,G43,124:124)-SUMIF(123:123,C43,124:124)+100</f>
        <v>98</v>
      </c>
      <c r="I43" s="3474" t="s">
        <v>3445</v>
      </c>
      <c r="J43" s="386">
        <f>SUMIF(123:123,I43,124:124)-SUMIF(123:123,C43,124:124)+100</f>
        <v>98</v>
      </c>
      <c r="K43" s="561">
        <v>2</v>
      </c>
      <c r="L43" s="2721"/>
      <c r="M43" s="2715"/>
      <c r="N43" s="2715"/>
      <c r="O43" s="2715"/>
      <c r="P43" s="3683"/>
      <c r="Q43" s="1351" t="str">
        <f t="shared" si="11"/>
        <v>内部装修</v>
      </c>
      <c r="R43" s="704" t="s">
        <v>14</v>
      </c>
      <c r="S43" s="705">
        <f t="shared" si="12"/>
        <v>100</v>
      </c>
      <c r="T43" s="704" t="s">
        <v>14</v>
      </c>
      <c r="U43" s="705">
        <f t="shared" si="13"/>
        <v>98</v>
      </c>
      <c r="V43" s="704" t="s">
        <v>14</v>
      </c>
      <c r="W43" s="705">
        <f t="shared" si="14"/>
        <v>98</v>
      </c>
      <c r="X43" s="1354"/>
      <c r="Y43" s="3685"/>
      <c r="Z43" s="1355" t="str">
        <f t="shared" si="15"/>
        <v>内部装修</v>
      </c>
      <c r="AA43" s="1352">
        <f t="shared" si="3"/>
        <v>1</v>
      </c>
      <c r="AB43" s="1352">
        <f t="shared" si="4"/>
        <v>1.0204081632653061</v>
      </c>
      <c r="AC43" s="1961">
        <f t="shared" si="5"/>
        <v>1.0204081632653061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83"/>
      <c r="Q44" s="1351" t="str">
        <f t="shared" si="11"/>
        <v>内部装修维护情况</v>
      </c>
      <c r="R44" s="704" t="s">
        <v>14</v>
      </c>
      <c r="S44" s="705">
        <f t="shared" si="12"/>
        <v>100</v>
      </c>
      <c r="T44" s="704" t="s">
        <v>14</v>
      </c>
      <c r="U44" s="705">
        <f t="shared" si="13"/>
        <v>100</v>
      </c>
      <c r="V44" s="704" t="s">
        <v>14</v>
      </c>
      <c r="W44" s="705">
        <f t="shared" si="14"/>
        <v>100</v>
      </c>
      <c r="X44" s="1354"/>
      <c r="Y44" s="3685"/>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3"/>
      <c r="Q45" s="1342">
        <f t="shared" si="11"/>
        <v>111</v>
      </c>
      <c r="R45" s="700" t="s">
        <v>14</v>
      </c>
      <c r="S45" s="701">
        <f t="shared" si="12"/>
        <v>100</v>
      </c>
      <c r="T45" s="700" t="s">
        <v>14</v>
      </c>
      <c r="U45" s="701">
        <f t="shared" si="13"/>
        <v>100</v>
      </c>
      <c r="V45" s="700" t="s">
        <v>14</v>
      </c>
      <c r="W45" s="701">
        <f t="shared" si="14"/>
        <v>100</v>
      </c>
      <c r="X45" s="702"/>
      <c r="Y45" s="3685"/>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3"/>
      <c r="Q46" s="1351">
        <f t="shared" si="11"/>
        <v>111</v>
      </c>
      <c r="R46" s="704" t="s">
        <v>14</v>
      </c>
      <c r="S46" s="705">
        <f t="shared" si="12"/>
        <v>100</v>
      </c>
      <c r="T46" s="704" t="s">
        <v>14</v>
      </c>
      <c r="U46" s="705">
        <f t="shared" si="13"/>
        <v>100</v>
      </c>
      <c r="V46" s="704" t="s">
        <v>14</v>
      </c>
      <c r="W46" s="705">
        <f t="shared" si="14"/>
        <v>100</v>
      </c>
      <c r="X46" s="1354"/>
      <c r="Y46" s="3685"/>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4"/>
      <c r="Q47" s="1351">
        <f t="shared" si="11"/>
        <v>111</v>
      </c>
      <c r="R47" s="704" t="s">
        <v>14</v>
      </c>
      <c r="S47" s="705">
        <f t="shared" si="12"/>
        <v>100</v>
      </c>
      <c r="T47" s="704" t="s">
        <v>14</v>
      </c>
      <c r="U47" s="705">
        <f t="shared" si="13"/>
        <v>100</v>
      </c>
      <c r="V47" s="704" t="s">
        <v>14</v>
      </c>
      <c r="W47" s="705">
        <f t="shared" si="14"/>
        <v>100</v>
      </c>
      <c r="X47" s="1354"/>
      <c r="Y47" s="3686"/>
      <c r="Z47" s="1355">
        <f t="shared" si="15"/>
        <v>111</v>
      </c>
      <c r="AA47" s="1352">
        <f t="shared" si="3"/>
        <v>1</v>
      </c>
      <c r="AB47" s="1352">
        <f t="shared" si="4"/>
        <v>1</v>
      </c>
      <c r="AC47" s="1961">
        <f t="shared" si="5"/>
        <v>1</v>
      </c>
    </row>
    <row r="48" spans="1:29" ht="15">
      <c r="A48" s="430" t="s">
        <v>1708</v>
      </c>
      <c r="B48" s="431"/>
      <c r="C48" s="1153" t="s">
        <v>0</v>
      </c>
      <c r="D48" s="1154"/>
      <c r="E48" s="1155">
        <f>Sheet1!L5</f>
        <v>36625</v>
      </c>
      <c r="F48" s="1156"/>
      <c r="G48" s="1157">
        <f>Sheet1!L6</f>
        <v>33089</v>
      </c>
      <c r="H48" s="1158"/>
      <c r="I48" s="1155">
        <f>Sheet1!L7</f>
        <v>33215</v>
      </c>
      <c r="J48" s="436"/>
      <c r="K48" s="713"/>
      <c r="L48" s="2723"/>
      <c r="M48" s="2715"/>
      <c r="N48" s="2715"/>
      <c r="O48" s="2715"/>
      <c r="P48" s="3672" t="str">
        <f>A48</f>
        <v>成交单价（元/平方米）</v>
      </c>
      <c r="Q48" s="3673"/>
      <c r="R48" s="3674">
        <f>E48</f>
        <v>36625</v>
      </c>
      <c r="S48" s="3674"/>
      <c r="T48" s="3674">
        <f>G48</f>
        <v>33089</v>
      </c>
      <c r="U48" s="3674"/>
      <c r="V48" s="3674">
        <f>I48</f>
        <v>33215</v>
      </c>
      <c r="W48" s="3674"/>
      <c r="X48" s="397"/>
      <c r="Y48" s="711"/>
      <c r="Z48" s="397"/>
      <c r="AA48" s="397"/>
      <c r="AB48" s="397"/>
      <c r="AC48" s="578"/>
    </row>
    <row r="49" spans="1:29" ht="15.75" thickBot="1">
      <c r="A49" s="437" t="s">
        <v>1793</v>
      </c>
      <c r="B49" s="438"/>
      <c r="C49" s="1159">
        <f>R50</f>
        <v>35124</v>
      </c>
      <c r="D49" s="2316" t="s">
        <v>2137</v>
      </c>
      <c r="E49" s="1160">
        <f>R49</f>
        <v>37372</v>
      </c>
      <c r="F49" s="2317"/>
      <c r="G49" s="1159">
        <f>T49</f>
        <v>33764</v>
      </c>
      <c r="H49" s="2317"/>
      <c r="I49" s="1160">
        <f>V49</f>
        <v>34235</v>
      </c>
      <c r="J49" s="2317"/>
      <c r="K49" s="2319">
        <f>F49+H49+J49</f>
        <v>0</v>
      </c>
      <c r="L49" s="2723"/>
      <c r="M49" s="2715"/>
      <c r="N49" s="2715"/>
      <c r="O49" s="2715"/>
      <c r="P49" s="3672" t="str">
        <f>A49</f>
        <v>比较价值（元/平方米）</v>
      </c>
      <c r="Q49" s="3673"/>
      <c r="R49" s="3674">
        <f>IF(F1="售价",ROUND(PRODUCT(R48,AA7:AA47),0),ROUND(PRODUCT(R48,AA7:AA47),1))</f>
        <v>37372</v>
      </c>
      <c r="S49" s="3674"/>
      <c r="T49" s="3674">
        <f>IF(F1="售价",ROUND(PRODUCT(T48,AB7:AB47),0),ROUND(PRODUCT(T48,AB7:AB47),1))</f>
        <v>33764</v>
      </c>
      <c r="U49" s="3674"/>
      <c r="V49" s="3674">
        <f>IF(F1="售价",ROUND(PRODUCT(V48,AC7:AC47),0),ROUND(PRODUCT(V48,AC7:AC47),1))</f>
        <v>34235</v>
      </c>
      <c r="W49" s="3674"/>
      <c r="X49" s="397"/>
      <c r="Y49" s="397"/>
      <c r="Z49" s="397"/>
      <c r="AA49" s="397"/>
      <c r="AB49" s="397"/>
      <c r="AC49" s="578"/>
    </row>
    <row r="50" spans="1:29" ht="15.75" thickBot="1">
      <c r="A50" s="441" t="s">
        <v>1794</v>
      </c>
      <c r="B50" s="442"/>
      <c r="C50" s="1162">
        <f>R50</f>
        <v>35124</v>
      </c>
      <c r="D50" s="1162"/>
      <c r="E50" s="1162"/>
      <c r="F50" s="1162"/>
      <c r="G50" s="1162"/>
      <c r="H50" s="1162"/>
      <c r="I50" s="1162"/>
      <c r="J50" s="443"/>
      <c r="K50" s="714"/>
      <c r="L50" s="2723"/>
      <c r="M50" s="2715"/>
      <c r="N50" s="2715"/>
      <c r="O50" s="2715"/>
      <c r="P50" s="3675" t="str">
        <f>A50</f>
        <v>估价对象XX用房的比较价值（楼面单价，元/平方米）</v>
      </c>
      <c r="Q50" s="3676"/>
      <c r="R50" s="3677">
        <f>IF(F1="售价",ROUND(IF(D49="简单平均",AVERAGE(R49:V49),R49*F49+T49*H49+V49*J49),0),ROUND(IF(D49="简单平均",AVERAGE(R49:V49),R49*F49+T49*H49+V49*J49),1))</f>
        <v>35124</v>
      </c>
      <c r="S50" s="3677"/>
      <c r="T50" s="3677"/>
      <c r="U50" s="3677"/>
      <c r="V50" s="3677"/>
      <c r="W50" s="3677"/>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2.0395904436860013E-2</v>
      </c>
      <c r="F53" s="449" t="str">
        <f>IF(OR(E53&gt;=0.3,E53&lt;=-0.3),"超过30%","")</f>
        <v/>
      </c>
      <c r="G53" s="448">
        <f>IF(G48&lt;G49,G49/G48-1,G48/G49-1)</f>
        <v>2.0399528544229106E-2</v>
      </c>
      <c r="H53" s="449" t="str">
        <f>IF(OR(G53&gt;=0.3,G53&lt;=-0.3),"超过30%","")</f>
        <v/>
      </c>
      <c r="I53" s="448">
        <f>IF(I48&lt;I49,I49/I48-1,I48/I49-1)</f>
        <v>3.0709017010386974E-2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0.10685937685108393</v>
      </c>
      <c r="F54" s="449" t="str">
        <f>IF(OR(E54&gt;=0.2,E54&lt;=-0.2),"超过20%","")</f>
        <v/>
      </c>
      <c r="G54" s="448">
        <f>IF(G49&lt;I49,I49/G49-1,G49/I49-1)</f>
        <v>1.3949768984717448E-2</v>
      </c>
      <c r="H54" s="449" t="str">
        <f>IF(OR(G54&gt;=0.2,G54&lt;=-0.2),"超过20%","")</f>
        <v/>
      </c>
      <c r="I54" s="448">
        <f>IF(I49&lt;E49,E49/I49-1,I49/E49-1)</f>
        <v>9.163137140353439E-2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0.10686330804799171</v>
      </c>
      <c r="F55" s="449" t="str">
        <f>IF(OR(E55&gt;=0.3,E55&lt;=-0.3),"超过30%","")</f>
        <v/>
      </c>
      <c r="G55" s="448">
        <f>IF(G48&lt;I48,I48/G48-1,G48/I48-1)</f>
        <v>3.807911994922808E-3</v>
      </c>
      <c r="H55" s="449" t="str">
        <f>IF(OR(G55&gt;=0.3,G55&lt;=-0.3),"超过30%","")</f>
        <v/>
      </c>
      <c r="I55" s="448">
        <f>IF(I48&lt;E48,E48/I48-1,I48/E48-1)</f>
        <v>0.10266445882884234</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v>
      </c>
      <c r="D59" s="1184">
        <f>EDATE(C59,-1)</f>
        <v>44896</v>
      </c>
      <c r="E59" s="1184">
        <f>EDATE(D59,-1)</f>
        <v>44866</v>
      </c>
      <c r="F59" s="1184">
        <f t="shared" ref="F59:O59" si="16">EDATE(E59,-1)</f>
        <v>44835</v>
      </c>
      <c r="G59" s="1184">
        <f t="shared" si="16"/>
        <v>44805</v>
      </c>
      <c r="H59" s="1184">
        <f t="shared" si="16"/>
        <v>44774</v>
      </c>
      <c r="I59" s="1184">
        <f t="shared" si="16"/>
        <v>44743</v>
      </c>
      <c r="J59" s="1184">
        <f t="shared" si="16"/>
        <v>44713</v>
      </c>
      <c r="K59" s="1184">
        <f t="shared" si="16"/>
        <v>44682</v>
      </c>
      <c r="L59" s="1184">
        <f t="shared" si="16"/>
        <v>44652</v>
      </c>
      <c r="M59" s="1184">
        <f t="shared" si="16"/>
        <v>44621</v>
      </c>
      <c r="N59" s="1184">
        <f t="shared" si="16"/>
        <v>44593</v>
      </c>
      <c r="O59" s="1184">
        <f t="shared" si="16"/>
        <v>44562</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3473" t="s">
        <v>3441</v>
      </c>
      <c r="D89" s="3473" t="s">
        <v>3439</v>
      </c>
      <c r="E89" s="3473" t="s">
        <v>3442</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0(含)-100</v>
      </c>
      <c r="D103" s="527" t="str">
        <f t="shared" ref="D103:L103" si="23">D104&amp;"(含)"&amp;"-"&amp;E104</f>
        <v>100(含)-200</v>
      </c>
      <c r="E103" s="527" t="str">
        <f t="shared" si="23"/>
        <v>200(含)-300</v>
      </c>
      <c r="F103" s="527" t="str">
        <f t="shared" si="23"/>
        <v>300(含)-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v>300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485">
        <v>98</v>
      </c>
      <c r="F105" s="485">
        <v>97</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73" t="s">
        <v>3443</v>
      </c>
      <c r="D123" s="3473" t="s">
        <v>3444</v>
      </c>
      <c r="E123" s="3473" t="s">
        <v>3445</v>
      </c>
      <c r="F123" s="3475" t="s">
        <v>3446</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71" priority="20" stopIfTrue="1" operator="containsText" text="超过">
      <formula>NOT(ISERROR(SEARCH("超过",F53)))</formula>
    </cfRule>
  </conditionalFormatting>
  <conditionalFormatting sqref="H55">
    <cfRule type="containsText" dxfId="170" priority="19" stopIfTrue="1" operator="containsText" text="超过">
      <formula>NOT(ISERROR(SEARCH("超过",H55)))</formula>
    </cfRule>
  </conditionalFormatting>
  <conditionalFormatting sqref="F55">
    <cfRule type="containsText" dxfId="169" priority="18" stopIfTrue="1" operator="containsText" text="超过">
      <formula>NOT(ISERROR(SEARCH("超过",F55)))</formula>
    </cfRule>
  </conditionalFormatting>
  <conditionalFormatting sqref="F54 H54">
    <cfRule type="containsText" dxfId="168" priority="17" stopIfTrue="1" operator="containsText" text="超过">
      <formula>NOT(ISERROR(SEARCH("超过",F54)))</formula>
    </cfRule>
  </conditionalFormatting>
  <conditionalFormatting sqref="E53">
    <cfRule type="expression" dxfId="167" priority="16" stopIfTrue="1">
      <formula>$F$53="超过30%"</formula>
    </cfRule>
  </conditionalFormatting>
  <conditionalFormatting sqref="E54">
    <cfRule type="expression" dxfId="166" priority="15" stopIfTrue="1">
      <formula>$F$54="超过20%"</formula>
    </cfRule>
  </conditionalFormatting>
  <conditionalFormatting sqref="E55">
    <cfRule type="expression" dxfId="165" priority="14" stopIfTrue="1">
      <formula>$F$55="超过30%"</formula>
    </cfRule>
  </conditionalFormatting>
  <conditionalFormatting sqref="G55">
    <cfRule type="expression" dxfId="164" priority="13" stopIfTrue="1">
      <formula>$H$55="超过30%"</formula>
    </cfRule>
  </conditionalFormatting>
  <conditionalFormatting sqref="G53">
    <cfRule type="expression" dxfId="163" priority="12" stopIfTrue="1">
      <formula>$H$53="超过30%"</formula>
    </cfRule>
  </conditionalFormatting>
  <conditionalFormatting sqref="G54">
    <cfRule type="expression" dxfId="162" priority="11" stopIfTrue="1">
      <formula>$H$54="超过20%"</formula>
    </cfRule>
  </conditionalFormatting>
  <conditionalFormatting sqref="J53">
    <cfRule type="containsText" dxfId="161" priority="10" stopIfTrue="1" operator="containsText" text="超过">
      <formula>NOT(ISERROR(SEARCH("超过",J53)))</formula>
    </cfRule>
  </conditionalFormatting>
  <conditionalFormatting sqref="J55">
    <cfRule type="containsText" dxfId="160" priority="9" stopIfTrue="1" operator="containsText" text="超过">
      <formula>NOT(ISERROR(SEARCH("超过",J55)))</formula>
    </cfRule>
  </conditionalFormatting>
  <conditionalFormatting sqref="J54">
    <cfRule type="containsText" dxfId="159" priority="8" stopIfTrue="1" operator="containsText" text="超过">
      <formula>NOT(ISERROR(SEARCH("超过",J54)))</formula>
    </cfRule>
  </conditionalFormatting>
  <conditionalFormatting sqref="I53">
    <cfRule type="expression" dxfId="158" priority="7" stopIfTrue="1">
      <formula>$J$53="超过30%"</formula>
    </cfRule>
  </conditionalFormatting>
  <conditionalFormatting sqref="I54">
    <cfRule type="expression" dxfId="157" priority="6" stopIfTrue="1">
      <formula>$J$53+$J$54="超过20%"</formula>
    </cfRule>
  </conditionalFormatting>
  <conditionalFormatting sqref="I55">
    <cfRule type="expression" dxfId="156" priority="5" stopIfTrue="1">
      <formula>$J$55="超过30%"</formula>
    </cfRule>
  </conditionalFormatting>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F7:F47 H7:H47 J7:J47">
    <cfRule type="cellIs" dxfId="15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3" sqref="D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v>704</v>
      </c>
      <c r="D1" s="1361" t="s">
        <v>43</v>
      </c>
      <c r="E1" s="1362" t="s">
        <v>678</v>
      </c>
      <c r="F1" s="1061">
        <f ca="1">J53</f>
        <v>35.53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6">
        <f ca="1">ROUND(D2/10000,4)</f>
        <v>172.6267</v>
      </c>
      <c r="C2" s="1386" t="s">
        <v>879</v>
      </c>
      <c r="D2" s="1470">
        <f ca="1">C40+J29+L46</f>
        <v>1726267</v>
      </c>
      <c r="E2" s="1387" t="s">
        <v>880</v>
      </c>
      <c r="F2" s="1388"/>
      <c r="G2" s="2705"/>
      <c r="H2" s="2694"/>
      <c r="I2" s="2694"/>
      <c r="J2" s="2694"/>
      <c r="K2" s="2695"/>
      <c r="L2" s="2694"/>
      <c r="M2" s="2694"/>
    </row>
    <row r="3" spans="1:37" ht="18" customHeight="1" thickBot="1">
      <c r="A3" s="1389" t="s">
        <v>881</v>
      </c>
      <c r="B3" s="1390">
        <f ca="1">IF(ISERROR(D2/F43),0,ROUND(D2/F43,0))</f>
        <v>18770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105875</v>
      </c>
      <c r="D5" s="1363" t="s">
        <v>889</v>
      </c>
      <c r="E5" s="1070"/>
      <c r="F5" s="1071"/>
      <c r="G5" s="1383"/>
      <c r="H5" s="299">
        <v>1</v>
      </c>
      <c r="I5" s="300" t="s">
        <v>888</v>
      </c>
      <c r="J5" s="1069">
        <f ca="1">J6+J10+J12</f>
        <v>0</v>
      </c>
      <c r="K5" s="1363" t="s">
        <v>889</v>
      </c>
      <c r="L5" s="1070"/>
      <c r="M5" s="1071"/>
    </row>
    <row r="6" spans="1:37" ht="18" customHeight="1">
      <c r="A6" s="1068" t="s">
        <v>398</v>
      </c>
      <c r="B6" s="3669" t="s">
        <v>694</v>
      </c>
      <c r="C6" s="1073">
        <f ca="1">ROUND(F6*F8*F7*(1-F9),0)</f>
        <v>105743</v>
      </c>
      <c r="D6" s="155" t="s">
        <v>2105</v>
      </c>
      <c r="E6" s="302" t="s">
        <v>696</v>
      </c>
      <c r="F6" s="303">
        <f ca="1">INDIRECT("'数据-取费表'!u"&amp;$G$1)</f>
        <v>3.5</v>
      </c>
      <c r="G6" s="1383"/>
      <c r="H6" s="1068" t="s">
        <v>398</v>
      </c>
      <c r="I6" s="3669" t="s">
        <v>694</v>
      </c>
      <c r="J6" s="301">
        <f ca="1">ROUND(M6*M8*M7*(1-M9),0)</f>
        <v>0</v>
      </c>
      <c r="K6" s="1375" t="s">
        <v>2106</v>
      </c>
      <c r="L6" s="302" t="s">
        <v>696</v>
      </c>
      <c r="M6" s="303">
        <f ca="1">INDIRECT("'数据-取费表'!z"&amp;$G$1)</f>
        <v>0</v>
      </c>
    </row>
    <row r="7" spans="1:37" ht="18" customHeight="1">
      <c r="A7" s="1072"/>
      <c r="B7" s="3670"/>
      <c r="C7" s="1074"/>
      <c r="D7" s="307"/>
      <c r="E7" s="1075" t="s">
        <v>697</v>
      </c>
      <c r="F7" s="303">
        <f ca="1">IF(INDIRECT("'数据-取费表'!ah"&amp;$G$1)="",INDIRECT("'数据-取费表'!k"&amp;$G$1),INDIRECT("'数据-取费表'!ah"&amp;$G$1))</f>
        <v>91.97</v>
      </c>
      <c r="G7" s="1383"/>
      <c r="H7" s="304"/>
      <c r="I7" s="3670"/>
      <c r="J7" s="306"/>
      <c r="K7" s="307"/>
      <c r="L7" s="302" t="s">
        <v>697</v>
      </c>
      <c r="M7" s="303">
        <f ca="1">F7</f>
        <v>91.97</v>
      </c>
    </row>
    <row r="8" spans="1:37" ht="18" customHeight="1">
      <c r="A8" s="304"/>
      <c r="B8" s="3670"/>
      <c r="C8" s="306"/>
      <c r="D8" s="307"/>
      <c r="E8" s="302" t="s">
        <v>698</v>
      </c>
      <c r="F8" s="303">
        <f ca="1">INDIRECT("'数据-取费表'!ai"&amp;$G$1)</f>
        <v>365</v>
      </c>
      <c r="G8" s="1383"/>
      <c r="H8" s="304"/>
      <c r="I8" s="3670"/>
      <c r="J8" s="306"/>
      <c r="K8" s="307"/>
      <c r="L8" s="302" t="s">
        <v>698</v>
      </c>
      <c r="M8" s="303">
        <f ca="1">INDIRECT("'数据-取费表'!ai"&amp;$G$1)</f>
        <v>365</v>
      </c>
    </row>
    <row r="9" spans="1:37" ht="18" customHeight="1">
      <c r="A9" s="304"/>
      <c r="B9" s="3671"/>
      <c r="C9" s="306"/>
      <c r="D9" s="307"/>
      <c r="E9" s="302" t="s">
        <v>699</v>
      </c>
      <c r="F9" s="312">
        <f ca="1">INDIRECT("'数据-取费表'!w"&amp;$G$1)</f>
        <v>0.1</v>
      </c>
      <c r="G9" s="1383"/>
      <c r="H9" s="304"/>
      <c r="I9" s="3671"/>
      <c r="J9" s="306"/>
      <c r="K9" s="307"/>
      <c r="L9" s="313" t="s">
        <v>699</v>
      </c>
      <c r="M9" s="314">
        <f ca="1">INDIRECT("'数据-取费表'!ab"&amp;$G$1)</f>
        <v>0</v>
      </c>
    </row>
    <row r="10" spans="1:37" ht="18" customHeight="1">
      <c r="A10" s="1068" t="s">
        <v>402</v>
      </c>
      <c r="B10" s="1364" t="s">
        <v>700</v>
      </c>
      <c r="C10" s="316">
        <f ca="1">ROUND(IF(F10="押一",C6/12*F11,IF(F10="押二",C6/12*2*F11,IF(F10="押三",C6/12*3*F11,C11*F11))),0)</f>
        <v>132</v>
      </c>
      <c r="D10" s="1365" t="s">
        <v>2115</v>
      </c>
      <c r="E10" s="313" t="s">
        <v>701</v>
      </c>
      <c r="F10" s="1115" t="s">
        <v>3424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492333</v>
      </c>
      <c r="D13" s="1080" t="s">
        <v>705</v>
      </c>
      <c r="E13" s="1080" t="s">
        <v>706</v>
      </c>
      <c r="F13" s="1081">
        <f ca="1">INDIRECT("'数据-取费表'!y"&amp;$G$1)</f>
        <v>0.83</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413865</v>
      </c>
      <c r="D14" s="1344" t="s">
        <v>708</v>
      </c>
      <c r="E14" s="1341"/>
      <c r="F14" s="319"/>
      <c r="G14" s="1383"/>
      <c r="H14" s="981" t="s">
        <v>398</v>
      </c>
      <c r="I14" s="302" t="s">
        <v>709</v>
      </c>
      <c r="J14" s="21">
        <f ca="1">C29</f>
        <v>593172</v>
      </c>
      <c r="K14" s="12"/>
      <c r="L14" s="806"/>
      <c r="M14" s="807"/>
    </row>
    <row r="15" spans="1:37" s="1396" customFormat="1" ht="18" customHeight="1" thickBot="1">
      <c r="A15" s="981" t="s">
        <v>399</v>
      </c>
      <c r="B15" s="302" t="s">
        <v>710</v>
      </c>
      <c r="C15" s="21">
        <f ca="1">ROUND(C14*F15,0)</f>
        <v>12416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5932</v>
      </c>
      <c r="K16" s="1086" t="s">
        <v>715</v>
      </c>
      <c r="L16" s="1087"/>
      <c r="M16" s="1071"/>
    </row>
    <row r="17" spans="1:37" s="1396" customFormat="1" ht="18" customHeight="1">
      <c r="A17" s="981" t="s">
        <v>681</v>
      </c>
      <c r="B17" s="302" t="s">
        <v>716</v>
      </c>
      <c r="C17" s="21">
        <f ca="1">ROUND(F17*(F43+INDIRECT("'数据-取费表'!S"&amp;$G$1)),0)</f>
        <v>18394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6208</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450883</v>
      </c>
      <c r="D19" s="131" t="s">
        <v>726</v>
      </c>
      <c r="E19" s="1359"/>
      <c r="F19" s="23"/>
      <c r="G19" s="1383"/>
      <c r="H19" s="981" t="s">
        <v>399</v>
      </c>
      <c r="I19" s="302" t="s">
        <v>727</v>
      </c>
      <c r="J19" s="21">
        <f ca="1">IF(K19="按租金收入计税",ROUND(J6*M19/(1+'数据-取费表'!C42),0),ROUND(C29*M19*0.7,0))</f>
        <v>0</v>
      </c>
      <c r="K19" s="1369" t="s">
        <v>3344</v>
      </c>
      <c r="L19" s="302" t="s">
        <v>712</v>
      </c>
      <c r="M19" s="322">
        <f>IF(K19="按租金收入计税",'数据-取费表'!B51,'数据-取费表'!B50)</f>
        <v>0.12</v>
      </c>
    </row>
    <row r="20" spans="1:37" s="1396" customFormat="1" ht="18" customHeight="1">
      <c r="A20" s="981" t="s">
        <v>402</v>
      </c>
      <c r="B20" s="302" t="s">
        <v>728</v>
      </c>
      <c r="C20" s="21">
        <f ca="1">ROUND(C19*F20,0)</f>
        <v>9018</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5932</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19086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-5932</v>
      </c>
      <c r="K25" s="1094" t="s">
        <v>753</v>
      </c>
      <c r="L25" s="1095"/>
      <c r="M25" s="1096"/>
    </row>
    <row r="26" spans="1:37" ht="18" customHeight="1">
      <c r="A26" s="981" t="s">
        <v>397</v>
      </c>
      <c r="B26" s="302" t="s">
        <v>754</v>
      </c>
      <c r="C26" s="21">
        <f ca="1">ROUND((C19+C20)*F26,0)</f>
        <v>68985</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593172</v>
      </c>
      <c r="D29" s="1091"/>
      <c r="E29" s="1089"/>
      <c r="F29" s="1092"/>
      <c r="G29" s="1395"/>
      <c r="H29" s="334" t="s">
        <v>396</v>
      </c>
      <c r="I29" s="335" t="s">
        <v>768</v>
      </c>
      <c r="J29" s="336">
        <f ca="1">ROUND(J26/(1+F40)^F41,0)</f>
        <v>0</v>
      </c>
      <c r="K29" s="337" t="s">
        <v>769</v>
      </c>
      <c r="L29" s="338"/>
      <c r="M29" s="339">
        <f ca="1">INDIRECT("'数据-取费表'!k"&amp;$G$1)</f>
        <v>91.97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25107</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17624</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IF(项目基本情况!B11="自然人","——",ROUND(C6*F32/(1+'数据-取费表'!C42),0))</f>
        <v>5539</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12085</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5932</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492</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1059</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80768</v>
      </c>
      <c r="D39" s="1094" t="s">
        <v>773</v>
      </c>
      <c r="E39" s="1095"/>
      <c r="F39" s="1096"/>
      <c r="G39" s="1383"/>
      <c r="H39" s="2699"/>
      <c r="I39" s="1397"/>
      <c r="J39" s="1398"/>
      <c r="K39" s="2703"/>
      <c r="L39" s="2699"/>
      <c r="M39" s="2699"/>
    </row>
    <row r="40" spans="1:18" ht="18" customHeight="1">
      <c r="A40" s="299" t="s">
        <v>395</v>
      </c>
      <c r="B40" s="300" t="s">
        <v>774</v>
      </c>
      <c r="C40" s="301">
        <f ca="1">ROUND(C39*(1-((1+F42)/(1+F40))^F41)/(F40-F42),0)</f>
        <v>1726267</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35.53</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18770</v>
      </c>
      <c r="D43" s="337" t="s">
        <v>777</v>
      </c>
      <c r="E43" s="338" t="s">
        <v>778</v>
      </c>
      <c r="F43" s="339">
        <f ca="1">INDIRECT("'数据-取费表'!k"&amp;$G$1)</f>
        <v>91.97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2" t="s">
        <v>3360</v>
      </c>
      <c r="B45" s="1399"/>
      <c r="C45" s="1471">
        <f ca="1">ROUND((C68-C40)/10000,4)</f>
        <v>-182.56379999999999</v>
      </c>
      <c r="D45" s="3433" t="s">
        <v>3361</v>
      </c>
      <c r="E45" s="1399"/>
      <c r="F45" s="1399"/>
      <c r="O45" s="1402" t="s">
        <v>808</v>
      </c>
      <c r="P45" s="1460"/>
      <c r="Q45" s="1460"/>
      <c r="R45" s="1460"/>
    </row>
    <row r="46" spans="1:18" s="1383" customFormat="1" ht="13.5" thickBot="1">
      <c r="A46" s="1403" t="s">
        <v>809</v>
      </c>
      <c r="C46" s="1404">
        <f ca="1">ROUND(C45,0)</f>
        <v>-183</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3425</v>
      </c>
      <c r="K47" s="1415" t="s">
        <v>816</v>
      </c>
      <c r="L47" s="1416">
        <f ca="1">INDIRECT("'数据-取费表'!d"&amp;$G$1)</f>
        <v>50</v>
      </c>
      <c r="M47" s="1379" t="str">
        <f>IF(ISNUMBER(FIND("住宅",C1)),"住宅","非住宅")</f>
        <v>非住宅</v>
      </c>
      <c r="O47" s="1417" t="s">
        <v>403</v>
      </c>
      <c r="P47" s="1418" t="s">
        <v>817</v>
      </c>
      <c r="Q47" s="1419">
        <f ca="1">C40+J29</f>
        <v>1726267</v>
      </c>
      <c r="R47" s="1419" t="s">
        <v>818</v>
      </c>
    </row>
    <row r="48" spans="1:18" s="1383" customFormat="1" ht="28.5" thickBot="1">
      <c r="A48" s="1109" t="s">
        <v>438</v>
      </c>
      <c r="B48" s="300" t="s">
        <v>692</v>
      </c>
      <c r="C48" s="1358">
        <f ca="1">C49+C53+C55</f>
        <v>0</v>
      </c>
      <c r="D48" s="1111"/>
      <c r="E48" s="1112"/>
      <c r="F48" s="961"/>
      <c r="G48" s="721"/>
      <c r="H48" s="722"/>
      <c r="I48" s="1420" t="s">
        <v>819</v>
      </c>
      <c r="J48" s="1421" t="s">
        <v>3426</v>
      </c>
      <c r="K48" s="1422" t="s">
        <v>820</v>
      </c>
      <c r="L48" s="1423">
        <f ca="1">INDIRECT("'数据-取费表'!f"&amp;$G$1)</f>
        <v>35.53</v>
      </c>
      <c r="O48" s="1417" t="s">
        <v>404</v>
      </c>
      <c r="P48" s="1418" t="s">
        <v>821</v>
      </c>
      <c r="Q48" s="1419" t="str">
        <f ca="1">J60</f>
        <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2013</v>
      </c>
      <c r="K49" s="1422" t="s">
        <v>824</v>
      </c>
      <c r="L49" s="1426"/>
      <c r="O49" s="1427" t="s">
        <v>405</v>
      </c>
      <c r="P49" s="1418" t="s">
        <v>825</v>
      </c>
      <c r="Q49" s="1419">
        <f ca="1">C29</f>
        <v>593172</v>
      </c>
      <c r="R49" s="1419" t="s">
        <v>818</v>
      </c>
    </row>
    <row r="50" spans="1:18" s="1383" customFormat="1" ht="13.5" thickBot="1">
      <c r="A50" s="975"/>
      <c r="B50" s="978"/>
      <c r="C50" s="979"/>
      <c r="D50" s="952"/>
      <c r="E50" s="1055" t="s">
        <v>697</v>
      </c>
      <c r="F50" s="1056">
        <f ca="1">F7</f>
        <v>91.97</v>
      </c>
      <c r="H50" s="722"/>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3">
        <f ca="1">F8</f>
        <v>365</v>
      </c>
      <c r="I51" s="1431" t="s">
        <v>829</v>
      </c>
      <c r="J51" s="1432">
        <f>IF(J49="",J50,J49+J50-YEAR('数据-取费表'!B2))</f>
        <v>50</v>
      </c>
      <c r="K51" s="1433" t="s">
        <v>830</v>
      </c>
      <c r="L51" s="1434">
        <f ca="1">ROUND(-PV(INDIRECT("'数据-取费表'!h"&amp;$G$1),J51,(C39-C13*C76),0),0)</f>
        <v>845335</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35.53</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35.53</v>
      </c>
      <c r="K53" s="3667" t="s">
        <v>837</v>
      </c>
      <c r="L53" s="3668"/>
      <c r="O53" s="1417" t="s">
        <v>409</v>
      </c>
      <c r="P53" s="1418" t="s">
        <v>838</v>
      </c>
      <c r="Q53" s="1419">
        <f ca="1">Q47+Q48</f>
        <v>1726267</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492333</v>
      </c>
      <c r="D56" s="1446"/>
      <c r="E56" s="1447"/>
      <c r="F56" s="1439"/>
      <c r="I56" s="1448" t="s">
        <v>842</v>
      </c>
      <c r="J56" s="1449" t="s">
        <v>3378</v>
      </c>
      <c r="K56" s="1420" t="s">
        <v>843</v>
      </c>
      <c r="L56" s="1423" t="str">
        <f ca="1">IF(L48&lt;J51,"——",L48-J51)</f>
        <v>——</v>
      </c>
      <c r="O56" s="1417" t="s">
        <v>403</v>
      </c>
      <c r="P56" s="1418" t="s">
        <v>817</v>
      </c>
      <c r="Q56" s="1419">
        <f ca="1">C40+J29</f>
        <v>1726267</v>
      </c>
      <c r="R56" s="1419" t="s">
        <v>818</v>
      </c>
    </row>
    <row r="57" spans="1:18" s="1383" customFormat="1" ht="24.75" thickBot="1">
      <c r="A57" s="1450"/>
      <c r="B57" s="949" t="s">
        <v>767</v>
      </c>
      <c r="C57" s="238">
        <f ca="1">C29</f>
        <v>593172</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6424</v>
      </c>
      <c r="D58" s="959" t="s">
        <v>715</v>
      </c>
      <c r="E58" s="960"/>
      <c r="F58" s="961"/>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1726267</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5932</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492</v>
      </c>
      <c r="D65" s="963" t="s">
        <v>743</v>
      </c>
      <c r="E65" s="949" t="s">
        <v>744</v>
      </c>
      <c r="F65" s="330">
        <f t="shared" ca="1" si="0"/>
        <v>1E-3</v>
      </c>
      <c r="I65" s="1461" t="s">
        <v>867</v>
      </c>
      <c r="J65" s="1462">
        <v>40</v>
      </c>
      <c r="K65" s="1462">
        <v>30</v>
      </c>
      <c r="L65" s="1462">
        <v>50</v>
      </c>
      <c r="M65" s="1464">
        <v>0.02</v>
      </c>
      <c r="O65" s="1417" t="s">
        <v>403</v>
      </c>
      <c r="P65" s="1418" t="s">
        <v>868</v>
      </c>
      <c r="Q65" s="1419">
        <f ca="1">C40+J29</f>
        <v>1726267</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-6424</v>
      </c>
      <c r="D67" s="962" t="s">
        <v>753</v>
      </c>
      <c r="E67" s="967"/>
      <c r="F67" s="968"/>
      <c r="O67" s="1427" t="s">
        <v>405</v>
      </c>
      <c r="P67" s="1418" t="s">
        <v>850</v>
      </c>
      <c r="Q67" s="1465">
        <f ca="1">L51</f>
        <v>845335</v>
      </c>
      <c r="R67" s="1419" t="s">
        <v>870</v>
      </c>
    </row>
    <row r="68" spans="1:18" s="1383" customFormat="1" ht="16.5" thickBot="1">
      <c r="A68" s="946" t="s">
        <v>395</v>
      </c>
      <c r="B68" s="947" t="s">
        <v>774</v>
      </c>
      <c r="C68" s="301">
        <f ca="1">ROUND(C67*(1-((1+F70)/(1+F68))^F69)/(F68-F70),0)</f>
        <v>-99371</v>
      </c>
      <c r="D68" s="964" t="s">
        <v>758</v>
      </c>
      <c r="E68" s="949" t="s">
        <v>759</v>
      </c>
      <c r="F68" s="312">
        <f ca="1">F40</f>
        <v>5.5E-2</v>
      </c>
      <c r="O68" s="1427" t="s">
        <v>406</v>
      </c>
      <c r="P68" s="1466" t="s">
        <v>871</v>
      </c>
      <c r="Q68" s="1419">
        <f ca="1">ROUND(Q69-Q70*Q71,0)</f>
        <v>46305</v>
      </c>
      <c r="R68" s="1419" t="s">
        <v>414</v>
      </c>
    </row>
    <row r="69" spans="1:18" s="1383" customFormat="1" ht="13.5" thickBot="1">
      <c r="A69" s="950"/>
      <c r="B69" s="951"/>
      <c r="C69" s="306"/>
      <c r="D69" s="969" t="s">
        <v>762</v>
      </c>
      <c r="E69" s="949" t="s">
        <v>763</v>
      </c>
      <c r="F69" s="333">
        <f ca="1">F41</f>
        <v>35.53</v>
      </c>
      <c r="O69" s="1427" t="s">
        <v>411</v>
      </c>
      <c r="P69" s="1466" t="s">
        <v>872</v>
      </c>
      <c r="Q69" s="1419">
        <f ca="1">C39</f>
        <v>80768</v>
      </c>
      <c r="R69" s="1419" t="s">
        <v>818</v>
      </c>
    </row>
    <row r="70" spans="1:18" s="1383" customFormat="1" ht="13.5" thickBot="1">
      <c r="A70" s="953"/>
      <c r="B70" s="954"/>
      <c r="C70" s="310"/>
      <c r="D70" s="965"/>
      <c r="E70" s="949" t="s">
        <v>766</v>
      </c>
      <c r="F70" s="1053"/>
      <c r="O70" s="1427" t="s">
        <v>412</v>
      </c>
      <c r="P70" s="1466" t="s">
        <v>873</v>
      </c>
      <c r="Q70" s="1419">
        <f ca="1">C13</f>
        <v>492333</v>
      </c>
      <c r="R70" s="1419" t="s">
        <v>818</v>
      </c>
    </row>
    <row r="71" spans="1:18" s="1383" customFormat="1" ht="13.5" thickBot="1">
      <c r="A71" s="970" t="s">
        <v>396</v>
      </c>
      <c r="B71" s="971" t="s">
        <v>776</v>
      </c>
      <c r="C71" s="336">
        <f ca="1">ROUND(C68/F71,0)</f>
        <v>-1080</v>
      </c>
      <c r="D71" s="972" t="s">
        <v>777</v>
      </c>
      <c r="E71" s="973" t="s">
        <v>778</v>
      </c>
      <c r="F71" s="339">
        <f ca="1">F43</f>
        <v>91.97</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34463</v>
      </c>
      <c r="D75" s="1383"/>
      <c r="E75" s="1383"/>
      <c r="F75" s="1383"/>
      <c r="K75" s="1401"/>
      <c r="L75" s="1383"/>
      <c r="O75" s="1417" t="s">
        <v>409</v>
      </c>
      <c r="P75" s="1418" t="s">
        <v>838</v>
      </c>
      <c r="Q75" s="1419">
        <f ca="1">Q65+Q66</f>
        <v>1726267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0.57299999999999995</v>
      </c>
    </row>
    <row r="80" spans="1:18">
      <c r="B80" s="340" t="s">
        <v>800</v>
      </c>
      <c r="C80" s="274">
        <f ca="1">ROUND(C75/C39,3)</f>
        <v>0.42699999999999999</v>
      </c>
    </row>
    <row r="81" spans="2:3">
      <c r="B81" s="270" t="s">
        <v>801</v>
      </c>
      <c r="C81" s="238"/>
    </row>
    <row r="82" spans="2:3">
      <c r="B82" s="273" t="s">
        <v>802</v>
      </c>
      <c r="C82" s="275">
        <f ca="1">1-C83</f>
        <v>0.71500000000000008</v>
      </c>
    </row>
    <row r="83" spans="2:3">
      <c r="B83" s="273" t="s">
        <v>803</v>
      </c>
      <c r="C83" s="274">
        <f ca="1">ROUND(C13/C40,3)</f>
        <v>0.28499999999999998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4" t="s">
        <v>3369</v>
      </c>
      <c r="E2" s="3445"/>
      <c r="F2" s="2845"/>
      <c r="G2" s="2846"/>
      <c r="H2" s="2847"/>
      <c r="I2" s="2848"/>
      <c r="J2" s="3729" t="s">
        <v>2319</v>
      </c>
      <c r="K2" s="3730"/>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731" t="s">
        <v>2329</v>
      </c>
      <c r="K3" s="3732"/>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731" t="s">
        <v>2331</v>
      </c>
      <c r="K4" s="3732"/>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737" t="s">
        <v>2335</v>
      </c>
      <c r="B6" s="3738"/>
      <c r="C6" s="3739"/>
      <c r="D6" s="2869"/>
      <c r="E6" s="2870"/>
      <c r="F6" s="2871"/>
      <c r="G6" s="2872"/>
      <c r="H6" s="2847"/>
      <c r="I6" s="2848"/>
      <c r="J6" s="3723">
        <v>1</v>
      </c>
      <c r="K6" s="3724"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723"/>
      <c r="K7" s="3725"/>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740" t="s">
        <v>2349</v>
      </c>
      <c r="C8" s="3741"/>
      <c r="D8" s="2888" t="s">
        <v>2350</v>
      </c>
      <c r="E8" s="2889" t="s">
        <v>2351</v>
      </c>
      <c r="F8" s="2890" t="s">
        <v>2352</v>
      </c>
      <c r="G8" s="2891"/>
      <c r="H8" s="2847"/>
      <c r="I8" s="2848"/>
      <c r="J8" s="3723"/>
      <c r="K8" s="3725"/>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740" t="s">
        <v>2355</v>
      </c>
      <c r="C9" s="3741"/>
      <c r="D9" s="2888">
        <f>ROUND(D6*E9,0)</f>
        <v>0</v>
      </c>
      <c r="E9" s="2892"/>
      <c r="F9" s="2893" t="s">
        <v>2356</v>
      </c>
      <c r="G9" s="2872"/>
      <c r="H9" s="2847"/>
      <c r="I9" s="2848"/>
      <c r="J9" s="3723"/>
      <c r="K9" s="3725"/>
      <c r="L9" s="2882" t="s">
        <v>2357</v>
      </c>
      <c r="M9" s="2883"/>
      <c r="N9" s="2859"/>
      <c r="O9" s="2884"/>
      <c r="P9" s="2884"/>
      <c r="Q9" s="2885">
        <v>365</v>
      </c>
      <c r="R9" s="2886">
        <f t="shared" si="0"/>
        <v>0</v>
      </c>
      <c r="S9" s="2840"/>
      <c r="T9" s="2840"/>
      <c r="U9" s="2840"/>
      <c r="V9" s="2848"/>
    </row>
    <row r="10" spans="1:22" s="2852" customFormat="1" ht="13.15" customHeight="1">
      <c r="A10" s="2887">
        <v>2</v>
      </c>
      <c r="B10" s="3740" t="s">
        <v>2358</v>
      </c>
      <c r="C10" s="3741"/>
      <c r="D10" s="2888">
        <f>ROUND(D6*E10,0)</f>
        <v>0</v>
      </c>
      <c r="E10" s="2892"/>
      <c r="F10" s="2893" t="s">
        <v>2359</v>
      </c>
      <c r="G10" s="2872"/>
      <c r="H10" s="2847"/>
      <c r="I10" s="2848"/>
      <c r="J10" s="3723"/>
      <c r="K10" s="3725"/>
      <c r="L10" s="2882" t="s">
        <v>2360</v>
      </c>
      <c r="M10" s="2883"/>
      <c r="N10" s="2859"/>
      <c r="O10" s="2884"/>
      <c r="P10" s="2884"/>
      <c r="Q10" s="2885">
        <v>365</v>
      </c>
      <c r="R10" s="2886">
        <f t="shared" si="0"/>
        <v>0</v>
      </c>
      <c r="S10" s="2840"/>
      <c r="T10" s="2840"/>
      <c r="U10" s="2840"/>
      <c r="V10" s="2848"/>
    </row>
    <row r="11" spans="1:22" s="2852" customFormat="1" ht="13.15" customHeight="1">
      <c r="A11" s="2887">
        <v>3</v>
      </c>
      <c r="B11" s="3740" t="s">
        <v>2361</v>
      </c>
      <c r="C11" s="3741"/>
      <c r="D11" s="2888">
        <f>D12+D14+D15+D16</f>
        <v>0</v>
      </c>
      <c r="E11" s="2894" t="e">
        <f>D11/D6</f>
        <v>#DIV/0!</v>
      </c>
      <c r="F11" s="2890"/>
      <c r="G11" s="2891"/>
      <c r="H11" s="2847"/>
      <c r="I11" s="2848"/>
      <c r="J11" s="3723"/>
      <c r="K11" s="3725"/>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733" t="s">
        <v>2364</v>
      </c>
      <c r="C12" s="3734"/>
      <c r="D12" s="2896">
        <f>ROUND(D13*1.2%*(1-30%),0)</f>
        <v>0</v>
      </c>
      <c r="E12" s="2897">
        <v>1.2E-2</v>
      </c>
      <c r="F12" s="2890" t="s">
        <v>2365</v>
      </c>
      <c r="G12" s="2891"/>
      <c r="H12" s="2847"/>
      <c r="I12" s="2848"/>
      <c r="J12" s="3723"/>
      <c r="K12" s="3725"/>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723"/>
      <c r="K13" s="3725"/>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733" t="s">
        <v>2370</v>
      </c>
      <c r="C14" s="3734"/>
      <c r="D14" s="2896">
        <f>ROUND(E14*B5/10000,0)</f>
        <v>0</v>
      </c>
      <c r="E14" s="2885"/>
      <c r="F14" s="2890" t="s">
        <v>2371</v>
      </c>
      <c r="G14" s="2891"/>
      <c r="H14" s="2847"/>
      <c r="I14" s="2848"/>
      <c r="J14" s="3723"/>
      <c r="K14" s="3726"/>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733" t="s">
        <v>2374</v>
      </c>
      <c r="C15" s="3734"/>
      <c r="D15" s="2896">
        <f>ROUND(D6*E15,0)</f>
        <v>0</v>
      </c>
      <c r="E15" s="2897">
        <v>5.5E-2</v>
      </c>
      <c r="F15" s="2890" t="s">
        <v>2375</v>
      </c>
      <c r="G15" s="2872"/>
      <c r="H15" s="2847"/>
      <c r="I15" s="2848"/>
      <c r="J15" s="3723">
        <v>2</v>
      </c>
      <c r="K15" s="3724"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733" t="s">
        <v>2383</v>
      </c>
      <c r="C16" s="3734"/>
      <c r="D16" s="2907">
        <f>D6*E16</f>
        <v>0</v>
      </c>
      <c r="E16" s="2908"/>
      <c r="F16" s="2893" t="s">
        <v>2384</v>
      </c>
      <c r="G16" s="2872"/>
      <c r="H16" s="2847"/>
      <c r="I16" s="2848"/>
      <c r="J16" s="3723"/>
      <c r="K16" s="3725"/>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735" t="s">
        <v>2386</v>
      </c>
      <c r="C17" s="3736"/>
      <c r="D17" s="2910">
        <f>ROUND(D6*E17,0)</f>
        <v>0</v>
      </c>
      <c r="E17" s="2911"/>
      <c r="F17" s="2912" t="s">
        <v>2387</v>
      </c>
      <c r="G17" s="2872"/>
      <c r="H17" s="2847"/>
      <c r="I17" s="2848"/>
      <c r="J17" s="3723"/>
      <c r="K17" s="3725"/>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723"/>
      <c r="K18" s="3725"/>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723"/>
      <c r="K19" s="3726"/>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23">
        <v>3</v>
      </c>
      <c r="K20" s="3724"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723"/>
      <c r="K21" s="3725"/>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723"/>
      <c r="K22" s="3725"/>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723"/>
      <c r="K23" s="3725"/>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723"/>
      <c r="K24" s="3726"/>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727">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72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729" t="s">
        <v>2319</v>
      </c>
      <c r="K32" s="3730"/>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731" t="s">
        <v>2329</v>
      </c>
      <c r="K33" s="3732"/>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731" t="s">
        <v>2331</v>
      </c>
      <c r="K34" s="373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723">
        <v>1</v>
      </c>
      <c r="K36" s="3724"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723"/>
      <c r="K37" s="3725"/>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23"/>
      <c r="K38" s="3725"/>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723"/>
      <c r="K39" s="3725"/>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723"/>
      <c r="K40" s="3726"/>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727">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72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172.6267</v>
      </c>
      <c r="C2" s="1871" t="s">
        <v>1651</v>
      </c>
      <c r="D2" s="1872" t="s">
        <v>1652</v>
      </c>
      <c r="E2" s="2606">
        <f>SUM(E6:E13)</f>
        <v>91.97</v>
      </c>
      <c r="F2" s="2706"/>
      <c r="G2" s="1488"/>
      <c r="H2" s="1488"/>
      <c r="I2" s="1488"/>
      <c r="J2" s="1488"/>
      <c r="K2" s="1488"/>
      <c r="L2" s="1488"/>
      <c r="M2" s="1488"/>
      <c r="N2" s="1488"/>
      <c r="O2" s="1488"/>
      <c r="P2" s="1488"/>
      <c r="Q2" s="1488"/>
      <c r="R2" s="1488"/>
      <c r="S2" s="1488"/>
    </row>
    <row r="3" spans="1:22" ht="15.75">
      <c r="A3" s="1869" t="s">
        <v>686</v>
      </c>
      <c r="B3" s="2600">
        <f ca="1">ROUND(B2*10000/E2,0)</f>
        <v>18770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42" t="s">
        <v>1654</v>
      </c>
      <c r="C5" s="3743"/>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172.6267</v>
      </c>
      <c r="C6" s="1871" t="s">
        <v>1651</v>
      </c>
      <c r="D6" s="2708"/>
      <c r="E6" s="2605">
        <f>IF(OR(A6=0,F6="否"),0,'数据-取费表'!K6+'数据-取费表'!S6)</f>
        <v>91.97</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7"/>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8"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91.97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90" t="s">
        <v>1667</v>
      </c>
      <c r="D4" s="3691"/>
      <c r="E4" s="3692" t="s">
        <v>1668</v>
      </c>
      <c r="F4" s="3693"/>
      <c r="G4" s="3690" t="s">
        <v>1669</v>
      </c>
      <c r="H4" s="3691"/>
      <c r="I4" s="3690" t="s">
        <v>1670</v>
      </c>
      <c r="J4" s="3691"/>
      <c r="K4" s="1888" t="s">
        <v>1671</v>
      </c>
      <c r="L4" s="2714"/>
      <c r="M4" s="2715"/>
      <c r="N4" s="2715"/>
      <c r="O4" s="2715"/>
      <c r="P4" s="3748" t="s">
        <v>1672</v>
      </c>
      <c r="Q4" s="3749"/>
      <c r="R4" s="3752" t="s">
        <v>1668</v>
      </c>
      <c r="S4" s="3753"/>
      <c r="T4" s="3752" t="s">
        <v>1669</v>
      </c>
      <c r="U4" s="3753"/>
      <c r="V4" s="3707" t="s">
        <v>1670</v>
      </c>
      <c r="W4" s="3707"/>
      <c r="X4" s="1354"/>
      <c r="Y4" s="3752" t="s">
        <v>1672</v>
      </c>
      <c r="Z4" s="3753"/>
      <c r="AA4" s="3747" t="s">
        <v>1668</v>
      </c>
      <c r="AB4" s="3747" t="s">
        <v>1669</v>
      </c>
      <c r="AC4" s="3747" t="s">
        <v>1670</v>
      </c>
    </row>
    <row r="5" spans="1:29" ht="15">
      <c r="A5" s="358"/>
      <c r="B5" s="359"/>
      <c r="C5" s="3710" t="s">
        <v>1673</v>
      </c>
      <c r="D5" s="3711"/>
      <c r="E5" s="3721" t="s">
        <v>1674</v>
      </c>
      <c r="F5" s="3722"/>
      <c r="G5" s="3710" t="s">
        <v>1675</v>
      </c>
      <c r="H5" s="3711"/>
      <c r="I5" s="3710" t="s">
        <v>1676</v>
      </c>
      <c r="J5" s="3711"/>
      <c r="K5" s="1889"/>
      <c r="L5" s="2714"/>
      <c r="M5" s="2715"/>
      <c r="N5" s="2715"/>
      <c r="O5" s="2715"/>
      <c r="P5" s="3750"/>
      <c r="Q5" s="3697"/>
      <c r="R5" s="3702"/>
      <c r="S5" s="3703"/>
      <c r="T5" s="3702"/>
      <c r="U5" s="3703"/>
      <c r="V5" s="3707"/>
      <c r="W5" s="3707"/>
      <c r="X5" s="1354"/>
      <c r="Y5" s="3702"/>
      <c r="Z5" s="3703"/>
      <c r="AA5" s="3719"/>
      <c r="AB5" s="3719"/>
      <c r="AC5" s="3719"/>
    </row>
    <row r="6" spans="1:29" ht="15.75" thickBot="1">
      <c r="A6" s="360"/>
      <c r="B6" s="361"/>
      <c r="C6" s="3708" t="s">
        <v>1677</v>
      </c>
      <c r="D6" s="3709"/>
      <c r="E6" s="3716" t="s">
        <v>1677</v>
      </c>
      <c r="F6" s="3717"/>
      <c r="G6" s="3708" t="s">
        <v>1677</v>
      </c>
      <c r="H6" s="3709"/>
      <c r="I6" s="3708" t="s">
        <v>1677</v>
      </c>
      <c r="J6" s="3709"/>
      <c r="K6" s="1889" t="s">
        <v>1678</v>
      </c>
      <c r="L6" s="2714"/>
      <c r="M6" s="2715"/>
      <c r="N6" s="2715"/>
      <c r="O6" s="2715"/>
      <c r="P6" s="3751"/>
      <c r="Q6" s="3699"/>
      <c r="R6" s="3702"/>
      <c r="S6" s="3703"/>
      <c r="T6" s="3704"/>
      <c r="U6" s="3705"/>
      <c r="V6" s="3707"/>
      <c r="W6" s="3707"/>
      <c r="X6" s="1354"/>
      <c r="Y6" s="3704"/>
      <c r="Z6" s="3705"/>
      <c r="AA6" s="3720"/>
      <c r="AB6" s="3720"/>
      <c r="AC6" s="3720"/>
    </row>
    <row r="7" spans="1:29" s="108" customFormat="1" ht="15.75" thickBot="1">
      <c r="A7" s="362" t="s">
        <v>1679</v>
      </c>
      <c r="B7" s="363"/>
      <c r="C7" s="364">
        <f>'数据-取费表'!B2</f>
        <v>44939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14" t="s">
        <v>1680</v>
      </c>
      <c r="Q7" s="3715"/>
      <c r="R7" s="700" t="s">
        <v>20</v>
      </c>
      <c r="S7" s="701">
        <f t="shared" ref="S7:S15" si="0">F7</f>
        <v>0</v>
      </c>
      <c r="T7" s="700" t="s">
        <v>20</v>
      </c>
      <c r="U7" s="701">
        <f t="shared" ref="U7:U15" si="1">H7</f>
        <v>0</v>
      </c>
      <c r="V7" s="700" t="s">
        <v>20</v>
      </c>
      <c r="W7" s="701">
        <f t="shared" ref="W7:W15" si="2">J7</f>
        <v>0</v>
      </c>
      <c r="X7" s="702"/>
      <c r="Y7" s="3714" t="s">
        <v>1680</v>
      </c>
      <c r="Z7" s="3713"/>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14" t="s">
        <v>1683</v>
      </c>
      <c r="Q8" s="3713"/>
      <c r="R8" s="700" t="s">
        <v>20</v>
      </c>
      <c r="S8" s="701">
        <f t="shared" si="0"/>
        <v>100</v>
      </c>
      <c r="T8" s="700" t="s">
        <v>20</v>
      </c>
      <c r="U8" s="701">
        <f t="shared" si="1"/>
        <v>100</v>
      </c>
      <c r="V8" s="700" t="s">
        <v>20</v>
      </c>
      <c r="W8" s="701">
        <f t="shared" si="2"/>
        <v>100</v>
      </c>
      <c r="X8" s="702"/>
      <c r="Y8" s="3714" t="s">
        <v>1683</v>
      </c>
      <c r="Z8" s="3713"/>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571"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57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2"/>
      <c r="Q11" s="1342" t="str">
        <f t="shared" si="6"/>
        <v>容积率</v>
      </c>
      <c r="R11" s="700" t="s">
        <v>18</v>
      </c>
      <c r="S11" s="701" t="e">
        <f t="shared" si="0"/>
        <v>#N/A</v>
      </c>
      <c r="T11" s="700" t="s">
        <v>18</v>
      </c>
      <c r="U11" s="701" t="e">
        <f t="shared" si="1"/>
        <v>#N/A</v>
      </c>
      <c r="V11" s="700" t="s">
        <v>18</v>
      </c>
      <c r="W11" s="701" t="e">
        <f t="shared" si="2"/>
        <v>#N/A</v>
      </c>
      <c r="X11" s="702"/>
      <c r="Y11" s="3571"/>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2"/>
      <c r="Q12" s="1342">
        <f t="shared" si="6"/>
        <v>111</v>
      </c>
      <c r="R12" s="700" t="s">
        <v>18</v>
      </c>
      <c r="S12" s="701">
        <f t="shared" si="0"/>
        <v>100</v>
      </c>
      <c r="T12" s="700" t="s">
        <v>18</v>
      </c>
      <c r="U12" s="701">
        <f t="shared" si="1"/>
        <v>100</v>
      </c>
      <c r="V12" s="700" t="s">
        <v>18</v>
      </c>
      <c r="W12" s="701">
        <f t="shared" si="2"/>
        <v>100</v>
      </c>
      <c r="X12" s="702"/>
      <c r="Y12" s="357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2"/>
      <c r="Q13" s="1342">
        <f t="shared" si="6"/>
        <v>111</v>
      </c>
      <c r="R13" s="700" t="s">
        <v>18</v>
      </c>
      <c r="S13" s="701">
        <f t="shared" si="0"/>
        <v>100</v>
      </c>
      <c r="T13" s="700" t="s">
        <v>18</v>
      </c>
      <c r="U13" s="701">
        <f t="shared" si="1"/>
        <v>100</v>
      </c>
      <c r="V13" s="700" t="s">
        <v>18</v>
      </c>
      <c r="W13" s="701">
        <f t="shared" si="2"/>
        <v>100</v>
      </c>
      <c r="X13" s="702"/>
      <c r="Y13" s="357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2"/>
      <c r="Q14" s="1342">
        <f t="shared" si="6"/>
        <v>111</v>
      </c>
      <c r="R14" s="700" t="s">
        <v>18</v>
      </c>
      <c r="S14" s="701">
        <f t="shared" si="0"/>
        <v>100</v>
      </c>
      <c r="T14" s="700" t="s">
        <v>18</v>
      </c>
      <c r="U14" s="701">
        <f t="shared" si="1"/>
        <v>100</v>
      </c>
      <c r="V14" s="700" t="s">
        <v>18</v>
      </c>
      <c r="W14" s="701">
        <f t="shared" si="2"/>
        <v>100</v>
      </c>
      <c r="X14" s="702"/>
      <c r="Y14" s="3571"/>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8" t="s">
        <v>1691</v>
      </c>
      <c r="Q15" s="1351" t="str">
        <f t="shared" si="6"/>
        <v>居住社区成熟度</v>
      </c>
      <c r="R15" s="704" t="s">
        <v>18</v>
      </c>
      <c r="S15" s="705">
        <f t="shared" si="0"/>
        <v>100</v>
      </c>
      <c r="T15" s="704" t="s">
        <v>18</v>
      </c>
      <c r="U15" s="705">
        <f t="shared" si="1"/>
        <v>100</v>
      </c>
      <c r="V15" s="704" t="s">
        <v>18</v>
      </c>
      <c r="W15" s="705">
        <f t="shared" si="2"/>
        <v>100</v>
      </c>
      <c r="X15" s="1354"/>
      <c r="Y15" s="3680"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79"/>
      <c r="Q16" s="1351"/>
      <c r="R16" s="704"/>
      <c r="S16" s="705"/>
      <c r="T16" s="704"/>
      <c r="U16" s="705"/>
      <c r="V16" s="704"/>
      <c r="W16" s="705"/>
      <c r="X16" s="1354"/>
      <c r="Y16" s="3681"/>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9"/>
      <c r="Q17" s="1351" t="str">
        <f>B17</f>
        <v>交通便捷度</v>
      </c>
      <c r="R17" s="704" t="s">
        <v>18</v>
      </c>
      <c r="S17" s="705">
        <f>F17</f>
        <v>100</v>
      </c>
      <c r="T17" s="704" t="s">
        <v>18</v>
      </c>
      <c r="U17" s="705">
        <f>H17</f>
        <v>100</v>
      </c>
      <c r="V17" s="704" t="s">
        <v>18</v>
      </c>
      <c r="W17" s="705">
        <f>J17</f>
        <v>100</v>
      </c>
      <c r="X17" s="1354"/>
      <c r="Y17" s="3681"/>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79"/>
      <c r="Q18" s="1351"/>
      <c r="R18" s="704"/>
      <c r="S18" s="705"/>
      <c r="T18" s="704"/>
      <c r="U18" s="705"/>
      <c r="V18" s="704"/>
      <c r="W18" s="705"/>
      <c r="X18" s="1354"/>
      <c r="Y18" s="3681"/>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9"/>
      <c r="Q19" s="1351" t="str">
        <f>B19</f>
        <v>公共配套设施</v>
      </c>
      <c r="R19" s="704" t="s">
        <v>18</v>
      </c>
      <c r="S19" s="705">
        <f>F19</f>
        <v>100</v>
      </c>
      <c r="T19" s="704" t="s">
        <v>18</v>
      </c>
      <c r="U19" s="705">
        <f>H19</f>
        <v>100</v>
      </c>
      <c r="V19" s="704" t="s">
        <v>18</v>
      </c>
      <c r="W19" s="705">
        <f>J19</f>
        <v>100</v>
      </c>
      <c r="X19" s="1354"/>
      <c r="Y19" s="3681"/>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79"/>
      <c r="Q20" s="1351"/>
      <c r="R20" s="704"/>
      <c r="S20" s="705"/>
      <c r="T20" s="704"/>
      <c r="U20" s="705"/>
      <c r="V20" s="704"/>
      <c r="W20" s="705"/>
      <c r="X20" s="1354"/>
      <c r="Y20" s="3681"/>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9"/>
      <c r="Q21" s="1351" t="str">
        <f>B21</f>
        <v>基础设施水平</v>
      </c>
      <c r="R21" s="704" t="s">
        <v>14</v>
      </c>
      <c r="S21" s="705">
        <f>F21</f>
        <v>100</v>
      </c>
      <c r="T21" s="704" t="s">
        <v>14</v>
      </c>
      <c r="U21" s="705">
        <f>H21</f>
        <v>100</v>
      </c>
      <c r="V21" s="704" t="s">
        <v>14</v>
      </c>
      <c r="W21" s="705">
        <f>J21</f>
        <v>100</v>
      </c>
      <c r="X21" s="1354"/>
      <c r="Y21" s="368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79"/>
      <c r="Q22" s="1351"/>
      <c r="R22" s="704"/>
      <c r="S22" s="705"/>
      <c r="T22" s="704"/>
      <c r="U22" s="705"/>
      <c r="V22" s="704"/>
      <c r="W22" s="705"/>
      <c r="X22" s="1354"/>
      <c r="Y22" s="3681"/>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9"/>
      <c r="Q23" s="1351" t="str">
        <f>B23</f>
        <v>自然及人文环境</v>
      </c>
      <c r="R23" s="704" t="s">
        <v>18</v>
      </c>
      <c r="S23" s="705">
        <f>F23</f>
        <v>100</v>
      </c>
      <c r="T23" s="704" t="s">
        <v>18</v>
      </c>
      <c r="U23" s="705">
        <f>H23</f>
        <v>100</v>
      </c>
      <c r="V23" s="704" t="s">
        <v>18</v>
      </c>
      <c r="W23" s="705">
        <f>J23</f>
        <v>100</v>
      </c>
      <c r="X23" s="1354"/>
      <c r="Y23" s="3681"/>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79"/>
      <c r="Q24" s="1351"/>
      <c r="R24" s="704"/>
      <c r="S24" s="705"/>
      <c r="T24" s="704"/>
      <c r="U24" s="705"/>
      <c r="V24" s="704"/>
      <c r="W24" s="705"/>
      <c r="X24" s="1354"/>
      <c r="Y24" s="3681"/>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79"/>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1"/>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79"/>
      <c r="Q26" s="1351" t="str">
        <f t="shared" si="11"/>
        <v>朝向</v>
      </c>
      <c r="R26" s="704" t="s">
        <v>18</v>
      </c>
      <c r="S26" s="705">
        <f t="shared" si="12"/>
        <v>100</v>
      </c>
      <c r="T26" s="704" t="s">
        <v>18</v>
      </c>
      <c r="U26" s="705">
        <f t="shared" si="13"/>
        <v>100</v>
      </c>
      <c r="V26" s="704" t="s">
        <v>18</v>
      </c>
      <c r="W26" s="705">
        <f t="shared" si="14"/>
        <v>100</v>
      </c>
      <c r="X26" s="1354"/>
      <c r="Y26" s="3681"/>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79"/>
      <c r="Q27" s="1342">
        <f t="shared" si="11"/>
        <v>111</v>
      </c>
      <c r="R27" s="700" t="s">
        <v>18</v>
      </c>
      <c r="S27" s="701">
        <f t="shared" si="12"/>
        <v>100</v>
      </c>
      <c r="T27" s="700" t="s">
        <v>18</v>
      </c>
      <c r="U27" s="701">
        <f t="shared" si="13"/>
        <v>100</v>
      </c>
      <c r="V27" s="700" t="s">
        <v>18</v>
      </c>
      <c r="W27" s="701">
        <f t="shared" si="14"/>
        <v>100</v>
      </c>
      <c r="X27" s="702"/>
      <c r="Y27" s="3681"/>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79"/>
      <c r="Q28" s="1351">
        <f t="shared" si="11"/>
        <v>111</v>
      </c>
      <c r="R28" s="704" t="s">
        <v>18</v>
      </c>
      <c r="S28" s="705">
        <f t="shared" si="12"/>
        <v>100</v>
      </c>
      <c r="T28" s="704" t="s">
        <v>18</v>
      </c>
      <c r="U28" s="705">
        <f t="shared" si="13"/>
        <v>100</v>
      </c>
      <c r="V28" s="704" t="s">
        <v>18</v>
      </c>
      <c r="W28" s="705">
        <f t="shared" si="14"/>
        <v>100</v>
      </c>
      <c r="X28" s="1354"/>
      <c r="Y28" s="3681"/>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79"/>
      <c r="Q29" s="1351">
        <f t="shared" si="11"/>
        <v>111</v>
      </c>
      <c r="R29" s="704" t="s">
        <v>18</v>
      </c>
      <c r="S29" s="705">
        <f t="shared" si="12"/>
        <v>100</v>
      </c>
      <c r="T29" s="704" t="s">
        <v>18</v>
      </c>
      <c r="U29" s="705">
        <f t="shared" si="13"/>
        <v>100</v>
      </c>
      <c r="V29" s="704" t="s">
        <v>18</v>
      </c>
      <c r="W29" s="705">
        <f t="shared" si="14"/>
        <v>100</v>
      </c>
      <c r="X29" s="1354"/>
      <c r="Y29" s="3681"/>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79"/>
      <c r="Q30" s="1351">
        <f t="shared" si="11"/>
        <v>111</v>
      </c>
      <c r="R30" s="704" t="s">
        <v>18</v>
      </c>
      <c r="S30" s="705">
        <f t="shared" si="12"/>
        <v>100</v>
      </c>
      <c r="T30" s="704" t="s">
        <v>18</v>
      </c>
      <c r="U30" s="705">
        <f t="shared" si="13"/>
        <v>100</v>
      </c>
      <c r="V30" s="704" t="s">
        <v>18</v>
      </c>
      <c r="W30" s="705">
        <f t="shared" si="14"/>
        <v>100</v>
      </c>
      <c r="X30" s="1354"/>
      <c r="Y30" s="3681"/>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79"/>
      <c r="Q31" s="1351">
        <f t="shared" si="11"/>
        <v>111</v>
      </c>
      <c r="R31" s="704" t="s">
        <v>18</v>
      </c>
      <c r="S31" s="705">
        <f t="shared" si="12"/>
        <v>100</v>
      </c>
      <c r="T31" s="704" t="s">
        <v>18</v>
      </c>
      <c r="U31" s="705">
        <f t="shared" si="13"/>
        <v>100</v>
      </c>
      <c r="V31" s="704" t="s">
        <v>18</v>
      </c>
      <c r="W31" s="705">
        <f t="shared" si="14"/>
        <v>100</v>
      </c>
      <c r="X31" s="1354"/>
      <c r="Y31" s="3681"/>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82" t="s">
        <v>1696</v>
      </c>
      <c r="Q32" s="1351" t="str">
        <f t="shared" si="11"/>
        <v>建筑类型</v>
      </c>
      <c r="R32" s="704" t="s">
        <v>18</v>
      </c>
      <c r="S32" s="705">
        <f t="shared" si="12"/>
        <v>100</v>
      </c>
      <c r="T32" s="704" t="s">
        <v>18</v>
      </c>
      <c r="U32" s="705">
        <f t="shared" si="13"/>
        <v>100</v>
      </c>
      <c r="V32" s="704" t="s">
        <v>18</v>
      </c>
      <c r="W32" s="705">
        <f t="shared" si="14"/>
        <v>100</v>
      </c>
      <c r="X32" s="1354"/>
      <c r="Y32" s="3685"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83"/>
      <c r="Q33" s="706" t="str">
        <f t="shared" si="11"/>
        <v>项目建筑规模</v>
      </c>
      <c r="R33" s="707" t="s">
        <v>18</v>
      </c>
      <c r="S33" s="708" t="e">
        <f t="shared" si="12"/>
        <v>#N/A</v>
      </c>
      <c r="T33" s="707" t="s">
        <v>18</v>
      </c>
      <c r="U33" s="708" t="e">
        <f t="shared" si="13"/>
        <v>#N/A</v>
      </c>
      <c r="V33" s="707" t="s">
        <v>18</v>
      </c>
      <c r="W33" s="708" t="e">
        <f t="shared" si="14"/>
        <v>#N/A</v>
      </c>
      <c r="X33" s="709"/>
      <c r="Y33" s="3685"/>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83"/>
      <c r="Q34" s="1351" t="str">
        <f t="shared" si="11"/>
        <v>建筑结构</v>
      </c>
      <c r="R34" s="704" t="s">
        <v>18</v>
      </c>
      <c r="S34" s="705">
        <f t="shared" si="12"/>
        <v>100</v>
      </c>
      <c r="T34" s="704" t="s">
        <v>18</v>
      </c>
      <c r="U34" s="705">
        <f t="shared" si="13"/>
        <v>100</v>
      </c>
      <c r="V34" s="704" t="s">
        <v>18</v>
      </c>
      <c r="W34" s="705">
        <f t="shared" si="14"/>
        <v>100</v>
      </c>
      <c r="X34" s="1354"/>
      <c r="Y34" s="3685"/>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83"/>
      <c r="Q35" s="1351" t="str">
        <f t="shared" si="11"/>
        <v>建筑品质</v>
      </c>
      <c r="R35" s="704" t="s">
        <v>18</v>
      </c>
      <c r="S35" s="705">
        <f t="shared" si="12"/>
        <v>100</v>
      </c>
      <c r="T35" s="704" t="s">
        <v>18</v>
      </c>
      <c r="U35" s="705">
        <f t="shared" si="13"/>
        <v>100</v>
      </c>
      <c r="V35" s="704" t="s">
        <v>18</v>
      </c>
      <c r="W35" s="705">
        <f t="shared" si="14"/>
        <v>100</v>
      </c>
      <c r="X35" s="1354"/>
      <c r="Y35" s="3685"/>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83"/>
      <c r="Q36" s="1351" t="str">
        <f t="shared" si="11"/>
        <v>公共部分装修</v>
      </c>
      <c r="R36" s="704" t="s">
        <v>18</v>
      </c>
      <c r="S36" s="705">
        <f t="shared" si="12"/>
        <v>100</v>
      </c>
      <c r="T36" s="704" t="s">
        <v>18</v>
      </c>
      <c r="U36" s="705">
        <f t="shared" si="13"/>
        <v>100</v>
      </c>
      <c r="V36" s="704" t="s">
        <v>18</v>
      </c>
      <c r="W36" s="705">
        <f t="shared" si="14"/>
        <v>100</v>
      </c>
      <c r="X36" s="1354"/>
      <c r="Y36" s="3685"/>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3"/>
      <c r="Q37" s="1342" t="str">
        <f t="shared" si="11"/>
        <v>成新度</v>
      </c>
      <c r="R37" s="700" t="s">
        <v>18</v>
      </c>
      <c r="S37" s="701" t="e">
        <f t="shared" si="12"/>
        <v>#N/A</v>
      </c>
      <c r="T37" s="700" t="s">
        <v>18</v>
      </c>
      <c r="U37" s="701" t="e">
        <f t="shared" si="13"/>
        <v>#N/A</v>
      </c>
      <c r="V37" s="700" t="s">
        <v>18</v>
      </c>
      <c r="W37" s="701" t="e">
        <f t="shared" si="14"/>
        <v>#N/A</v>
      </c>
      <c r="X37" s="702"/>
      <c r="Y37" s="3685"/>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83" t="s">
        <v>1696</v>
      </c>
      <c r="Q38" s="1351" t="str">
        <f t="shared" si="11"/>
        <v>物业管理</v>
      </c>
      <c r="R38" s="704" t="s">
        <v>18</v>
      </c>
      <c r="S38" s="705">
        <f t="shared" si="12"/>
        <v>100</v>
      </c>
      <c r="T38" s="704" t="s">
        <v>18</v>
      </c>
      <c r="U38" s="705">
        <f t="shared" si="13"/>
        <v>100</v>
      </c>
      <c r="V38" s="704" t="s">
        <v>18</v>
      </c>
      <c r="W38" s="705">
        <f t="shared" si="14"/>
        <v>100</v>
      </c>
      <c r="X38" s="1354"/>
      <c r="Y38" s="3685"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83"/>
      <c r="Q39" s="1351" t="str">
        <f t="shared" si="11"/>
        <v>市政基础设施</v>
      </c>
      <c r="R39" s="704" t="s">
        <v>18</v>
      </c>
      <c r="S39" s="705">
        <f t="shared" si="12"/>
        <v>100</v>
      </c>
      <c r="T39" s="704" t="s">
        <v>18</v>
      </c>
      <c r="U39" s="705">
        <f t="shared" si="13"/>
        <v>100</v>
      </c>
      <c r="V39" s="704" t="s">
        <v>18</v>
      </c>
      <c r="W39" s="705">
        <f t="shared" si="14"/>
        <v>100</v>
      </c>
      <c r="X39" s="1354"/>
      <c r="Y39" s="3685"/>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83"/>
      <c r="Q40" s="1351" t="str">
        <f t="shared" si="11"/>
        <v>房型</v>
      </c>
      <c r="R40" s="704" t="s">
        <v>18</v>
      </c>
      <c r="S40" s="705">
        <f t="shared" si="12"/>
        <v>100</v>
      </c>
      <c r="T40" s="704" t="s">
        <v>18</v>
      </c>
      <c r="U40" s="705">
        <f t="shared" si="13"/>
        <v>100</v>
      </c>
      <c r="V40" s="704" t="s">
        <v>18</v>
      </c>
      <c r="W40" s="705">
        <f t="shared" si="14"/>
        <v>100</v>
      </c>
      <c r="X40" s="1354"/>
      <c r="Y40" s="3685"/>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83"/>
      <c r="Q41" s="706" t="str">
        <f t="shared" si="11"/>
        <v>单套/主力户型建筑面积</v>
      </c>
      <c r="R41" s="707" t="s">
        <v>18</v>
      </c>
      <c r="S41" s="708">
        <f t="shared" si="12"/>
        <v>100</v>
      </c>
      <c r="T41" s="707" t="s">
        <v>18</v>
      </c>
      <c r="U41" s="708">
        <f t="shared" si="13"/>
        <v>100</v>
      </c>
      <c r="V41" s="707" t="s">
        <v>18</v>
      </c>
      <c r="W41" s="708">
        <f t="shared" si="14"/>
        <v>100</v>
      </c>
      <c r="X41" s="709"/>
      <c r="Y41" s="3685"/>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83"/>
      <c r="Q42" s="1351" t="str">
        <f t="shared" si="11"/>
        <v>内部装修</v>
      </c>
      <c r="R42" s="704" t="s">
        <v>18</v>
      </c>
      <c r="S42" s="705">
        <f t="shared" si="12"/>
        <v>100</v>
      </c>
      <c r="T42" s="704" t="s">
        <v>18</v>
      </c>
      <c r="U42" s="705">
        <f t="shared" si="13"/>
        <v>100</v>
      </c>
      <c r="V42" s="704" t="s">
        <v>18</v>
      </c>
      <c r="W42" s="705">
        <f t="shared" si="14"/>
        <v>100</v>
      </c>
      <c r="X42" s="1354"/>
      <c r="Y42" s="3685"/>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83"/>
      <c r="Q43" s="1351" t="str">
        <f t="shared" si="11"/>
        <v>内部装修维护情况</v>
      </c>
      <c r="R43" s="704" t="s">
        <v>18</v>
      </c>
      <c r="S43" s="705">
        <f t="shared" si="12"/>
        <v>100</v>
      </c>
      <c r="T43" s="704" t="s">
        <v>18</v>
      </c>
      <c r="U43" s="705">
        <f t="shared" si="13"/>
        <v>100</v>
      </c>
      <c r="V43" s="704" t="s">
        <v>18</v>
      </c>
      <c r="W43" s="705">
        <f t="shared" si="14"/>
        <v>100</v>
      </c>
      <c r="X43" s="1354"/>
      <c r="Y43" s="3685"/>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83"/>
      <c r="Q44" s="1342">
        <f t="shared" si="11"/>
        <v>111</v>
      </c>
      <c r="R44" s="700" t="s">
        <v>18</v>
      </c>
      <c r="S44" s="701">
        <f t="shared" si="12"/>
        <v>100</v>
      </c>
      <c r="T44" s="700" t="s">
        <v>18</v>
      </c>
      <c r="U44" s="701">
        <f t="shared" si="13"/>
        <v>100</v>
      </c>
      <c r="V44" s="700" t="s">
        <v>18</v>
      </c>
      <c r="W44" s="701">
        <f t="shared" si="14"/>
        <v>100</v>
      </c>
      <c r="X44" s="702"/>
      <c r="Y44" s="3685"/>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83"/>
      <c r="Q45" s="1351">
        <f t="shared" si="11"/>
        <v>111</v>
      </c>
      <c r="R45" s="704" t="s">
        <v>18</v>
      </c>
      <c r="S45" s="705">
        <f t="shared" si="12"/>
        <v>100</v>
      </c>
      <c r="T45" s="704" t="s">
        <v>18</v>
      </c>
      <c r="U45" s="705">
        <f t="shared" si="13"/>
        <v>100</v>
      </c>
      <c r="V45" s="704" t="s">
        <v>18</v>
      </c>
      <c r="W45" s="705">
        <f t="shared" si="14"/>
        <v>100</v>
      </c>
      <c r="X45" s="1354"/>
      <c r="Y45" s="3685"/>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84"/>
      <c r="Q46" s="1351">
        <f t="shared" si="11"/>
        <v>111</v>
      </c>
      <c r="R46" s="704" t="s">
        <v>17</v>
      </c>
      <c r="S46" s="705">
        <f t="shared" si="12"/>
        <v>100</v>
      </c>
      <c r="T46" s="704" t="s">
        <v>17</v>
      </c>
      <c r="U46" s="705">
        <f t="shared" si="13"/>
        <v>100</v>
      </c>
      <c r="V46" s="704" t="s">
        <v>17</v>
      </c>
      <c r="W46" s="705">
        <f t="shared" si="14"/>
        <v>100</v>
      </c>
      <c r="X46" s="1354"/>
      <c r="Y46" s="3686"/>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73" t="str">
        <f>A47</f>
        <v>成交单价（元/平方米）</v>
      </c>
      <c r="Q47" s="3673"/>
      <c r="R47" s="3674">
        <f>E47</f>
        <v>0</v>
      </c>
      <c r="S47" s="3674"/>
      <c r="T47" s="3674">
        <f>G47</f>
        <v>0</v>
      </c>
      <c r="U47" s="3674"/>
      <c r="V47" s="3674">
        <f>I47</f>
        <v>0</v>
      </c>
      <c r="W47" s="3674"/>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2023-1</v>
      </c>
      <c r="D58" s="1184">
        <f>EDATE(C58,-1)</f>
        <v>44896</v>
      </c>
      <c r="E58" s="1184">
        <f>EDATE(D58,-1)</f>
        <v>44866</v>
      </c>
      <c r="F58" s="1184">
        <f t="shared" ref="F58:O58" si="19">EDATE(E58,-1)</f>
        <v>44835</v>
      </c>
      <c r="G58" s="1184">
        <f t="shared" si="19"/>
        <v>44805</v>
      </c>
      <c r="H58" s="1184">
        <f t="shared" si="19"/>
        <v>44774</v>
      </c>
      <c r="I58" s="1184">
        <f t="shared" si="19"/>
        <v>44743</v>
      </c>
      <c r="J58" s="1184">
        <f t="shared" si="19"/>
        <v>44713</v>
      </c>
      <c r="K58" s="1184">
        <f t="shared" si="19"/>
        <v>44682</v>
      </c>
      <c r="L58" s="1184">
        <f t="shared" si="19"/>
        <v>44652</v>
      </c>
      <c r="M58" s="1184">
        <f t="shared" si="19"/>
        <v>44621</v>
      </c>
      <c r="N58" s="1184">
        <f t="shared" si="19"/>
        <v>44593</v>
      </c>
      <c r="O58" s="1184">
        <f t="shared" si="19"/>
        <v>44562</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27" sqref="N2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7"/>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91.97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90" t="s">
        <v>1770</v>
      </c>
      <c r="D4" s="3691"/>
      <c r="E4" s="3692" t="s">
        <v>1771</v>
      </c>
      <c r="F4" s="3693"/>
      <c r="G4" s="3690" t="s">
        <v>1772</v>
      </c>
      <c r="H4" s="3691"/>
      <c r="I4" s="3690" t="s">
        <v>1773</v>
      </c>
      <c r="J4" s="3691"/>
      <c r="K4" s="559" t="s">
        <v>1774</v>
      </c>
      <c r="L4" s="2714"/>
      <c r="M4" s="2715"/>
      <c r="N4" s="2715"/>
      <c r="O4" s="2715"/>
      <c r="P4" s="3748" t="s">
        <v>1775</v>
      </c>
      <c r="Q4" s="3749"/>
      <c r="R4" s="3752" t="s">
        <v>1771</v>
      </c>
      <c r="S4" s="3753"/>
      <c r="T4" s="3752" t="s">
        <v>1772</v>
      </c>
      <c r="U4" s="3753"/>
      <c r="V4" s="3707" t="s">
        <v>1773</v>
      </c>
      <c r="W4" s="3707"/>
      <c r="X4" s="1354"/>
      <c r="Y4" s="3752" t="s">
        <v>1775</v>
      </c>
      <c r="Z4" s="3753"/>
      <c r="AA4" s="3747" t="s">
        <v>1771</v>
      </c>
      <c r="AB4" s="3707" t="s">
        <v>1772</v>
      </c>
      <c r="AC4" s="3747" t="s">
        <v>1773</v>
      </c>
    </row>
    <row r="5" spans="1:29" ht="15">
      <c r="A5" s="358"/>
      <c r="B5" s="359"/>
      <c r="C5" s="3710" t="s">
        <v>1673</v>
      </c>
      <c r="D5" s="3711"/>
      <c r="E5" s="3721" t="s">
        <v>1674</v>
      </c>
      <c r="F5" s="3722"/>
      <c r="G5" s="3710" t="s">
        <v>1675</v>
      </c>
      <c r="H5" s="3711"/>
      <c r="I5" s="3710" t="s">
        <v>1676</v>
      </c>
      <c r="J5" s="3711"/>
      <c r="K5" s="559"/>
      <c r="L5" s="2714"/>
      <c r="M5" s="2715"/>
      <c r="N5" s="2715"/>
      <c r="O5" s="2715"/>
      <c r="P5" s="3750"/>
      <c r="Q5" s="3697"/>
      <c r="R5" s="3702"/>
      <c r="S5" s="3703"/>
      <c r="T5" s="3702"/>
      <c r="U5" s="3703"/>
      <c r="V5" s="3707"/>
      <c r="W5" s="3707"/>
      <c r="X5" s="1354"/>
      <c r="Y5" s="3702"/>
      <c r="Z5" s="3703"/>
      <c r="AA5" s="3719"/>
      <c r="AB5" s="3707"/>
      <c r="AC5" s="3719"/>
    </row>
    <row r="6" spans="1:29" ht="15.75" thickBot="1">
      <c r="A6" s="360"/>
      <c r="B6" s="361"/>
      <c r="C6" s="3708" t="s">
        <v>1677</v>
      </c>
      <c r="D6" s="3709"/>
      <c r="E6" s="3716" t="s">
        <v>1677</v>
      </c>
      <c r="F6" s="3717"/>
      <c r="G6" s="3708" t="s">
        <v>1677</v>
      </c>
      <c r="H6" s="3709"/>
      <c r="I6" s="3708" t="s">
        <v>1677</v>
      </c>
      <c r="J6" s="3709"/>
      <c r="K6" s="559" t="s">
        <v>1678</v>
      </c>
      <c r="L6" s="2714"/>
      <c r="M6" s="2715"/>
      <c r="N6" s="2715"/>
      <c r="O6" s="2715"/>
      <c r="P6" s="3751"/>
      <c r="Q6" s="3699"/>
      <c r="R6" s="3702"/>
      <c r="S6" s="3703"/>
      <c r="T6" s="3704"/>
      <c r="U6" s="3705"/>
      <c r="V6" s="3707"/>
      <c r="W6" s="3707"/>
      <c r="X6" s="1354"/>
      <c r="Y6" s="3704"/>
      <c r="Z6" s="3705"/>
      <c r="AA6" s="3720"/>
      <c r="AB6" s="3707"/>
      <c r="AC6" s="3720"/>
    </row>
    <row r="7" spans="1:29" s="108" customFormat="1" ht="15.75" thickBot="1">
      <c r="A7" s="362" t="s">
        <v>1679</v>
      </c>
      <c r="B7" s="363"/>
      <c r="C7" s="364">
        <f>'数据-取费表'!B2</f>
        <v>44939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4" t="s">
        <v>1680</v>
      </c>
      <c r="Q7" s="3715"/>
      <c r="R7" s="700" t="s">
        <v>14</v>
      </c>
      <c r="S7" s="701">
        <f t="shared" ref="S7:S15" si="0">F7</f>
        <v>0</v>
      </c>
      <c r="T7" s="700" t="s">
        <v>14</v>
      </c>
      <c r="U7" s="701">
        <f t="shared" ref="U7:U15" si="1">H7</f>
        <v>0</v>
      </c>
      <c r="V7" s="700" t="s">
        <v>14</v>
      </c>
      <c r="W7" s="701">
        <f t="shared" ref="W7:W15" si="2">J7</f>
        <v>0</v>
      </c>
      <c r="X7" s="702"/>
      <c r="Y7" s="3714" t="s">
        <v>1680</v>
      </c>
      <c r="Z7" s="3713"/>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4" t="s">
        <v>1683</v>
      </c>
      <c r="Q8" s="3713"/>
      <c r="R8" s="700" t="s">
        <v>14</v>
      </c>
      <c r="S8" s="701">
        <f t="shared" si="0"/>
        <v>100</v>
      </c>
      <c r="T8" s="700" t="s">
        <v>14</v>
      </c>
      <c r="U8" s="701">
        <f t="shared" si="1"/>
        <v>100</v>
      </c>
      <c r="V8" s="700" t="s">
        <v>14</v>
      </c>
      <c r="W8" s="701">
        <f t="shared" si="2"/>
        <v>100</v>
      </c>
      <c r="X8" s="702"/>
      <c r="Y8" s="3714" t="s">
        <v>1683</v>
      </c>
      <c r="Z8" s="3713"/>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571"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56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571"/>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2"/>
      <c r="Q11" s="1342" t="str">
        <f t="shared" si="6"/>
        <v>容积率</v>
      </c>
      <c r="R11" s="700" t="s">
        <v>14</v>
      </c>
      <c r="S11" s="701" t="e">
        <f t="shared" si="0"/>
        <v>#N/A</v>
      </c>
      <c r="T11" s="700" t="s">
        <v>14</v>
      </c>
      <c r="U11" s="701" t="e">
        <f t="shared" si="1"/>
        <v>#N/A</v>
      </c>
      <c r="V11" s="700" t="s">
        <v>14</v>
      </c>
      <c r="W11" s="701" t="e">
        <f t="shared" si="2"/>
        <v>#N/A</v>
      </c>
      <c r="X11" s="702"/>
      <c r="Y11" s="3571"/>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2"/>
      <c r="Q12" s="1342">
        <f t="shared" si="6"/>
        <v>111</v>
      </c>
      <c r="R12" s="700" t="s">
        <v>14</v>
      </c>
      <c r="S12" s="701">
        <f t="shared" si="0"/>
        <v>100</v>
      </c>
      <c r="T12" s="700" t="s">
        <v>14</v>
      </c>
      <c r="U12" s="701">
        <f t="shared" si="1"/>
        <v>100</v>
      </c>
      <c r="V12" s="700" t="s">
        <v>14</v>
      </c>
      <c r="W12" s="701">
        <f t="shared" si="2"/>
        <v>100</v>
      </c>
      <c r="X12" s="702"/>
      <c r="Y12" s="357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2"/>
      <c r="Q13" s="1342">
        <f t="shared" si="6"/>
        <v>111</v>
      </c>
      <c r="R13" s="700" t="s">
        <v>14</v>
      </c>
      <c r="S13" s="701">
        <f t="shared" si="0"/>
        <v>100</v>
      </c>
      <c r="T13" s="700" t="s">
        <v>14</v>
      </c>
      <c r="U13" s="701">
        <f t="shared" si="1"/>
        <v>100</v>
      </c>
      <c r="V13" s="700" t="s">
        <v>14</v>
      </c>
      <c r="W13" s="701">
        <f t="shared" si="2"/>
        <v>100</v>
      </c>
      <c r="X13" s="702"/>
      <c r="Y13" s="3571"/>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2"/>
      <c r="Q14" s="1342">
        <f t="shared" si="6"/>
        <v>111</v>
      </c>
      <c r="R14" s="700" t="s">
        <v>14</v>
      </c>
      <c r="S14" s="701">
        <f t="shared" si="0"/>
        <v>100</v>
      </c>
      <c r="T14" s="700" t="s">
        <v>14</v>
      </c>
      <c r="U14" s="701">
        <f t="shared" si="1"/>
        <v>100</v>
      </c>
      <c r="V14" s="700" t="s">
        <v>14</v>
      </c>
      <c r="W14" s="701">
        <f t="shared" si="2"/>
        <v>100</v>
      </c>
      <c r="X14" s="702"/>
      <c r="Y14" s="3571"/>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8" t="s">
        <v>1691</v>
      </c>
      <c r="Q15" s="1351" t="str">
        <f t="shared" si="6"/>
        <v>商业繁华度</v>
      </c>
      <c r="R15" s="704" t="s">
        <v>14</v>
      </c>
      <c r="S15" s="705">
        <f t="shared" si="0"/>
        <v>100</v>
      </c>
      <c r="T15" s="704" t="s">
        <v>14</v>
      </c>
      <c r="U15" s="705">
        <f t="shared" si="1"/>
        <v>100</v>
      </c>
      <c r="V15" s="704" t="s">
        <v>14</v>
      </c>
      <c r="W15" s="705">
        <f t="shared" si="2"/>
        <v>100</v>
      </c>
      <c r="X15" s="1354"/>
      <c r="Y15" s="3680"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79"/>
      <c r="Q16" s="1351"/>
      <c r="R16" s="704"/>
      <c r="S16" s="705"/>
      <c r="T16" s="704"/>
      <c r="U16" s="705"/>
      <c r="V16" s="704"/>
      <c r="W16" s="705"/>
      <c r="X16" s="1354"/>
      <c r="Y16" s="3681"/>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9"/>
      <c r="Q17" s="1351" t="str">
        <f>B17</f>
        <v>交通便捷度</v>
      </c>
      <c r="R17" s="704" t="s">
        <v>14</v>
      </c>
      <c r="S17" s="705">
        <f>F17</f>
        <v>100</v>
      </c>
      <c r="T17" s="704" t="s">
        <v>14</v>
      </c>
      <c r="U17" s="705">
        <f>H17</f>
        <v>100</v>
      </c>
      <c r="V17" s="704" t="s">
        <v>14</v>
      </c>
      <c r="W17" s="705">
        <f>J17</f>
        <v>100</v>
      </c>
      <c r="X17" s="1354"/>
      <c r="Y17" s="368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79"/>
      <c r="Q18" s="1351"/>
      <c r="R18" s="704"/>
      <c r="S18" s="705"/>
      <c r="T18" s="704"/>
      <c r="U18" s="705"/>
      <c r="V18" s="704"/>
      <c r="W18" s="705"/>
      <c r="X18" s="1354"/>
      <c r="Y18" s="3681"/>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9"/>
      <c r="Q19" s="1351" t="str">
        <f>B19</f>
        <v>公共配套设施</v>
      </c>
      <c r="R19" s="704" t="s">
        <v>14</v>
      </c>
      <c r="S19" s="705">
        <f>F19</f>
        <v>100</v>
      </c>
      <c r="T19" s="704" t="s">
        <v>14</v>
      </c>
      <c r="U19" s="705">
        <f>H19</f>
        <v>100</v>
      </c>
      <c r="V19" s="704" t="s">
        <v>14</v>
      </c>
      <c r="W19" s="705">
        <f>J19</f>
        <v>100</v>
      </c>
      <c r="X19" s="1354"/>
      <c r="Y19" s="368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79"/>
      <c r="Q20" s="1351"/>
      <c r="R20" s="704"/>
      <c r="S20" s="705"/>
      <c r="T20" s="704"/>
      <c r="U20" s="705"/>
      <c r="V20" s="704"/>
      <c r="W20" s="705"/>
      <c r="X20" s="1354"/>
      <c r="Y20" s="3681"/>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9"/>
      <c r="Q21" s="1351" t="str">
        <f>B21</f>
        <v>基础设施水平</v>
      </c>
      <c r="R21" s="704" t="s">
        <v>14</v>
      </c>
      <c r="S21" s="705">
        <f>F21</f>
        <v>100</v>
      </c>
      <c r="T21" s="704" t="s">
        <v>14</v>
      </c>
      <c r="U21" s="705">
        <f>H21</f>
        <v>100</v>
      </c>
      <c r="V21" s="704" t="s">
        <v>14</v>
      </c>
      <c r="W21" s="705">
        <f>J21</f>
        <v>100</v>
      </c>
      <c r="X21" s="1354"/>
      <c r="Y21" s="368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679"/>
      <c r="Q22" s="1351"/>
      <c r="R22" s="704"/>
      <c r="S22" s="705"/>
      <c r="T22" s="704"/>
      <c r="U22" s="705"/>
      <c r="V22" s="704"/>
      <c r="W22" s="705"/>
      <c r="X22" s="1354"/>
      <c r="Y22" s="3681"/>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9"/>
      <c r="Q23" s="1351" t="str">
        <f>B23</f>
        <v>自然及人文环境</v>
      </c>
      <c r="R23" s="704" t="s">
        <v>14</v>
      </c>
      <c r="S23" s="705">
        <f>F23</f>
        <v>100</v>
      </c>
      <c r="T23" s="704" t="s">
        <v>14</v>
      </c>
      <c r="U23" s="705">
        <f>H23</f>
        <v>100</v>
      </c>
      <c r="V23" s="704" t="s">
        <v>14</v>
      </c>
      <c r="W23" s="705">
        <f>J23</f>
        <v>100</v>
      </c>
      <c r="X23" s="1354"/>
      <c r="Y23" s="3681"/>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79"/>
      <c r="Q24" s="1351"/>
      <c r="R24" s="704"/>
      <c r="S24" s="705"/>
      <c r="T24" s="704"/>
      <c r="U24" s="705"/>
      <c r="V24" s="704"/>
      <c r="W24" s="705"/>
      <c r="X24" s="1354"/>
      <c r="Y24" s="3681"/>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9"/>
      <c r="Q25" s="1351" t="str">
        <f t="shared" ref="Q25:Q46" si="11">B25</f>
        <v>临街状况</v>
      </c>
      <c r="R25" s="704" t="s">
        <v>14</v>
      </c>
      <c r="S25" s="705">
        <f>F25</f>
        <v>100</v>
      </c>
      <c r="T25" s="704" t="s">
        <v>14</v>
      </c>
      <c r="U25" s="705">
        <f>H25</f>
        <v>100</v>
      </c>
      <c r="V25" s="704" t="s">
        <v>14</v>
      </c>
      <c r="W25" s="705">
        <f>J25</f>
        <v>100</v>
      </c>
      <c r="X25" s="1354"/>
      <c r="Y25" s="3681"/>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9"/>
      <c r="Q26" s="1351" t="str">
        <f t="shared" si="11"/>
        <v>平面位置/可视性</v>
      </c>
      <c r="R26" s="704" t="s">
        <v>14</v>
      </c>
      <c r="S26" s="705">
        <f>F26</f>
        <v>100</v>
      </c>
      <c r="T26" s="704" t="s">
        <v>14</v>
      </c>
      <c r="U26" s="705">
        <f>H26</f>
        <v>100</v>
      </c>
      <c r="V26" s="704" t="s">
        <v>14</v>
      </c>
      <c r="W26" s="705">
        <f>J26</f>
        <v>100</v>
      </c>
      <c r="X26" s="1354"/>
      <c r="Y26" s="3681"/>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79"/>
      <c r="Q27" s="1342" t="str">
        <f t="shared" si="11"/>
        <v>人流量</v>
      </c>
      <c r="R27" s="700" t="s">
        <v>14</v>
      </c>
      <c r="S27" s="701">
        <f>F27</f>
        <v>100</v>
      </c>
      <c r="T27" s="700" t="s">
        <v>14</v>
      </c>
      <c r="U27" s="701">
        <f>H27</f>
        <v>100</v>
      </c>
      <c r="V27" s="700" t="s">
        <v>14</v>
      </c>
      <c r="W27" s="701">
        <f>J27</f>
        <v>100</v>
      </c>
      <c r="X27" s="702"/>
      <c r="Y27" s="3681"/>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9"/>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1"/>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9"/>
      <c r="Q29" s="1351">
        <f t="shared" si="11"/>
        <v>111</v>
      </c>
      <c r="R29" s="704" t="s">
        <v>14</v>
      </c>
      <c r="S29" s="705">
        <f t="shared" si="12"/>
        <v>100</v>
      </c>
      <c r="T29" s="704" t="s">
        <v>14</v>
      </c>
      <c r="U29" s="705">
        <f t="shared" si="13"/>
        <v>100</v>
      </c>
      <c r="V29" s="704" t="s">
        <v>14</v>
      </c>
      <c r="W29" s="705">
        <f t="shared" si="14"/>
        <v>100</v>
      </c>
      <c r="X29" s="1354"/>
      <c r="Y29" s="3681"/>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9"/>
      <c r="Q30" s="1351">
        <f t="shared" si="11"/>
        <v>111</v>
      </c>
      <c r="R30" s="704" t="s">
        <v>14</v>
      </c>
      <c r="S30" s="705">
        <f t="shared" si="12"/>
        <v>100</v>
      </c>
      <c r="T30" s="704" t="s">
        <v>14</v>
      </c>
      <c r="U30" s="705">
        <f t="shared" si="13"/>
        <v>100</v>
      </c>
      <c r="V30" s="704" t="s">
        <v>14</v>
      </c>
      <c r="W30" s="705">
        <f t="shared" si="14"/>
        <v>100</v>
      </c>
      <c r="X30" s="1354"/>
      <c r="Y30" s="3681"/>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9"/>
      <c r="Q31" s="1351">
        <f t="shared" si="11"/>
        <v>111</v>
      </c>
      <c r="R31" s="704" t="s">
        <v>14</v>
      </c>
      <c r="S31" s="705">
        <f t="shared" si="12"/>
        <v>100</v>
      </c>
      <c r="T31" s="704" t="s">
        <v>14</v>
      </c>
      <c r="U31" s="705">
        <f t="shared" si="13"/>
        <v>100</v>
      </c>
      <c r="V31" s="704" t="s">
        <v>14</v>
      </c>
      <c r="W31" s="705">
        <f t="shared" si="14"/>
        <v>100</v>
      </c>
      <c r="X31" s="1354"/>
      <c r="Y31" s="3681"/>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82" t="s">
        <v>1696</v>
      </c>
      <c r="Q32" s="1351" t="str">
        <f t="shared" si="11"/>
        <v>商业类型</v>
      </c>
      <c r="R32" s="704" t="s">
        <v>14</v>
      </c>
      <c r="S32" s="705">
        <f t="shared" si="12"/>
        <v>100</v>
      </c>
      <c r="T32" s="704" t="s">
        <v>14</v>
      </c>
      <c r="U32" s="705">
        <f t="shared" si="13"/>
        <v>100</v>
      </c>
      <c r="V32" s="704" t="s">
        <v>14</v>
      </c>
      <c r="W32" s="705">
        <f t="shared" si="14"/>
        <v>100</v>
      </c>
      <c r="X32" s="1354"/>
      <c r="Y32" s="3685"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83"/>
      <c r="Q33" s="706" t="str">
        <f t="shared" si="11"/>
        <v>项目建筑规模</v>
      </c>
      <c r="R33" s="707" t="s">
        <v>14</v>
      </c>
      <c r="S33" s="708" t="e">
        <f t="shared" si="12"/>
        <v>#N/A</v>
      </c>
      <c r="T33" s="707" t="s">
        <v>14</v>
      </c>
      <c r="U33" s="708" t="e">
        <f t="shared" si="13"/>
        <v>#N/A</v>
      </c>
      <c r="V33" s="707" t="s">
        <v>14</v>
      </c>
      <c r="W33" s="708" t="e">
        <f t="shared" si="14"/>
        <v>#N/A</v>
      </c>
      <c r="X33" s="709"/>
      <c r="Y33" s="3685"/>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83"/>
      <c r="Q34" s="1351" t="str">
        <f t="shared" si="11"/>
        <v>建筑结构</v>
      </c>
      <c r="R34" s="704" t="s">
        <v>14</v>
      </c>
      <c r="S34" s="705">
        <f t="shared" si="12"/>
        <v>100</v>
      </c>
      <c r="T34" s="704" t="s">
        <v>14</v>
      </c>
      <c r="U34" s="705">
        <f t="shared" si="13"/>
        <v>100</v>
      </c>
      <c r="V34" s="704" t="s">
        <v>14</v>
      </c>
      <c r="W34" s="705">
        <f t="shared" si="14"/>
        <v>100</v>
      </c>
      <c r="X34" s="1354"/>
      <c r="Y34" s="3685"/>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83"/>
      <c r="Q35" s="1351" t="str">
        <f t="shared" si="11"/>
        <v>公共部分装修</v>
      </c>
      <c r="R35" s="704" t="s">
        <v>14</v>
      </c>
      <c r="S35" s="705">
        <f t="shared" si="12"/>
        <v>100</v>
      </c>
      <c r="T35" s="704" t="s">
        <v>14</v>
      </c>
      <c r="U35" s="705">
        <f t="shared" si="13"/>
        <v>100</v>
      </c>
      <c r="V35" s="704" t="s">
        <v>14</v>
      </c>
      <c r="W35" s="705">
        <f t="shared" si="14"/>
        <v>100</v>
      </c>
      <c r="X35" s="1354"/>
      <c r="Y35" s="3685"/>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83"/>
      <c r="Q36" s="1351" t="str">
        <f t="shared" si="11"/>
        <v>成新度</v>
      </c>
      <c r="R36" s="704" t="s">
        <v>14</v>
      </c>
      <c r="S36" s="705" t="e">
        <f t="shared" si="12"/>
        <v>#N/A</v>
      </c>
      <c r="T36" s="704" t="s">
        <v>14</v>
      </c>
      <c r="U36" s="705" t="e">
        <f t="shared" si="13"/>
        <v>#N/A</v>
      </c>
      <c r="V36" s="704" t="s">
        <v>14</v>
      </c>
      <c r="W36" s="705" t="e">
        <f t="shared" si="14"/>
        <v>#N/A</v>
      </c>
      <c r="X36" s="1354"/>
      <c r="Y36" s="3685"/>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83"/>
      <c r="Q37" s="1342" t="str">
        <f t="shared" si="11"/>
        <v>市政基础设施</v>
      </c>
      <c r="R37" s="700" t="s">
        <v>14</v>
      </c>
      <c r="S37" s="701">
        <f t="shared" si="12"/>
        <v>100</v>
      </c>
      <c r="T37" s="700" t="s">
        <v>14</v>
      </c>
      <c r="U37" s="701">
        <f t="shared" si="13"/>
        <v>100</v>
      </c>
      <c r="V37" s="700" t="s">
        <v>14</v>
      </c>
      <c r="W37" s="701">
        <f t="shared" si="14"/>
        <v>100</v>
      </c>
      <c r="X37" s="702"/>
      <c r="Y37" s="3685"/>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83" t="s">
        <v>1696</v>
      </c>
      <c r="Q38" s="1351" t="str">
        <f t="shared" si="11"/>
        <v>业态</v>
      </c>
      <c r="R38" s="704" t="s">
        <v>14</v>
      </c>
      <c r="S38" s="705">
        <f t="shared" si="12"/>
        <v>100</v>
      </c>
      <c r="T38" s="704" t="s">
        <v>14</v>
      </c>
      <c r="U38" s="705">
        <f t="shared" si="13"/>
        <v>100</v>
      </c>
      <c r="V38" s="704" t="s">
        <v>14</v>
      </c>
      <c r="W38" s="705">
        <f t="shared" si="14"/>
        <v>100</v>
      </c>
      <c r="X38" s="1354"/>
      <c r="Y38" s="3685"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83"/>
      <c r="Q39" s="1351" t="str">
        <f t="shared" si="11"/>
        <v>层高</v>
      </c>
      <c r="R39" s="704" t="s">
        <v>14</v>
      </c>
      <c r="S39" s="705">
        <f t="shared" si="12"/>
        <v>100</v>
      </c>
      <c r="T39" s="704" t="s">
        <v>14</v>
      </c>
      <c r="U39" s="705">
        <f t="shared" si="13"/>
        <v>100</v>
      </c>
      <c r="V39" s="704" t="s">
        <v>14</v>
      </c>
      <c r="W39" s="705">
        <f t="shared" si="14"/>
        <v>100</v>
      </c>
      <c r="X39" s="1354"/>
      <c r="Y39" s="3685"/>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3"/>
      <c r="Q40" s="1351" t="str">
        <f t="shared" si="11"/>
        <v>单套建筑面积</v>
      </c>
      <c r="R40" s="704" t="s">
        <v>14</v>
      </c>
      <c r="S40" s="705">
        <f t="shared" si="12"/>
        <v>100</v>
      </c>
      <c r="T40" s="704" t="s">
        <v>14</v>
      </c>
      <c r="U40" s="705">
        <f t="shared" si="13"/>
        <v>100</v>
      </c>
      <c r="V40" s="704" t="s">
        <v>14</v>
      </c>
      <c r="W40" s="705">
        <f t="shared" si="14"/>
        <v>100</v>
      </c>
      <c r="X40" s="1354"/>
      <c r="Y40" s="3685"/>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3"/>
      <c r="Q41" s="706" t="str">
        <f t="shared" si="11"/>
        <v>进深比</v>
      </c>
      <c r="R41" s="707" t="s">
        <v>14</v>
      </c>
      <c r="S41" s="708">
        <f t="shared" si="12"/>
        <v>100</v>
      </c>
      <c r="T41" s="707" t="s">
        <v>14</v>
      </c>
      <c r="U41" s="708">
        <f t="shared" si="13"/>
        <v>100</v>
      </c>
      <c r="V41" s="707" t="s">
        <v>14</v>
      </c>
      <c r="W41" s="708">
        <f t="shared" si="14"/>
        <v>100</v>
      </c>
      <c r="X41" s="709"/>
      <c r="Y41" s="3685"/>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83"/>
      <c r="Q42" s="1351" t="str">
        <f t="shared" si="11"/>
        <v>内部装修</v>
      </c>
      <c r="R42" s="704" t="s">
        <v>14</v>
      </c>
      <c r="S42" s="705">
        <f t="shared" si="12"/>
        <v>100</v>
      </c>
      <c r="T42" s="704" t="s">
        <v>14</v>
      </c>
      <c r="U42" s="705">
        <f t="shared" si="13"/>
        <v>100</v>
      </c>
      <c r="V42" s="704" t="s">
        <v>14</v>
      </c>
      <c r="W42" s="705">
        <f t="shared" si="14"/>
        <v>100</v>
      </c>
      <c r="X42" s="1354"/>
      <c r="Y42" s="3685"/>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83"/>
      <c r="Q43" s="1351" t="str">
        <f t="shared" si="11"/>
        <v>内部装修维护情况</v>
      </c>
      <c r="R43" s="704" t="s">
        <v>14</v>
      </c>
      <c r="S43" s="705">
        <f t="shared" si="12"/>
        <v>100</v>
      </c>
      <c r="T43" s="704" t="s">
        <v>14</v>
      </c>
      <c r="U43" s="705">
        <f t="shared" si="13"/>
        <v>100</v>
      </c>
      <c r="V43" s="704" t="s">
        <v>14</v>
      </c>
      <c r="W43" s="705">
        <f t="shared" si="14"/>
        <v>100</v>
      </c>
      <c r="X43" s="1354"/>
      <c r="Y43" s="3685"/>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3"/>
      <c r="Q44" s="1342">
        <f t="shared" si="11"/>
        <v>111</v>
      </c>
      <c r="R44" s="700" t="s">
        <v>14</v>
      </c>
      <c r="S44" s="701">
        <f t="shared" si="12"/>
        <v>100</v>
      </c>
      <c r="T44" s="700" t="s">
        <v>14</v>
      </c>
      <c r="U44" s="701">
        <f t="shared" si="13"/>
        <v>100</v>
      </c>
      <c r="V44" s="700" t="s">
        <v>14</v>
      </c>
      <c r="W44" s="701">
        <f t="shared" si="14"/>
        <v>100</v>
      </c>
      <c r="X44" s="702"/>
      <c r="Y44" s="3685"/>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3"/>
      <c r="Q45" s="1351">
        <f t="shared" si="11"/>
        <v>111</v>
      </c>
      <c r="R45" s="704" t="s">
        <v>14</v>
      </c>
      <c r="S45" s="705">
        <f t="shared" si="12"/>
        <v>100</v>
      </c>
      <c r="T45" s="704" t="s">
        <v>14</v>
      </c>
      <c r="U45" s="705">
        <f t="shared" si="13"/>
        <v>100</v>
      </c>
      <c r="V45" s="704" t="s">
        <v>14</v>
      </c>
      <c r="W45" s="705">
        <f t="shared" si="14"/>
        <v>100</v>
      </c>
      <c r="X45" s="1354"/>
      <c r="Y45" s="3685"/>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4"/>
      <c r="Q46" s="1351">
        <f t="shared" si="11"/>
        <v>111</v>
      </c>
      <c r="R46" s="704" t="s">
        <v>14</v>
      </c>
      <c r="S46" s="705">
        <f t="shared" si="12"/>
        <v>100</v>
      </c>
      <c r="T46" s="704" t="s">
        <v>14</v>
      </c>
      <c r="U46" s="705">
        <f t="shared" si="13"/>
        <v>100</v>
      </c>
      <c r="V46" s="704" t="s">
        <v>14</v>
      </c>
      <c r="W46" s="705">
        <f t="shared" si="14"/>
        <v>100</v>
      </c>
      <c r="X46" s="1354"/>
      <c r="Y46" s="3686"/>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3"/>
      <c r="M47" s="2724"/>
      <c r="N47" s="2715"/>
      <c r="O47" s="2724"/>
      <c r="P47" s="3673" t="str">
        <f>A47</f>
        <v>成交单价（元/平方米）</v>
      </c>
      <c r="Q47" s="3673"/>
      <c r="R47" s="3707">
        <f>E47</f>
        <v>0</v>
      </c>
      <c r="S47" s="3707"/>
      <c r="T47" s="3707">
        <f>G47</f>
        <v>0</v>
      </c>
      <c r="U47" s="3707"/>
      <c r="V47" s="3707">
        <f>I47</f>
        <v>0</v>
      </c>
      <c r="W47" s="3707"/>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3"/>
      <c r="M49" s="2724"/>
      <c r="N49" s="2715"/>
      <c r="O49" s="2724"/>
      <c r="P49" s="3744" t="str">
        <f>A49</f>
        <v>估价对象XX用房的比较价值（楼面单价，元/平方米）</v>
      </c>
      <c r="Q49" s="3745"/>
      <c r="R49" s="3746" t="e">
        <f>IF(F1="售价",ROUND(IF(D48="简单平均",AVERAGE(R48:V48),R48*F48+T48*H48+V48*J48),0),ROUND(IF(D48="简单平均",AVERAGE(R48:V48),R48*F48+T48*H48+V48*J48),1))</f>
        <v>#DIV/0!</v>
      </c>
      <c r="S49" s="3746"/>
      <c r="T49" s="3746"/>
      <c r="U49" s="3746"/>
      <c r="V49" s="3746"/>
      <c r="W49" s="3746"/>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v>
      </c>
      <c r="D58" s="1184">
        <f>EDATE(C58,-1)</f>
        <v>44896</v>
      </c>
      <c r="E58" s="1184">
        <f t="shared" ref="E58:N58" si="16">EDATE(D58,-1)</f>
        <v>44866</v>
      </c>
      <c r="F58" s="1184">
        <f t="shared" si="16"/>
        <v>44835</v>
      </c>
      <c r="G58" s="1184">
        <f t="shared" si="16"/>
        <v>44805</v>
      </c>
      <c r="H58" s="1184">
        <f t="shared" si="16"/>
        <v>44774</v>
      </c>
      <c r="I58" s="1184">
        <f t="shared" si="16"/>
        <v>44743</v>
      </c>
      <c r="J58" s="1184">
        <f t="shared" si="16"/>
        <v>44713</v>
      </c>
      <c r="K58" s="1184">
        <f t="shared" si="16"/>
        <v>44682</v>
      </c>
      <c r="L58" s="1184">
        <f t="shared" si="16"/>
        <v>44652</v>
      </c>
      <c r="M58" s="1184">
        <f t="shared" si="16"/>
        <v>44621</v>
      </c>
      <c r="N58" s="1184">
        <f t="shared" si="16"/>
        <v>44593</v>
      </c>
      <c r="O58" s="1184">
        <f>EDATE(N58,-1)</f>
        <v>44562</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8" priority="21" stopIfTrue="1" operator="containsText" text="超过">
      <formula>NOT(ISERROR(SEARCH("超过",F52)))</formula>
    </cfRule>
  </conditionalFormatting>
  <conditionalFormatting sqref="H54">
    <cfRule type="containsText" dxfId="127" priority="19" stopIfTrue="1" operator="containsText" text="超过">
      <formula>NOT(ISERROR(SEARCH("超过",H54)))</formula>
    </cfRule>
  </conditionalFormatting>
  <conditionalFormatting sqref="F54">
    <cfRule type="containsText" dxfId="126" priority="18" stopIfTrue="1" operator="containsText" text="超过">
      <formula>NOT(ISERROR(SEARCH("超过",F54)))</formula>
    </cfRule>
  </conditionalFormatting>
  <conditionalFormatting sqref="F53 H53">
    <cfRule type="containsText" dxfId="125" priority="17" stopIfTrue="1" operator="containsText" text="超过">
      <formula>NOT(ISERROR(SEARCH("超过",F53)))</formula>
    </cfRule>
  </conditionalFormatting>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J52">
    <cfRule type="containsText" dxfId="118" priority="10" stopIfTrue="1" operator="containsText" text="超过">
      <formula>NOT(ISERROR(SEARCH("超过",J52)))</formula>
    </cfRule>
  </conditionalFormatting>
  <conditionalFormatting sqref="J54">
    <cfRule type="containsText" dxfId="117" priority="9" stopIfTrue="1" operator="containsText" text="超过">
      <formula>NOT(ISERROR(SEARCH("超过",J54)))</formula>
    </cfRule>
  </conditionalFormatting>
  <conditionalFormatting sqref="J53">
    <cfRule type="containsText" dxfId="116" priority="8" stopIfTrue="1" operator="containsText" text="超过">
      <formula>NOT(ISERROR(SEARCH("超过",J53)))</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91.97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912"/>
      <c r="M4" s="913"/>
      <c r="N4" s="913"/>
      <c r="O4" s="913"/>
      <c r="P4" s="3748" t="s">
        <v>1775</v>
      </c>
      <c r="Q4" s="3749"/>
      <c r="R4" s="3752" t="s">
        <v>1771</v>
      </c>
      <c r="S4" s="3753"/>
      <c r="T4" s="3752" t="s">
        <v>1772</v>
      </c>
      <c r="U4" s="3753"/>
      <c r="V4" s="3707" t="s">
        <v>1773</v>
      </c>
      <c r="W4" s="3707"/>
      <c r="X4" s="1354"/>
      <c r="Y4" s="3752" t="s">
        <v>1775</v>
      </c>
      <c r="Z4" s="3753"/>
      <c r="AA4" s="3747" t="s">
        <v>1771</v>
      </c>
      <c r="AB4" s="3719" t="s">
        <v>1772</v>
      </c>
      <c r="AC4" s="3747" t="s">
        <v>1773</v>
      </c>
    </row>
    <row r="5" spans="1:29" ht="15">
      <c r="A5" s="358"/>
      <c r="B5" s="359"/>
      <c r="C5" s="3710" t="s">
        <v>1673</v>
      </c>
      <c r="D5" s="3711"/>
      <c r="E5" s="3721" t="s">
        <v>1674</v>
      </c>
      <c r="F5" s="3722"/>
      <c r="G5" s="3710" t="s">
        <v>1675</v>
      </c>
      <c r="H5" s="3711"/>
      <c r="I5" s="3710" t="s">
        <v>1676</v>
      </c>
      <c r="J5" s="3711"/>
      <c r="K5" s="559"/>
      <c r="L5" s="912"/>
      <c r="M5" s="913"/>
      <c r="N5" s="913"/>
      <c r="O5" s="913"/>
      <c r="P5" s="3750"/>
      <c r="Q5" s="3697"/>
      <c r="R5" s="3702"/>
      <c r="S5" s="3703"/>
      <c r="T5" s="3702"/>
      <c r="U5" s="3703"/>
      <c r="V5" s="3707"/>
      <c r="W5" s="3707"/>
      <c r="X5" s="1354"/>
      <c r="Y5" s="3702"/>
      <c r="Z5" s="3703"/>
      <c r="AA5" s="3719"/>
      <c r="AB5" s="3719"/>
      <c r="AC5" s="3719"/>
    </row>
    <row r="6" spans="1:29" ht="15.75" thickBot="1">
      <c r="A6" s="360"/>
      <c r="B6" s="361"/>
      <c r="C6" s="3708" t="s">
        <v>1677</v>
      </c>
      <c r="D6" s="3709"/>
      <c r="E6" s="3716" t="s">
        <v>1677</v>
      </c>
      <c r="F6" s="3717"/>
      <c r="G6" s="3708" t="s">
        <v>1677</v>
      </c>
      <c r="H6" s="3709"/>
      <c r="I6" s="3708" t="s">
        <v>1677</v>
      </c>
      <c r="J6" s="3709"/>
      <c r="K6" s="559" t="s">
        <v>1678</v>
      </c>
      <c r="L6" s="912"/>
      <c r="M6" s="913"/>
      <c r="N6" s="913"/>
      <c r="O6" s="913"/>
      <c r="P6" s="3751"/>
      <c r="Q6" s="3699"/>
      <c r="R6" s="3702"/>
      <c r="S6" s="3703"/>
      <c r="T6" s="3704"/>
      <c r="U6" s="3705"/>
      <c r="V6" s="3707"/>
      <c r="W6" s="3707"/>
      <c r="X6" s="1354"/>
      <c r="Y6" s="3704"/>
      <c r="Z6" s="3705"/>
      <c r="AA6" s="3720"/>
      <c r="AB6" s="3720"/>
      <c r="AC6" s="3720"/>
    </row>
    <row r="7" spans="1:29" s="108" customFormat="1" ht="15.75" thickBot="1">
      <c r="A7" s="362" t="s">
        <v>1679</v>
      </c>
      <c r="B7" s="363"/>
      <c r="C7" s="364">
        <f>'数据-取费表'!B2</f>
        <v>44939</v>
      </c>
      <c r="D7" s="365">
        <v>100</v>
      </c>
      <c r="E7" s="366"/>
      <c r="F7" s="367">
        <f>SUMIF(52:52,YEAR(E7)&amp;"-"&amp;MONTH(E7),53:53)</f>
        <v>0</v>
      </c>
      <c r="G7" s="366"/>
      <c r="H7" s="365">
        <f>SUMIF(52:52,YEAR(G7)&amp;"-"&amp;MONTH(G7),53:53)</f>
        <v>0</v>
      </c>
      <c r="I7" s="366"/>
      <c r="J7" s="365">
        <f>SUMIF(52:52,YEAR(I7)&amp;"-"&amp;MONTH(I7),53:53)</f>
        <v>0</v>
      </c>
      <c r="K7" s="560"/>
      <c r="L7" s="914"/>
      <c r="M7" s="915"/>
      <c r="N7" s="915"/>
      <c r="O7" s="915"/>
      <c r="P7" s="3714" t="s">
        <v>1680</v>
      </c>
      <c r="Q7" s="3715"/>
      <c r="R7" s="700" t="s">
        <v>14</v>
      </c>
      <c r="S7" s="701">
        <f t="shared" ref="S7:S15" si="0">F7</f>
        <v>0</v>
      </c>
      <c r="T7" s="700" t="s">
        <v>14</v>
      </c>
      <c r="U7" s="701">
        <f t="shared" ref="U7:U15" si="1">H7</f>
        <v>0</v>
      </c>
      <c r="V7" s="700" t="s">
        <v>14</v>
      </c>
      <c r="W7" s="701">
        <f t="shared" ref="W7:W15" si="2">J7</f>
        <v>0</v>
      </c>
      <c r="X7" s="702"/>
      <c r="Y7" s="3714" t="s">
        <v>1680</v>
      </c>
      <c r="Z7" s="3713"/>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4" t="s">
        <v>1683</v>
      </c>
      <c r="Q8" s="3713"/>
      <c r="R8" s="700" t="s">
        <v>14</v>
      </c>
      <c r="S8" s="701">
        <f t="shared" si="0"/>
        <v>100</v>
      </c>
      <c r="T8" s="700" t="s">
        <v>14</v>
      </c>
      <c r="U8" s="701">
        <f t="shared" si="1"/>
        <v>100</v>
      </c>
      <c r="V8" s="700" t="s">
        <v>14</v>
      </c>
      <c r="W8" s="701">
        <f t="shared" si="2"/>
        <v>100</v>
      </c>
      <c r="X8" s="702"/>
      <c r="Y8" s="3714" t="s">
        <v>1683</v>
      </c>
      <c r="Z8" s="3713"/>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73" t="s">
        <v>1686</v>
      </c>
      <c r="Q9" s="1342" t="str">
        <f t="shared" ref="Q9:Q15" si="6">B9</f>
        <v>用途</v>
      </c>
      <c r="R9" s="700" t="s">
        <v>14</v>
      </c>
      <c r="S9" s="701">
        <f t="shared" si="0"/>
        <v>100</v>
      </c>
      <c r="T9" s="700" t="s">
        <v>14</v>
      </c>
      <c r="U9" s="701">
        <f t="shared" si="1"/>
        <v>100</v>
      </c>
      <c r="V9" s="700" t="s">
        <v>14</v>
      </c>
      <c r="W9" s="701">
        <f t="shared" si="2"/>
        <v>100</v>
      </c>
      <c r="X9" s="702"/>
      <c r="Y9" s="3571"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7"/>
      <c r="M10" s="918"/>
      <c r="N10" s="918"/>
      <c r="O10" s="919"/>
      <c r="P10" s="3673"/>
      <c r="Q10" s="1342" t="str">
        <f t="shared" si="6"/>
        <v>土地使用年限（年）</v>
      </c>
      <c r="R10" s="700" t="s">
        <v>14</v>
      </c>
      <c r="S10" s="701">
        <f t="shared" si="0"/>
        <v>100</v>
      </c>
      <c r="T10" s="700" t="s">
        <v>14</v>
      </c>
      <c r="U10" s="701">
        <f t="shared" si="1"/>
        <v>100</v>
      </c>
      <c r="V10" s="700" t="s">
        <v>14</v>
      </c>
      <c r="W10" s="701">
        <f t="shared" si="2"/>
        <v>100</v>
      </c>
      <c r="X10" s="702"/>
      <c r="Y10" s="3571"/>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73"/>
      <c r="Q11" s="1342" t="str">
        <f t="shared" si="6"/>
        <v>容积率</v>
      </c>
      <c r="R11" s="700" t="s">
        <v>14</v>
      </c>
      <c r="S11" s="701">
        <f t="shared" si="0"/>
        <v>100</v>
      </c>
      <c r="T11" s="700" t="s">
        <v>14</v>
      </c>
      <c r="U11" s="701">
        <f t="shared" si="1"/>
        <v>100</v>
      </c>
      <c r="V11" s="700" t="s">
        <v>14</v>
      </c>
      <c r="W11" s="701">
        <f t="shared" si="2"/>
        <v>100</v>
      </c>
      <c r="X11" s="702"/>
      <c r="Y11" s="357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73"/>
      <c r="Q12" s="1342">
        <f t="shared" si="6"/>
        <v>111</v>
      </c>
      <c r="R12" s="700" t="s">
        <v>14</v>
      </c>
      <c r="S12" s="701">
        <f t="shared" si="0"/>
        <v>100</v>
      </c>
      <c r="T12" s="700" t="s">
        <v>14</v>
      </c>
      <c r="U12" s="701">
        <f t="shared" si="1"/>
        <v>100</v>
      </c>
      <c r="V12" s="700" t="s">
        <v>14</v>
      </c>
      <c r="W12" s="701">
        <f t="shared" si="2"/>
        <v>100</v>
      </c>
      <c r="X12" s="702"/>
      <c r="Y12" s="357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73"/>
      <c r="Q13" s="1342">
        <f t="shared" si="6"/>
        <v>111</v>
      </c>
      <c r="R13" s="700" t="s">
        <v>14</v>
      </c>
      <c r="S13" s="701">
        <f t="shared" si="0"/>
        <v>100</v>
      </c>
      <c r="T13" s="700" t="s">
        <v>14</v>
      </c>
      <c r="U13" s="701">
        <f t="shared" si="1"/>
        <v>100</v>
      </c>
      <c r="V13" s="700" t="s">
        <v>14</v>
      </c>
      <c r="W13" s="701">
        <f t="shared" si="2"/>
        <v>100</v>
      </c>
      <c r="X13" s="702"/>
      <c r="Y13" s="357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73"/>
      <c r="Q14" s="1342">
        <f t="shared" si="6"/>
        <v>111</v>
      </c>
      <c r="R14" s="700" t="s">
        <v>14</v>
      </c>
      <c r="S14" s="701">
        <f t="shared" si="0"/>
        <v>100</v>
      </c>
      <c r="T14" s="700" t="s">
        <v>14</v>
      </c>
      <c r="U14" s="701">
        <f t="shared" si="1"/>
        <v>100</v>
      </c>
      <c r="V14" s="700" t="s">
        <v>14</v>
      </c>
      <c r="W14" s="701">
        <f t="shared" si="2"/>
        <v>100</v>
      </c>
      <c r="X14" s="702"/>
      <c r="Y14" s="3571"/>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0" t="s">
        <v>1691</v>
      </c>
      <c r="Q15" s="1351" t="str">
        <f t="shared" si="6"/>
        <v>产业集聚程度</v>
      </c>
      <c r="R15" s="704" t="s">
        <v>14</v>
      </c>
      <c r="S15" s="705">
        <f t="shared" si="0"/>
        <v>100</v>
      </c>
      <c r="T15" s="704" t="s">
        <v>14</v>
      </c>
      <c r="U15" s="705">
        <f t="shared" si="1"/>
        <v>100</v>
      </c>
      <c r="V15" s="704" t="s">
        <v>14</v>
      </c>
      <c r="W15" s="705">
        <f t="shared" si="2"/>
        <v>100</v>
      </c>
      <c r="X15" s="1354"/>
      <c r="Y15" s="3680"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81"/>
      <c r="Q16" s="1351"/>
      <c r="R16" s="704"/>
      <c r="S16" s="705"/>
      <c r="T16" s="704"/>
      <c r="U16" s="705"/>
      <c r="V16" s="704"/>
      <c r="W16" s="705"/>
      <c r="X16" s="1354"/>
      <c r="Y16" s="3681"/>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1"/>
      <c r="Q17" s="1351" t="str">
        <f>B17</f>
        <v>交通便捷度</v>
      </c>
      <c r="R17" s="704" t="s">
        <v>14</v>
      </c>
      <c r="S17" s="705">
        <f>F17</f>
        <v>100</v>
      </c>
      <c r="T17" s="704" t="s">
        <v>14</v>
      </c>
      <c r="U17" s="705">
        <f>H17</f>
        <v>100</v>
      </c>
      <c r="V17" s="704" t="s">
        <v>14</v>
      </c>
      <c r="W17" s="705">
        <f>J17</f>
        <v>100</v>
      </c>
      <c r="X17" s="1354"/>
      <c r="Y17" s="3681"/>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81"/>
      <c r="Q18" s="1351"/>
      <c r="R18" s="704"/>
      <c r="S18" s="705"/>
      <c r="T18" s="704"/>
      <c r="U18" s="705"/>
      <c r="V18" s="704"/>
      <c r="W18" s="705"/>
      <c r="X18" s="1354"/>
      <c r="Y18" s="3681"/>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1"/>
      <c r="Q19" s="1351" t="str">
        <f>B19</f>
        <v>公共配套设施</v>
      </c>
      <c r="R19" s="704" t="s">
        <v>14</v>
      </c>
      <c r="S19" s="705">
        <f>F19</f>
        <v>100</v>
      </c>
      <c r="T19" s="704" t="s">
        <v>14</v>
      </c>
      <c r="U19" s="705">
        <f>H19</f>
        <v>100</v>
      </c>
      <c r="V19" s="704" t="s">
        <v>14</v>
      </c>
      <c r="W19" s="705">
        <f>J19</f>
        <v>100</v>
      </c>
      <c r="X19" s="1354"/>
      <c r="Y19" s="3681"/>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81"/>
      <c r="Q20" s="1351"/>
      <c r="R20" s="704"/>
      <c r="S20" s="705"/>
      <c r="T20" s="704"/>
      <c r="U20" s="705"/>
      <c r="V20" s="704"/>
      <c r="W20" s="705"/>
      <c r="X20" s="1354"/>
      <c r="Y20" s="3681"/>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1"/>
      <c r="Q21" s="1351" t="str">
        <f>B21</f>
        <v>基础设施水平</v>
      </c>
      <c r="R21" s="704" t="s">
        <v>14</v>
      </c>
      <c r="S21" s="705">
        <f>F21</f>
        <v>100</v>
      </c>
      <c r="T21" s="704" t="s">
        <v>14</v>
      </c>
      <c r="U21" s="705">
        <f>H21</f>
        <v>100</v>
      </c>
      <c r="V21" s="704" t="s">
        <v>14</v>
      </c>
      <c r="W21" s="705">
        <f>J21</f>
        <v>100</v>
      </c>
      <c r="X21" s="1354"/>
      <c r="Y21" s="3681"/>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81"/>
      <c r="Q22" s="1351"/>
      <c r="R22" s="704"/>
      <c r="S22" s="705"/>
      <c r="T22" s="704"/>
      <c r="U22" s="705"/>
      <c r="V22" s="704"/>
      <c r="W22" s="705"/>
      <c r="X22" s="1354"/>
      <c r="Y22" s="3681"/>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1"/>
      <c r="Q23" s="1351" t="str">
        <f>B23</f>
        <v>环境质量</v>
      </c>
      <c r="R23" s="704" t="s">
        <v>14</v>
      </c>
      <c r="S23" s="705">
        <f>F23</f>
        <v>100</v>
      </c>
      <c r="T23" s="704" t="s">
        <v>14</v>
      </c>
      <c r="U23" s="705">
        <f>H23</f>
        <v>100</v>
      </c>
      <c r="V23" s="704" t="s">
        <v>14</v>
      </c>
      <c r="W23" s="705">
        <f>J23</f>
        <v>100</v>
      </c>
      <c r="X23" s="1354"/>
      <c r="Y23" s="3681"/>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81"/>
      <c r="Q24" s="1351"/>
      <c r="R24" s="704"/>
      <c r="S24" s="705"/>
      <c r="T24" s="704"/>
      <c r="U24" s="705"/>
      <c r="V24" s="704"/>
      <c r="W24" s="705"/>
      <c r="X24" s="1354"/>
      <c r="Y24" s="3681"/>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1"/>
      <c r="Q25" s="1351">
        <f>B25</f>
        <v>111</v>
      </c>
      <c r="R25" s="704" t="s">
        <v>14</v>
      </c>
      <c r="S25" s="705">
        <f>F25</f>
        <v>100</v>
      </c>
      <c r="T25" s="704" t="s">
        <v>14</v>
      </c>
      <c r="U25" s="705">
        <f>H25</f>
        <v>100</v>
      </c>
      <c r="V25" s="704" t="s">
        <v>14</v>
      </c>
      <c r="W25" s="705">
        <f>J25</f>
        <v>100</v>
      </c>
      <c r="X25" s="1354"/>
      <c r="Y25" s="3681"/>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1"/>
      <c r="Q26" s="1351">
        <f t="shared" ref="Q26:Q40" si="11">B26</f>
        <v>111</v>
      </c>
      <c r="R26" s="704" t="s">
        <v>14</v>
      </c>
      <c r="S26" s="705">
        <f>F26</f>
        <v>100</v>
      </c>
      <c r="T26" s="704" t="s">
        <v>14</v>
      </c>
      <c r="U26" s="705">
        <f>H26</f>
        <v>100</v>
      </c>
      <c r="V26" s="704" t="s">
        <v>14</v>
      </c>
      <c r="W26" s="705">
        <f>J26</f>
        <v>100</v>
      </c>
      <c r="X26" s="1354"/>
      <c r="Y26" s="3681"/>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1"/>
      <c r="Q27" s="1342">
        <f t="shared" si="11"/>
        <v>111</v>
      </c>
      <c r="R27" s="700" t="s">
        <v>14</v>
      </c>
      <c r="S27" s="701">
        <f>F27</f>
        <v>100</v>
      </c>
      <c r="T27" s="700" t="s">
        <v>14</v>
      </c>
      <c r="U27" s="701">
        <f>H27</f>
        <v>100</v>
      </c>
      <c r="V27" s="700" t="s">
        <v>14</v>
      </c>
      <c r="W27" s="701">
        <f>J27</f>
        <v>100</v>
      </c>
      <c r="X27" s="702"/>
      <c r="Y27" s="3681"/>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1"/>
      <c r="Q28" s="1351">
        <f t="shared" si="11"/>
        <v>111</v>
      </c>
      <c r="R28" s="704" t="s">
        <v>14</v>
      </c>
      <c r="S28" s="705">
        <f t="shared" ref="S28:S40" si="12">F28</f>
        <v>100</v>
      </c>
      <c r="T28" s="704" t="s">
        <v>14</v>
      </c>
      <c r="U28" s="705">
        <f t="shared" ref="U28:U40" si="13">H28</f>
        <v>100</v>
      </c>
      <c r="V28" s="704" t="s">
        <v>14</v>
      </c>
      <c r="W28" s="705">
        <f t="shared" ref="W28:W40" si="14">J28</f>
        <v>100</v>
      </c>
      <c r="X28" s="1354"/>
      <c r="Y28" s="3681"/>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54" t="s">
        <v>1696</v>
      </c>
      <c r="Q29" s="1351" t="str">
        <f t="shared" si="11"/>
        <v>建筑类型</v>
      </c>
      <c r="R29" s="704" t="s">
        <v>14</v>
      </c>
      <c r="S29" s="705">
        <f t="shared" si="12"/>
        <v>100</v>
      </c>
      <c r="T29" s="704" t="s">
        <v>14</v>
      </c>
      <c r="U29" s="705">
        <f t="shared" si="13"/>
        <v>100</v>
      </c>
      <c r="V29" s="704" t="s">
        <v>14</v>
      </c>
      <c r="W29" s="705">
        <f t="shared" si="14"/>
        <v>100</v>
      </c>
      <c r="X29" s="1354"/>
      <c r="Y29" s="3685"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5"/>
      <c r="Q30" s="706" t="str">
        <f t="shared" si="11"/>
        <v>项目建筑规模</v>
      </c>
      <c r="R30" s="707" t="s">
        <v>14</v>
      </c>
      <c r="S30" s="708" t="e">
        <f t="shared" si="12"/>
        <v>#N/A</v>
      </c>
      <c r="T30" s="707" t="s">
        <v>14</v>
      </c>
      <c r="U30" s="708" t="e">
        <f t="shared" si="13"/>
        <v>#N/A</v>
      </c>
      <c r="V30" s="707" t="s">
        <v>14</v>
      </c>
      <c r="W30" s="708" t="e">
        <f t="shared" si="14"/>
        <v>#N/A</v>
      </c>
      <c r="X30" s="709"/>
      <c r="Y30" s="3685"/>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5"/>
      <c r="Q31" s="1351" t="str">
        <f t="shared" si="11"/>
        <v>建筑结构</v>
      </c>
      <c r="R31" s="704" t="s">
        <v>14</v>
      </c>
      <c r="S31" s="705">
        <f t="shared" si="12"/>
        <v>100</v>
      </c>
      <c r="T31" s="704" t="s">
        <v>14</v>
      </c>
      <c r="U31" s="705">
        <f t="shared" si="13"/>
        <v>100</v>
      </c>
      <c r="V31" s="704" t="s">
        <v>14</v>
      </c>
      <c r="W31" s="705">
        <f t="shared" si="14"/>
        <v>100</v>
      </c>
      <c r="X31" s="1354"/>
      <c r="Y31" s="3685"/>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5"/>
      <c r="Q32" s="1351" t="str">
        <f t="shared" si="11"/>
        <v>公共部分装修</v>
      </c>
      <c r="R32" s="704" t="s">
        <v>14</v>
      </c>
      <c r="S32" s="705">
        <f t="shared" si="12"/>
        <v>100</v>
      </c>
      <c r="T32" s="704" t="s">
        <v>14</v>
      </c>
      <c r="U32" s="705">
        <f t="shared" si="13"/>
        <v>100</v>
      </c>
      <c r="V32" s="704" t="s">
        <v>14</v>
      </c>
      <c r="W32" s="705">
        <f t="shared" si="14"/>
        <v>100</v>
      </c>
      <c r="X32" s="1354"/>
      <c r="Y32" s="3685"/>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5"/>
      <c r="Q33" s="1351" t="str">
        <f t="shared" si="11"/>
        <v>成新度</v>
      </c>
      <c r="R33" s="704" t="s">
        <v>14</v>
      </c>
      <c r="S33" s="705" t="e">
        <f t="shared" si="12"/>
        <v>#N/A</v>
      </c>
      <c r="T33" s="704" t="s">
        <v>14</v>
      </c>
      <c r="U33" s="705" t="e">
        <f t="shared" si="13"/>
        <v>#N/A</v>
      </c>
      <c r="V33" s="704" t="s">
        <v>14</v>
      </c>
      <c r="W33" s="705" t="e">
        <f t="shared" si="14"/>
        <v>#N/A</v>
      </c>
      <c r="X33" s="1354"/>
      <c r="Y33" s="3685"/>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5"/>
      <c r="Q34" s="1342" t="str">
        <f t="shared" si="11"/>
        <v>物业管理</v>
      </c>
      <c r="R34" s="700" t="s">
        <v>14</v>
      </c>
      <c r="S34" s="701">
        <f t="shared" si="12"/>
        <v>100</v>
      </c>
      <c r="T34" s="700" t="s">
        <v>14</v>
      </c>
      <c r="U34" s="701">
        <f t="shared" si="13"/>
        <v>100</v>
      </c>
      <c r="V34" s="700" t="s">
        <v>14</v>
      </c>
      <c r="W34" s="701">
        <f t="shared" si="14"/>
        <v>100</v>
      </c>
      <c r="X34" s="702"/>
      <c r="Y34" s="3685"/>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5" t="s">
        <v>1696</v>
      </c>
      <c r="Q35" s="1351" t="str">
        <f t="shared" si="11"/>
        <v>市政基础设施</v>
      </c>
      <c r="R35" s="704" t="s">
        <v>14</v>
      </c>
      <c r="S35" s="705">
        <f t="shared" si="12"/>
        <v>100</v>
      </c>
      <c r="T35" s="704" t="s">
        <v>14</v>
      </c>
      <c r="U35" s="705">
        <f t="shared" si="13"/>
        <v>100</v>
      </c>
      <c r="V35" s="704" t="s">
        <v>14</v>
      </c>
      <c r="W35" s="705">
        <f t="shared" si="14"/>
        <v>100</v>
      </c>
      <c r="X35" s="1354"/>
      <c r="Y35" s="3685"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5"/>
      <c r="Q36" s="1351" t="str">
        <f t="shared" si="11"/>
        <v>内部装修</v>
      </c>
      <c r="R36" s="704" t="s">
        <v>14</v>
      </c>
      <c r="S36" s="705">
        <f t="shared" si="12"/>
        <v>100</v>
      </c>
      <c r="T36" s="704" t="s">
        <v>14</v>
      </c>
      <c r="U36" s="705">
        <f t="shared" si="13"/>
        <v>100</v>
      </c>
      <c r="V36" s="704" t="s">
        <v>14</v>
      </c>
      <c r="W36" s="705">
        <f t="shared" si="14"/>
        <v>100</v>
      </c>
      <c r="X36" s="1354"/>
      <c r="Y36" s="3685"/>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5"/>
      <c r="Q37" s="1351" t="str">
        <f t="shared" si="11"/>
        <v>内部装修状况</v>
      </c>
      <c r="R37" s="704" t="s">
        <v>14</v>
      </c>
      <c r="S37" s="705">
        <f t="shared" si="12"/>
        <v>100</v>
      </c>
      <c r="T37" s="704" t="s">
        <v>14</v>
      </c>
      <c r="U37" s="705">
        <f t="shared" si="13"/>
        <v>100</v>
      </c>
      <c r="V37" s="704" t="s">
        <v>14</v>
      </c>
      <c r="W37" s="705">
        <f t="shared" si="14"/>
        <v>100</v>
      </c>
      <c r="X37" s="1354"/>
      <c r="Y37" s="3685"/>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5"/>
      <c r="Q38" s="706">
        <f t="shared" si="11"/>
        <v>111</v>
      </c>
      <c r="R38" s="707" t="s">
        <v>14</v>
      </c>
      <c r="S38" s="708">
        <f t="shared" si="12"/>
        <v>100</v>
      </c>
      <c r="T38" s="707" t="s">
        <v>14</v>
      </c>
      <c r="U38" s="708">
        <f t="shared" si="13"/>
        <v>100</v>
      </c>
      <c r="V38" s="707" t="s">
        <v>14</v>
      </c>
      <c r="W38" s="708">
        <f t="shared" si="14"/>
        <v>100</v>
      </c>
      <c r="X38" s="709"/>
      <c r="Y38" s="3685"/>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5"/>
      <c r="Q39" s="1351">
        <f t="shared" si="11"/>
        <v>111</v>
      </c>
      <c r="R39" s="704" t="s">
        <v>14</v>
      </c>
      <c r="S39" s="705">
        <f t="shared" si="12"/>
        <v>100</v>
      </c>
      <c r="T39" s="704" t="s">
        <v>14</v>
      </c>
      <c r="U39" s="705">
        <f t="shared" si="13"/>
        <v>100</v>
      </c>
      <c r="V39" s="704" t="s">
        <v>14</v>
      </c>
      <c r="W39" s="705">
        <f t="shared" si="14"/>
        <v>100</v>
      </c>
      <c r="X39" s="1354"/>
      <c r="Y39" s="3685"/>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6"/>
      <c r="Q40" s="1351">
        <f t="shared" si="11"/>
        <v>111</v>
      </c>
      <c r="R40" s="704" t="s">
        <v>14</v>
      </c>
      <c r="S40" s="705">
        <f t="shared" si="12"/>
        <v>100</v>
      </c>
      <c r="T40" s="704" t="s">
        <v>14</v>
      </c>
      <c r="U40" s="705">
        <f t="shared" si="13"/>
        <v>100</v>
      </c>
      <c r="V40" s="704" t="s">
        <v>14</v>
      </c>
      <c r="W40" s="705">
        <f t="shared" si="14"/>
        <v>100</v>
      </c>
      <c r="X40" s="1354"/>
      <c r="Y40" s="3686"/>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73" t="str">
        <f>A41</f>
        <v>成交单价（元/平方米）</v>
      </c>
      <c r="Q41" s="3673"/>
      <c r="R41" s="3674">
        <f>E41</f>
        <v>0</v>
      </c>
      <c r="S41" s="3674"/>
      <c r="T41" s="3674">
        <f>G41</f>
        <v>0</v>
      </c>
      <c r="U41" s="3674"/>
      <c r="V41" s="3674">
        <f>I41</f>
        <v>0</v>
      </c>
      <c r="W41" s="3674"/>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44" t="str">
        <f>A43</f>
        <v>估价对象XX用房的比较价值（楼面单价，元/平方米）</v>
      </c>
      <c r="Q43" s="3745"/>
      <c r="R43" s="3746" t="e">
        <f>IF(F1="售价",ROUND(IF(D42="简单平均",AVERAGE(R42:V42),R42*F42+T42*H42+V42*J42),0),ROUND(IF(D42="简单平均",AVERAGE(R42:V42),R42*F42+T42*H42+V42*J42),1))</f>
        <v>#DIV/0!</v>
      </c>
      <c r="S43" s="3746"/>
      <c r="T43" s="3746"/>
      <c r="U43" s="3746"/>
      <c r="V43" s="3746"/>
      <c r="W43" s="3746"/>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v>
      </c>
      <c r="D52" s="1184">
        <f>EDATE(C52,-1)</f>
        <v>44896</v>
      </c>
      <c r="E52" s="1184">
        <f t="shared" ref="E52:O52" si="16">EDATE(D52,-1)</f>
        <v>44866</v>
      </c>
      <c r="F52" s="1184">
        <f t="shared" si="16"/>
        <v>44835</v>
      </c>
      <c r="G52" s="1184">
        <f t="shared" si="16"/>
        <v>44805</v>
      </c>
      <c r="H52" s="1184">
        <f t="shared" si="16"/>
        <v>44774</v>
      </c>
      <c r="I52" s="1184">
        <f t="shared" si="16"/>
        <v>44743</v>
      </c>
      <c r="J52" s="1184">
        <f t="shared" si="16"/>
        <v>44713</v>
      </c>
      <c r="K52" s="1184">
        <f t="shared" si="16"/>
        <v>44682</v>
      </c>
      <c r="L52" s="1184">
        <f t="shared" si="16"/>
        <v>44652</v>
      </c>
      <c r="M52" s="1184">
        <f t="shared" si="16"/>
        <v>44621</v>
      </c>
      <c r="N52" s="1184">
        <f t="shared" si="16"/>
        <v>44593</v>
      </c>
      <c r="O52" s="1184">
        <f t="shared" si="16"/>
        <v>44562</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估价对象为北京市房地产，为所有。根据《国有土地使用证》[]，估价对象（分摊）出让国有建设用地使用权面积为0平方米，建筑面积为91.97平方米。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估价对象为北京市房地产,属开发建设的，该项目尚在开发建设中。根据《国有土地使用证》[]，估价对象（分摊）出让国有建设用地使用权面积为0平方米，规划建筑面积为91.97平方米。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2023年1月13日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4"/>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2714"/>
      <c r="M4" s="2715"/>
      <c r="N4" s="2715"/>
      <c r="O4" s="2715"/>
      <c r="P4" s="3748" t="s">
        <v>1775</v>
      </c>
      <c r="Q4" s="3749"/>
      <c r="R4" s="3752" t="s">
        <v>1771</v>
      </c>
      <c r="S4" s="3753"/>
      <c r="T4" s="3752" t="s">
        <v>1772</v>
      </c>
      <c r="U4" s="3753"/>
      <c r="V4" s="3707" t="s">
        <v>1773</v>
      </c>
      <c r="W4" s="3707"/>
      <c r="X4" s="1354"/>
      <c r="Y4" s="3752" t="s">
        <v>1775</v>
      </c>
      <c r="Z4" s="3753"/>
      <c r="AA4" s="3747" t="s">
        <v>1771</v>
      </c>
      <c r="AB4" s="3719" t="s">
        <v>1772</v>
      </c>
      <c r="AC4" s="3747" t="s">
        <v>1773</v>
      </c>
    </row>
    <row r="5" spans="1:29" ht="15">
      <c r="A5" s="358"/>
      <c r="B5" s="359"/>
      <c r="C5" s="3710" t="s">
        <v>1673</v>
      </c>
      <c r="D5" s="3711"/>
      <c r="E5" s="3721" t="s">
        <v>1674</v>
      </c>
      <c r="F5" s="3722"/>
      <c r="G5" s="3710" t="s">
        <v>1675</v>
      </c>
      <c r="H5" s="3711"/>
      <c r="I5" s="3710" t="s">
        <v>1676</v>
      </c>
      <c r="J5" s="3711"/>
      <c r="K5" s="559"/>
      <c r="L5" s="2714"/>
      <c r="M5" s="2715"/>
      <c r="N5" s="2715"/>
      <c r="O5" s="2715"/>
      <c r="P5" s="3750"/>
      <c r="Q5" s="3697"/>
      <c r="R5" s="3702"/>
      <c r="S5" s="3703"/>
      <c r="T5" s="3702"/>
      <c r="U5" s="3703"/>
      <c r="V5" s="3707"/>
      <c r="W5" s="3707"/>
      <c r="X5" s="1354"/>
      <c r="Y5" s="3702"/>
      <c r="Z5" s="3703"/>
      <c r="AA5" s="3719"/>
      <c r="AB5" s="3719"/>
      <c r="AC5" s="3719"/>
    </row>
    <row r="6" spans="1:29" ht="15.75" thickBot="1">
      <c r="A6" s="360"/>
      <c r="B6" s="361"/>
      <c r="C6" s="3708" t="s">
        <v>1677</v>
      </c>
      <c r="D6" s="3709"/>
      <c r="E6" s="3716" t="s">
        <v>1677</v>
      </c>
      <c r="F6" s="3717"/>
      <c r="G6" s="3708" t="s">
        <v>1677</v>
      </c>
      <c r="H6" s="3709"/>
      <c r="I6" s="3708" t="s">
        <v>1677</v>
      </c>
      <c r="J6" s="3709"/>
      <c r="K6" s="559" t="s">
        <v>1678</v>
      </c>
      <c r="L6" s="2714"/>
      <c r="M6" s="2715"/>
      <c r="N6" s="2715"/>
      <c r="O6" s="2715"/>
      <c r="P6" s="3751"/>
      <c r="Q6" s="3699"/>
      <c r="R6" s="3702"/>
      <c r="S6" s="3703"/>
      <c r="T6" s="3704"/>
      <c r="U6" s="3705"/>
      <c r="V6" s="3707"/>
      <c r="W6" s="3707"/>
      <c r="X6" s="1354"/>
      <c r="Y6" s="3704"/>
      <c r="Z6" s="3705"/>
      <c r="AA6" s="3720"/>
      <c r="AB6" s="3720"/>
      <c r="AC6" s="3720"/>
    </row>
    <row r="7" spans="1:29" s="108" customFormat="1" ht="15.75" thickBot="1">
      <c r="A7" s="362" t="s">
        <v>1679</v>
      </c>
      <c r="B7" s="363"/>
      <c r="C7" s="364">
        <f>'数据-取费表'!B2</f>
        <v>44939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4" t="s">
        <v>1680</v>
      </c>
      <c r="Q7" s="3715"/>
      <c r="R7" s="700" t="s">
        <v>14</v>
      </c>
      <c r="S7" s="701">
        <f t="shared" ref="S7:S14" si="0">F7</f>
        <v>0</v>
      </c>
      <c r="T7" s="700" t="s">
        <v>14</v>
      </c>
      <c r="U7" s="701">
        <f t="shared" ref="U7:U14" si="1">H7</f>
        <v>0</v>
      </c>
      <c r="V7" s="700" t="s">
        <v>14</v>
      </c>
      <c r="W7" s="701">
        <f t="shared" ref="W7:W14" si="2">J7</f>
        <v>0</v>
      </c>
      <c r="X7" s="702"/>
      <c r="Y7" s="3714" t="s">
        <v>1680</v>
      </c>
      <c r="Z7" s="3713"/>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4" t="s">
        <v>1683</v>
      </c>
      <c r="Q8" s="3713"/>
      <c r="R8" s="700" t="s">
        <v>14</v>
      </c>
      <c r="S8" s="701">
        <f t="shared" si="0"/>
        <v>100</v>
      </c>
      <c r="T8" s="700" t="s">
        <v>14</v>
      </c>
      <c r="U8" s="701">
        <f t="shared" si="1"/>
        <v>100</v>
      </c>
      <c r="V8" s="700" t="s">
        <v>14</v>
      </c>
      <c r="W8" s="701">
        <f t="shared" si="2"/>
        <v>100</v>
      </c>
      <c r="X8" s="702"/>
      <c r="Y8" s="3714" t="s">
        <v>1683</v>
      </c>
      <c r="Z8" s="3713"/>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3" t="s">
        <v>1686</v>
      </c>
      <c r="Q9" s="1342" t="str">
        <f t="shared" ref="Q9:Q14" si="6">B9</f>
        <v>用途</v>
      </c>
      <c r="R9" s="700" t="s">
        <v>14</v>
      </c>
      <c r="S9" s="701">
        <f t="shared" si="0"/>
        <v>100</v>
      </c>
      <c r="T9" s="700" t="s">
        <v>14</v>
      </c>
      <c r="U9" s="701">
        <f t="shared" si="1"/>
        <v>100</v>
      </c>
      <c r="V9" s="700" t="s">
        <v>14</v>
      </c>
      <c r="W9" s="701">
        <f t="shared" si="2"/>
        <v>100</v>
      </c>
      <c r="X9" s="702"/>
      <c r="Y9" s="3571" t="s">
        <v>1687</v>
      </c>
      <c r="Z9" s="52" t="str">
        <f t="shared" ref="Z9:Z14" si="7">Q9</f>
        <v>用途</v>
      </c>
      <c r="AA9" s="703">
        <f t="shared" si="3"/>
        <v>1</v>
      </c>
      <c r="AB9" s="703">
        <f t="shared" si="4"/>
        <v>1</v>
      </c>
      <c r="AC9" s="703">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8"/>
      <c r="M10" s="2719"/>
      <c r="N10" s="2719"/>
      <c r="O10" s="2719"/>
      <c r="P10" s="3673"/>
      <c r="Q10" s="1342" t="str">
        <f t="shared" si="6"/>
        <v>土地使用年限（年）</v>
      </c>
      <c r="R10" s="700" t="s">
        <v>14</v>
      </c>
      <c r="S10" s="701">
        <f t="shared" si="0"/>
        <v>100</v>
      </c>
      <c r="T10" s="700" t="s">
        <v>14</v>
      </c>
      <c r="U10" s="701">
        <f t="shared" si="1"/>
        <v>100</v>
      </c>
      <c r="V10" s="700" t="s">
        <v>14</v>
      </c>
      <c r="W10" s="701">
        <f t="shared" si="2"/>
        <v>100</v>
      </c>
      <c r="X10" s="702"/>
      <c r="Y10" s="3571"/>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3"/>
      <c r="Q11" s="1342">
        <f t="shared" si="6"/>
        <v>111</v>
      </c>
      <c r="R11" s="700" t="s">
        <v>14</v>
      </c>
      <c r="S11" s="701">
        <f t="shared" si="0"/>
        <v>100</v>
      </c>
      <c r="T11" s="700" t="s">
        <v>14</v>
      </c>
      <c r="U11" s="701">
        <f t="shared" si="1"/>
        <v>100</v>
      </c>
      <c r="V11" s="700" t="s">
        <v>14</v>
      </c>
      <c r="W11" s="701">
        <f t="shared" si="2"/>
        <v>100</v>
      </c>
      <c r="X11" s="702"/>
      <c r="Y11" s="3571"/>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3"/>
      <c r="Q12" s="1342">
        <f t="shared" si="6"/>
        <v>111</v>
      </c>
      <c r="R12" s="700" t="s">
        <v>14</v>
      </c>
      <c r="S12" s="701">
        <f t="shared" si="0"/>
        <v>100</v>
      </c>
      <c r="T12" s="700" t="s">
        <v>14</v>
      </c>
      <c r="U12" s="701">
        <f t="shared" si="1"/>
        <v>100</v>
      </c>
      <c r="V12" s="700" t="s">
        <v>14</v>
      </c>
      <c r="W12" s="701">
        <f t="shared" si="2"/>
        <v>100</v>
      </c>
      <c r="X12" s="702"/>
      <c r="Y12" s="3571"/>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3"/>
      <c r="Q13" s="1342">
        <f t="shared" si="6"/>
        <v>111</v>
      </c>
      <c r="R13" s="700" t="s">
        <v>14</v>
      </c>
      <c r="S13" s="701">
        <f t="shared" si="0"/>
        <v>100</v>
      </c>
      <c r="T13" s="700" t="s">
        <v>14</v>
      </c>
      <c r="U13" s="701">
        <f t="shared" si="1"/>
        <v>100</v>
      </c>
      <c r="V13" s="700" t="s">
        <v>14</v>
      </c>
      <c r="W13" s="701">
        <f t="shared" si="2"/>
        <v>100</v>
      </c>
      <c r="X13" s="702"/>
      <c r="Y13" s="3571"/>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0" t="s">
        <v>1691</v>
      </c>
      <c r="Q14" s="1351" t="str">
        <f t="shared" si="6"/>
        <v>交通便捷度</v>
      </c>
      <c r="R14" s="704" t="s">
        <v>14</v>
      </c>
      <c r="S14" s="705">
        <f t="shared" si="0"/>
        <v>100</v>
      </c>
      <c r="T14" s="704" t="s">
        <v>14</v>
      </c>
      <c r="U14" s="705">
        <f t="shared" si="1"/>
        <v>100</v>
      </c>
      <c r="V14" s="704" t="s">
        <v>14</v>
      </c>
      <c r="W14" s="705">
        <f t="shared" si="2"/>
        <v>100</v>
      </c>
      <c r="X14" s="1354"/>
      <c r="Y14" s="3680"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81"/>
      <c r="Q15" s="1351"/>
      <c r="R15" s="704"/>
      <c r="S15" s="705"/>
      <c r="T15" s="704"/>
      <c r="U15" s="705"/>
      <c r="V15" s="704"/>
      <c r="W15" s="705"/>
      <c r="X15" s="1354"/>
      <c r="Y15" s="3681"/>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1"/>
      <c r="Q16" s="1351" t="str">
        <f>B16</f>
        <v>公共配套设施</v>
      </c>
      <c r="R16" s="704" t="s">
        <v>14</v>
      </c>
      <c r="S16" s="705">
        <f>F16</f>
        <v>100</v>
      </c>
      <c r="T16" s="704" t="s">
        <v>14</v>
      </c>
      <c r="U16" s="705">
        <f>H16</f>
        <v>100</v>
      </c>
      <c r="V16" s="704" t="s">
        <v>14</v>
      </c>
      <c r="W16" s="705">
        <f>J16</f>
        <v>100</v>
      </c>
      <c r="X16" s="1354"/>
      <c r="Y16" s="3681"/>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81"/>
      <c r="Q17" s="1351"/>
      <c r="R17" s="704"/>
      <c r="S17" s="705"/>
      <c r="T17" s="704"/>
      <c r="U17" s="705"/>
      <c r="V17" s="704"/>
      <c r="W17" s="705"/>
      <c r="X17" s="1354"/>
      <c r="Y17" s="3681"/>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1"/>
      <c r="Q18" s="1351" t="str">
        <f>B18</f>
        <v>基础设施水平</v>
      </c>
      <c r="R18" s="704" t="s">
        <v>14</v>
      </c>
      <c r="S18" s="705">
        <f>F18</f>
        <v>100</v>
      </c>
      <c r="T18" s="704" t="s">
        <v>14</v>
      </c>
      <c r="U18" s="705">
        <f>H18</f>
        <v>100</v>
      </c>
      <c r="V18" s="704" t="s">
        <v>14</v>
      </c>
      <c r="W18" s="705">
        <f>J18</f>
        <v>100</v>
      </c>
      <c r="X18" s="1354"/>
      <c r="Y18" s="3681"/>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81"/>
      <c r="Q19" s="1351"/>
      <c r="R19" s="704"/>
      <c r="S19" s="705"/>
      <c r="T19" s="704"/>
      <c r="U19" s="705"/>
      <c r="V19" s="704"/>
      <c r="W19" s="705"/>
      <c r="X19" s="1354"/>
      <c r="Y19" s="3681"/>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1"/>
      <c r="Q20" s="1351" t="str">
        <f>B20</f>
        <v>自然及人文环境</v>
      </c>
      <c r="R20" s="704" t="s">
        <v>14</v>
      </c>
      <c r="S20" s="705">
        <f>F20</f>
        <v>100</v>
      </c>
      <c r="T20" s="704" t="s">
        <v>14</v>
      </c>
      <c r="U20" s="705">
        <f>H20</f>
        <v>100</v>
      </c>
      <c r="V20" s="704" t="s">
        <v>14</v>
      </c>
      <c r="W20" s="705">
        <f>J20</f>
        <v>100</v>
      </c>
      <c r="X20" s="1354"/>
      <c r="Y20" s="3681"/>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81"/>
      <c r="Q21" s="1351"/>
      <c r="R21" s="704"/>
      <c r="S21" s="705"/>
      <c r="T21" s="704"/>
      <c r="U21" s="705"/>
      <c r="V21" s="704"/>
      <c r="W21" s="705"/>
      <c r="X21" s="1354"/>
      <c r="Y21" s="3681"/>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1"/>
      <c r="Q22" s="1351" t="str">
        <f>B22</f>
        <v>楼层</v>
      </c>
      <c r="R22" s="704" t="s">
        <v>14</v>
      </c>
      <c r="S22" s="705">
        <f>F22</f>
        <v>100</v>
      </c>
      <c r="T22" s="704" t="s">
        <v>14</v>
      </c>
      <c r="U22" s="705">
        <f>H22</f>
        <v>100</v>
      </c>
      <c r="V22" s="704" t="s">
        <v>14</v>
      </c>
      <c r="W22" s="705">
        <f>J22</f>
        <v>100</v>
      </c>
      <c r="X22" s="1354"/>
      <c r="Y22" s="3681"/>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1"/>
      <c r="Q23" s="1351">
        <f>B23</f>
        <v>111</v>
      </c>
      <c r="R23" s="704" t="s">
        <v>14</v>
      </c>
      <c r="S23" s="705">
        <f>F23</f>
        <v>100</v>
      </c>
      <c r="T23" s="704" t="s">
        <v>14</v>
      </c>
      <c r="U23" s="705">
        <f>H23</f>
        <v>100</v>
      </c>
      <c r="V23" s="704" t="s">
        <v>14</v>
      </c>
      <c r="W23" s="705">
        <f>J23</f>
        <v>100</v>
      </c>
      <c r="X23" s="1354"/>
      <c r="Y23" s="3681"/>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1"/>
      <c r="Q24" s="1351">
        <f t="shared" ref="Q24:Q36" si="11">B24</f>
        <v>111</v>
      </c>
      <c r="R24" s="704" t="s">
        <v>14</v>
      </c>
      <c r="S24" s="705">
        <f>F24</f>
        <v>100</v>
      </c>
      <c r="T24" s="704" t="s">
        <v>14</v>
      </c>
      <c r="U24" s="705">
        <f>H24</f>
        <v>100</v>
      </c>
      <c r="V24" s="704" t="s">
        <v>14</v>
      </c>
      <c r="W24" s="705">
        <f>J24</f>
        <v>100</v>
      </c>
      <c r="X24" s="1354"/>
      <c r="Y24" s="3681"/>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1"/>
      <c r="Q25" s="1342">
        <f t="shared" si="11"/>
        <v>111</v>
      </c>
      <c r="R25" s="700" t="s">
        <v>14</v>
      </c>
      <c r="S25" s="701">
        <f>F25</f>
        <v>100</v>
      </c>
      <c r="T25" s="700" t="s">
        <v>14</v>
      </c>
      <c r="U25" s="701">
        <f>H25</f>
        <v>100</v>
      </c>
      <c r="V25" s="700" t="s">
        <v>14</v>
      </c>
      <c r="W25" s="701">
        <f>J25</f>
        <v>100</v>
      </c>
      <c r="X25" s="702"/>
      <c r="Y25" s="3681"/>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4"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5"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5"/>
      <c r="Q27" s="706" t="str">
        <f t="shared" si="11"/>
        <v>项目停车位配比</v>
      </c>
      <c r="R27" s="707" t="s">
        <v>14</v>
      </c>
      <c r="S27" s="708">
        <f t="shared" si="12"/>
        <v>100</v>
      </c>
      <c r="T27" s="707" t="s">
        <v>14</v>
      </c>
      <c r="U27" s="708">
        <f t="shared" si="13"/>
        <v>100</v>
      </c>
      <c r="V27" s="707" t="s">
        <v>14</v>
      </c>
      <c r="W27" s="708">
        <f t="shared" si="14"/>
        <v>100</v>
      </c>
      <c r="X27" s="709"/>
      <c r="Y27" s="3685"/>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5"/>
      <c r="Q28" s="1351" t="str">
        <f t="shared" si="11"/>
        <v>公共部分装修</v>
      </c>
      <c r="R28" s="704" t="s">
        <v>14</v>
      </c>
      <c r="S28" s="705">
        <f t="shared" si="12"/>
        <v>100</v>
      </c>
      <c r="T28" s="704" t="s">
        <v>14</v>
      </c>
      <c r="U28" s="705">
        <f t="shared" si="13"/>
        <v>100</v>
      </c>
      <c r="V28" s="704" t="s">
        <v>14</v>
      </c>
      <c r="W28" s="705">
        <f t="shared" si="14"/>
        <v>100</v>
      </c>
      <c r="X28" s="1354"/>
      <c r="Y28" s="3685"/>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5"/>
      <c r="Q29" s="1351" t="str">
        <f t="shared" si="11"/>
        <v>成新率</v>
      </c>
      <c r="R29" s="704" t="s">
        <v>14</v>
      </c>
      <c r="S29" s="705" t="e">
        <f t="shared" si="12"/>
        <v>#N/A</v>
      </c>
      <c r="T29" s="704" t="s">
        <v>14</v>
      </c>
      <c r="U29" s="705" t="e">
        <f t="shared" si="13"/>
        <v>#N/A</v>
      </c>
      <c r="V29" s="704" t="s">
        <v>14</v>
      </c>
      <c r="W29" s="705" t="e">
        <f t="shared" si="14"/>
        <v>#N/A</v>
      </c>
      <c r="X29" s="1354"/>
      <c r="Y29" s="3685"/>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5"/>
      <c r="Q30" s="1351" t="str">
        <f t="shared" si="11"/>
        <v>物业等级</v>
      </c>
      <c r="R30" s="704" t="s">
        <v>14</v>
      </c>
      <c r="S30" s="705">
        <f t="shared" si="12"/>
        <v>100</v>
      </c>
      <c r="T30" s="704" t="s">
        <v>14</v>
      </c>
      <c r="U30" s="705">
        <f t="shared" si="13"/>
        <v>100</v>
      </c>
      <c r="V30" s="704" t="s">
        <v>14</v>
      </c>
      <c r="W30" s="705">
        <f t="shared" si="14"/>
        <v>100</v>
      </c>
      <c r="X30" s="1354"/>
      <c r="Y30" s="3685"/>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5"/>
      <c r="Q31" s="1342" t="str">
        <f t="shared" si="11"/>
        <v>停车位面积</v>
      </c>
      <c r="R31" s="700" t="s">
        <v>14</v>
      </c>
      <c r="S31" s="701" t="e">
        <f t="shared" si="12"/>
        <v>#N/A</v>
      </c>
      <c r="T31" s="700" t="s">
        <v>14</v>
      </c>
      <c r="U31" s="701" t="e">
        <f t="shared" si="13"/>
        <v>#N/A</v>
      </c>
      <c r="V31" s="700" t="s">
        <v>14</v>
      </c>
      <c r="W31" s="701" t="e">
        <f t="shared" si="14"/>
        <v>#N/A</v>
      </c>
      <c r="X31" s="702"/>
      <c r="Y31" s="3685"/>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5" t="s">
        <v>1696</v>
      </c>
      <c r="Q32" s="1351" t="str">
        <f t="shared" si="11"/>
        <v>车位类型</v>
      </c>
      <c r="R32" s="704" t="s">
        <v>14</v>
      </c>
      <c r="S32" s="705">
        <f t="shared" si="12"/>
        <v>100</v>
      </c>
      <c r="T32" s="704" t="s">
        <v>14</v>
      </c>
      <c r="U32" s="705">
        <f t="shared" si="13"/>
        <v>100</v>
      </c>
      <c r="V32" s="704" t="s">
        <v>14</v>
      </c>
      <c r="W32" s="705">
        <f t="shared" si="14"/>
        <v>100</v>
      </c>
      <c r="X32" s="1354"/>
      <c r="Y32" s="3685"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5"/>
      <c r="Q33" s="1351" t="str">
        <f t="shared" si="11"/>
        <v>是否直接入户</v>
      </c>
      <c r="R33" s="704" t="s">
        <v>14</v>
      </c>
      <c r="S33" s="705">
        <f t="shared" si="12"/>
        <v>100</v>
      </c>
      <c r="T33" s="704" t="s">
        <v>14</v>
      </c>
      <c r="U33" s="705">
        <f t="shared" si="13"/>
        <v>100</v>
      </c>
      <c r="V33" s="704" t="s">
        <v>14</v>
      </c>
      <c r="W33" s="705">
        <f t="shared" si="14"/>
        <v>100</v>
      </c>
      <c r="X33" s="1354"/>
      <c r="Y33" s="3685"/>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5"/>
      <c r="Q34" s="1351">
        <f t="shared" si="11"/>
        <v>111</v>
      </c>
      <c r="R34" s="704" t="s">
        <v>14</v>
      </c>
      <c r="S34" s="705">
        <f t="shared" si="12"/>
        <v>100</v>
      </c>
      <c r="T34" s="704" t="s">
        <v>14</v>
      </c>
      <c r="U34" s="705">
        <f t="shared" si="13"/>
        <v>100</v>
      </c>
      <c r="V34" s="704" t="s">
        <v>14</v>
      </c>
      <c r="W34" s="705">
        <f t="shared" si="14"/>
        <v>100</v>
      </c>
      <c r="X34" s="1354"/>
      <c r="Y34" s="3685"/>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5"/>
      <c r="Q35" s="706">
        <f t="shared" si="11"/>
        <v>111</v>
      </c>
      <c r="R35" s="707" t="s">
        <v>14</v>
      </c>
      <c r="S35" s="708">
        <f t="shared" si="12"/>
        <v>100</v>
      </c>
      <c r="T35" s="707" t="s">
        <v>14</v>
      </c>
      <c r="U35" s="708">
        <f t="shared" si="13"/>
        <v>100</v>
      </c>
      <c r="V35" s="707" t="s">
        <v>14</v>
      </c>
      <c r="W35" s="708">
        <f t="shared" si="14"/>
        <v>100</v>
      </c>
      <c r="X35" s="709"/>
      <c r="Y35" s="3685"/>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5"/>
      <c r="Q36" s="1351">
        <f t="shared" si="11"/>
        <v>111</v>
      </c>
      <c r="R36" s="704" t="s">
        <v>14</v>
      </c>
      <c r="S36" s="705">
        <f t="shared" si="12"/>
        <v>100</v>
      </c>
      <c r="T36" s="704" t="s">
        <v>14</v>
      </c>
      <c r="U36" s="705">
        <f t="shared" si="13"/>
        <v>100</v>
      </c>
      <c r="V36" s="704" t="s">
        <v>14</v>
      </c>
      <c r="W36" s="705">
        <f t="shared" si="14"/>
        <v>100</v>
      </c>
      <c r="X36" s="1354"/>
      <c r="Y36" s="3685"/>
      <c r="Z36" s="1355">
        <f t="shared" si="15"/>
        <v>111</v>
      </c>
      <c r="AA36" s="1352">
        <f t="shared" si="3"/>
        <v>1</v>
      </c>
      <c r="AB36" s="1352">
        <f t="shared" si="4"/>
        <v>1</v>
      </c>
      <c r="AC36" s="1352">
        <f t="shared" si="5"/>
        <v>1</v>
      </c>
    </row>
    <row r="37" spans="1:29" ht="15">
      <c r="A37" s="430" t="s">
        <v>1844</v>
      </c>
      <c r="B37" s="1972" t="s">
        <v>3362</v>
      </c>
      <c r="C37" s="1153" t="s">
        <v>0</v>
      </c>
      <c r="D37" s="1154"/>
      <c r="E37" s="1155"/>
      <c r="F37" s="1156"/>
      <c r="G37" s="1157"/>
      <c r="H37" s="1158"/>
      <c r="I37" s="1155"/>
      <c r="J37" s="1158"/>
      <c r="K37" s="568"/>
      <c r="L37" s="2723"/>
      <c r="M37" s="2724"/>
      <c r="N37" s="2715"/>
      <c r="O37" s="2724"/>
      <c r="P37" s="3673" t="str">
        <f>A37</f>
        <v>成交单价</v>
      </c>
      <c r="Q37" s="3673"/>
      <c r="R37" s="3674">
        <f>E37</f>
        <v>0</v>
      </c>
      <c r="S37" s="3674"/>
      <c r="T37" s="3674">
        <f>G37</f>
        <v>0</v>
      </c>
      <c r="U37" s="3674"/>
      <c r="V37" s="3674">
        <f>I37</f>
        <v>0</v>
      </c>
      <c r="W37" s="3674"/>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744" t="str">
        <f>A39</f>
        <v>估价对象XX用房的比较价值（楼面单价，元/平方米）</v>
      </c>
      <c r="Q39" s="3745"/>
      <c r="R39" s="3755" t="e">
        <f>IF(F1="售价",ROUND(IF(D38="简单平均",AVERAGE(R38:W38),R38*F38+T38*H38+V38*J38),0),ROUND(IF(D38="简单平均",AVERAGE(R38:V38),R38*F38+T38*H38+V38*J38),1))</f>
        <v>#DIV/0!</v>
      </c>
      <c r="S39" s="3755"/>
      <c r="T39" s="3755"/>
      <c r="U39" s="3755"/>
      <c r="V39" s="3755"/>
      <c r="W39" s="3755"/>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2023-1</v>
      </c>
      <c r="D48" s="1184">
        <f>EDATE(C48,-1)</f>
        <v>44896</v>
      </c>
      <c r="E48" s="1184">
        <f t="shared" ref="E48:O48" si="16">EDATE(D48,-1)</f>
        <v>44866</v>
      </c>
      <c r="F48" s="1184">
        <f t="shared" si="16"/>
        <v>44835</v>
      </c>
      <c r="G48" s="1184">
        <f t="shared" si="16"/>
        <v>44805</v>
      </c>
      <c r="H48" s="1184">
        <f t="shared" si="16"/>
        <v>44774</v>
      </c>
      <c r="I48" s="1184">
        <f t="shared" si="16"/>
        <v>44743</v>
      </c>
      <c r="J48" s="1184">
        <f t="shared" si="16"/>
        <v>44713</v>
      </c>
      <c r="K48" s="1184">
        <f t="shared" si="16"/>
        <v>44682</v>
      </c>
      <c r="L48" s="1184">
        <f t="shared" si="16"/>
        <v>44652</v>
      </c>
      <c r="M48" s="1184">
        <f t="shared" si="16"/>
        <v>44621</v>
      </c>
      <c r="N48" s="1184">
        <f t="shared" si="16"/>
        <v>44593</v>
      </c>
      <c r="O48" s="1184">
        <f t="shared" si="16"/>
        <v>44562</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3342</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2714"/>
      <c r="M4" s="2715"/>
      <c r="N4" s="2715"/>
      <c r="O4" s="2715"/>
      <c r="P4" s="3748" t="s">
        <v>1775</v>
      </c>
      <c r="Q4" s="3749"/>
      <c r="R4" s="3752" t="s">
        <v>1771</v>
      </c>
      <c r="S4" s="3753"/>
      <c r="T4" s="3752" t="s">
        <v>1772</v>
      </c>
      <c r="U4" s="3753"/>
      <c r="V4" s="3707" t="s">
        <v>1773</v>
      </c>
      <c r="W4" s="3707"/>
      <c r="X4" s="1354"/>
      <c r="Y4" s="3752" t="s">
        <v>1775</v>
      </c>
      <c r="Z4" s="3753"/>
      <c r="AA4" s="3747" t="s">
        <v>1771</v>
      </c>
      <c r="AB4" s="3719" t="s">
        <v>1772</v>
      </c>
      <c r="AC4" s="3747" t="s">
        <v>1773</v>
      </c>
    </row>
    <row r="5" spans="1:29" ht="15">
      <c r="A5" s="358"/>
      <c r="B5" s="359"/>
      <c r="C5" s="3710" t="s">
        <v>1673</v>
      </c>
      <c r="D5" s="3711"/>
      <c r="E5" s="3721" t="s">
        <v>1674</v>
      </c>
      <c r="F5" s="3722"/>
      <c r="G5" s="3710" t="s">
        <v>1675</v>
      </c>
      <c r="H5" s="3711"/>
      <c r="I5" s="3710" t="s">
        <v>1676</v>
      </c>
      <c r="J5" s="3711"/>
      <c r="K5" s="559"/>
      <c r="L5" s="2714"/>
      <c r="M5" s="2715"/>
      <c r="N5" s="2715"/>
      <c r="O5" s="2715"/>
      <c r="P5" s="3750"/>
      <c r="Q5" s="3697"/>
      <c r="R5" s="3702"/>
      <c r="S5" s="3703"/>
      <c r="T5" s="3702"/>
      <c r="U5" s="3703"/>
      <c r="V5" s="3707"/>
      <c r="W5" s="3707"/>
      <c r="X5" s="1354"/>
      <c r="Y5" s="3702"/>
      <c r="Z5" s="3703"/>
      <c r="AA5" s="3719"/>
      <c r="AB5" s="3719"/>
      <c r="AC5" s="3719"/>
    </row>
    <row r="6" spans="1:29" ht="15.75" thickBot="1">
      <c r="A6" s="360"/>
      <c r="B6" s="361"/>
      <c r="C6" s="3708" t="s">
        <v>1677</v>
      </c>
      <c r="D6" s="3709"/>
      <c r="E6" s="3716" t="s">
        <v>1677</v>
      </c>
      <c r="F6" s="3717"/>
      <c r="G6" s="3708" t="s">
        <v>1677</v>
      </c>
      <c r="H6" s="3709"/>
      <c r="I6" s="3708" t="s">
        <v>1677</v>
      </c>
      <c r="J6" s="3709"/>
      <c r="K6" s="559" t="s">
        <v>1678</v>
      </c>
      <c r="L6" s="2714"/>
      <c r="M6" s="2715"/>
      <c r="N6" s="2715"/>
      <c r="O6" s="2715"/>
      <c r="P6" s="3751"/>
      <c r="Q6" s="3699"/>
      <c r="R6" s="3702"/>
      <c r="S6" s="3703"/>
      <c r="T6" s="3704"/>
      <c r="U6" s="3705"/>
      <c r="V6" s="3707"/>
      <c r="W6" s="3707"/>
      <c r="X6" s="1354"/>
      <c r="Y6" s="3704"/>
      <c r="Z6" s="3705"/>
      <c r="AA6" s="3720"/>
      <c r="AB6" s="3720"/>
      <c r="AC6" s="3720"/>
    </row>
    <row r="7" spans="1:29" s="108" customFormat="1" ht="15.75" thickBot="1">
      <c r="A7" s="362" t="s">
        <v>1679</v>
      </c>
      <c r="B7" s="363"/>
      <c r="C7" s="364">
        <f>'数据-取费表'!B2</f>
        <v>44939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4" t="s">
        <v>1680</v>
      </c>
      <c r="Q7" s="3715"/>
      <c r="R7" s="700" t="s">
        <v>14</v>
      </c>
      <c r="S7" s="701">
        <f t="shared" ref="S7:S14" si="0">F7</f>
        <v>0</v>
      </c>
      <c r="T7" s="700" t="s">
        <v>14</v>
      </c>
      <c r="U7" s="701">
        <f t="shared" ref="U7:U14" si="1">H7</f>
        <v>0</v>
      </c>
      <c r="V7" s="700" t="s">
        <v>14</v>
      </c>
      <c r="W7" s="701">
        <f t="shared" ref="W7:W14" si="2">J7</f>
        <v>0</v>
      </c>
      <c r="X7" s="702"/>
      <c r="Y7" s="3714" t="s">
        <v>1680</v>
      </c>
      <c r="Z7" s="3713"/>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4" t="s">
        <v>1683</v>
      </c>
      <c r="Q8" s="3713"/>
      <c r="R8" s="700" t="s">
        <v>14</v>
      </c>
      <c r="S8" s="701">
        <f t="shared" si="0"/>
        <v>100</v>
      </c>
      <c r="T8" s="700" t="s">
        <v>14</v>
      </c>
      <c r="U8" s="701">
        <f t="shared" si="1"/>
        <v>100</v>
      </c>
      <c r="V8" s="700" t="s">
        <v>14</v>
      </c>
      <c r="W8" s="701">
        <f t="shared" si="2"/>
        <v>100</v>
      </c>
      <c r="X8" s="702"/>
      <c r="Y8" s="3714" t="s">
        <v>1683</v>
      </c>
      <c r="Z8" s="3713"/>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3" t="s">
        <v>1686</v>
      </c>
      <c r="Q9" s="1342" t="str">
        <f t="shared" ref="Q9:Q14" si="6">B9</f>
        <v>用途</v>
      </c>
      <c r="R9" s="700" t="s">
        <v>14</v>
      </c>
      <c r="S9" s="701">
        <f t="shared" si="0"/>
        <v>100</v>
      </c>
      <c r="T9" s="700" t="s">
        <v>14</v>
      </c>
      <c r="U9" s="701">
        <f t="shared" si="1"/>
        <v>100</v>
      </c>
      <c r="V9" s="700" t="s">
        <v>14</v>
      </c>
      <c r="W9" s="701">
        <f t="shared" si="2"/>
        <v>100</v>
      </c>
      <c r="X9" s="702"/>
      <c r="Y9" s="3571" t="s">
        <v>1687</v>
      </c>
      <c r="Z9" s="52" t="str">
        <f t="shared" ref="Z9:Z14" si="7">Q9</f>
        <v>用途</v>
      </c>
      <c r="AA9" s="703">
        <f t="shared" si="3"/>
        <v>1</v>
      </c>
      <c r="AB9" s="703">
        <f t="shared" si="4"/>
        <v>1</v>
      </c>
      <c r="AC9" s="703">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8"/>
      <c r="M10" s="2719"/>
      <c r="N10" s="2719"/>
      <c r="O10" s="2772"/>
      <c r="P10" s="3673"/>
      <c r="Q10" s="1342" t="str">
        <f t="shared" si="6"/>
        <v>土地使用年限（年）</v>
      </c>
      <c r="R10" s="700" t="s">
        <v>14</v>
      </c>
      <c r="S10" s="701">
        <f t="shared" si="0"/>
        <v>100</v>
      </c>
      <c r="T10" s="700" t="s">
        <v>14</v>
      </c>
      <c r="U10" s="701">
        <f t="shared" si="1"/>
        <v>100</v>
      </c>
      <c r="V10" s="700" t="s">
        <v>14</v>
      </c>
      <c r="W10" s="701">
        <f t="shared" si="2"/>
        <v>100</v>
      </c>
      <c r="X10" s="702"/>
      <c r="Y10" s="357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3"/>
      <c r="Q11" s="1342">
        <f t="shared" si="6"/>
        <v>111</v>
      </c>
      <c r="R11" s="700" t="s">
        <v>14</v>
      </c>
      <c r="S11" s="701">
        <f t="shared" si="0"/>
        <v>100</v>
      </c>
      <c r="T11" s="700" t="s">
        <v>14</v>
      </c>
      <c r="U11" s="701">
        <f t="shared" si="1"/>
        <v>100</v>
      </c>
      <c r="V11" s="700" t="s">
        <v>14</v>
      </c>
      <c r="W11" s="701">
        <f t="shared" si="2"/>
        <v>100</v>
      </c>
      <c r="X11" s="702"/>
      <c r="Y11" s="357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3"/>
      <c r="Q12" s="1342">
        <f t="shared" si="6"/>
        <v>111</v>
      </c>
      <c r="R12" s="700" t="s">
        <v>14</v>
      </c>
      <c r="S12" s="701">
        <f t="shared" si="0"/>
        <v>100</v>
      </c>
      <c r="T12" s="700" t="s">
        <v>14</v>
      </c>
      <c r="U12" s="701">
        <f t="shared" si="1"/>
        <v>100</v>
      </c>
      <c r="V12" s="700" t="s">
        <v>14</v>
      </c>
      <c r="W12" s="701">
        <f t="shared" si="2"/>
        <v>100</v>
      </c>
      <c r="X12" s="702"/>
      <c r="Y12" s="357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73"/>
      <c r="Q13" s="1342">
        <f t="shared" si="6"/>
        <v>111</v>
      </c>
      <c r="R13" s="700" t="s">
        <v>14</v>
      </c>
      <c r="S13" s="701">
        <f t="shared" si="0"/>
        <v>100</v>
      </c>
      <c r="T13" s="700" t="s">
        <v>14</v>
      </c>
      <c r="U13" s="701">
        <f t="shared" si="1"/>
        <v>100</v>
      </c>
      <c r="V13" s="700" t="s">
        <v>14</v>
      </c>
      <c r="W13" s="701">
        <f t="shared" si="2"/>
        <v>100</v>
      </c>
      <c r="X13" s="702"/>
      <c r="Y13" s="3571"/>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0" t="s">
        <v>1691</v>
      </c>
      <c r="Q14" s="1351" t="str">
        <f t="shared" si="6"/>
        <v>交通便捷度</v>
      </c>
      <c r="R14" s="704" t="s">
        <v>14</v>
      </c>
      <c r="S14" s="705">
        <f t="shared" si="0"/>
        <v>100</v>
      </c>
      <c r="T14" s="704" t="s">
        <v>14</v>
      </c>
      <c r="U14" s="705">
        <f t="shared" si="1"/>
        <v>100</v>
      </c>
      <c r="V14" s="704" t="s">
        <v>14</v>
      </c>
      <c r="W14" s="705">
        <f t="shared" si="2"/>
        <v>100</v>
      </c>
      <c r="X14" s="1354"/>
      <c r="Y14" s="3680"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1"/>
      <c r="Q15" s="1351"/>
      <c r="R15" s="704"/>
      <c r="S15" s="705"/>
      <c r="T15" s="704"/>
      <c r="U15" s="705"/>
      <c r="V15" s="704"/>
      <c r="W15" s="705"/>
      <c r="X15" s="1354"/>
      <c r="Y15" s="3681"/>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1"/>
      <c r="Q16" s="1351" t="str">
        <f>B16</f>
        <v>公共配套设施</v>
      </c>
      <c r="R16" s="704" t="s">
        <v>14</v>
      </c>
      <c r="S16" s="705">
        <f>F16</f>
        <v>100</v>
      </c>
      <c r="T16" s="704" t="s">
        <v>14</v>
      </c>
      <c r="U16" s="705">
        <f>H16</f>
        <v>100</v>
      </c>
      <c r="V16" s="704" t="s">
        <v>14</v>
      </c>
      <c r="W16" s="705">
        <f>J16</f>
        <v>100</v>
      </c>
      <c r="X16" s="1354"/>
      <c r="Y16" s="3681"/>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1"/>
      <c r="Q17" s="1351"/>
      <c r="R17" s="704"/>
      <c r="S17" s="705"/>
      <c r="T17" s="704"/>
      <c r="U17" s="705"/>
      <c r="V17" s="704"/>
      <c r="W17" s="705"/>
      <c r="X17" s="1354"/>
      <c r="Y17" s="3681"/>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1"/>
      <c r="Q18" s="1351" t="str">
        <f>B18</f>
        <v>基础设施水平</v>
      </c>
      <c r="R18" s="704" t="s">
        <v>14</v>
      </c>
      <c r="S18" s="705">
        <f>F18</f>
        <v>100</v>
      </c>
      <c r="T18" s="704" t="s">
        <v>14</v>
      </c>
      <c r="U18" s="705">
        <f>H18</f>
        <v>100</v>
      </c>
      <c r="V18" s="704" t="s">
        <v>14</v>
      </c>
      <c r="W18" s="705">
        <f>J18</f>
        <v>100</v>
      </c>
      <c r="X18" s="1354"/>
      <c r="Y18" s="3681"/>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81"/>
      <c r="Q19" s="1351"/>
      <c r="R19" s="704"/>
      <c r="S19" s="705"/>
      <c r="T19" s="704"/>
      <c r="U19" s="705"/>
      <c r="V19" s="704"/>
      <c r="W19" s="705"/>
      <c r="X19" s="1354"/>
      <c r="Y19" s="3681"/>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1"/>
      <c r="Q20" s="1351" t="str">
        <f>B20</f>
        <v>自然及人文环境</v>
      </c>
      <c r="R20" s="704" t="s">
        <v>14</v>
      </c>
      <c r="S20" s="705">
        <f>F20</f>
        <v>100</v>
      </c>
      <c r="T20" s="704" t="s">
        <v>14</v>
      </c>
      <c r="U20" s="705">
        <f>H20</f>
        <v>100</v>
      </c>
      <c r="V20" s="704" t="s">
        <v>14</v>
      </c>
      <c r="W20" s="705">
        <f>J20</f>
        <v>100</v>
      </c>
      <c r="X20" s="1354"/>
      <c r="Y20" s="3681"/>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1"/>
      <c r="Q21" s="1351"/>
      <c r="R21" s="704"/>
      <c r="S21" s="705"/>
      <c r="T21" s="704"/>
      <c r="U21" s="705"/>
      <c r="V21" s="704"/>
      <c r="W21" s="705"/>
      <c r="X21" s="1354"/>
      <c r="Y21" s="3681"/>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1"/>
      <c r="Q22" s="1351" t="str">
        <f>B22</f>
        <v>楼层</v>
      </c>
      <c r="R22" s="704" t="s">
        <v>14</v>
      </c>
      <c r="S22" s="705">
        <f>F22</f>
        <v>100</v>
      </c>
      <c r="T22" s="704" t="s">
        <v>14</v>
      </c>
      <c r="U22" s="705">
        <f>H22</f>
        <v>100</v>
      </c>
      <c r="V22" s="704" t="s">
        <v>14</v>
      </c>
      <c r="W22" s="705">
        <f>J22</f>
        <v>100</v>
      </c>
      <c r="X22" s="1354"/>
      <c r="Y22" s="3681"/>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1"/>
      <c r="Q23" s="1351">
        <f>B23</f>
        <v>111</v>
      </c>
      <c r="R23" s="704" t="s">
        <v>14</v>
      </c>
      <c r="S23" s="705">
        <f>F23</f>
        <v>100</v>
      </c>
      <c r="T23" s="704" t="s">
        <v>14</v>
      </c>
      <c r="U23" s="705">
        <f>H23</f>
        <v>100</v>
      </c>
      <c r="V23" s="704" t="s">
        <v>14</v>
      </c>
      <c r="W23" s="705">
        <f>J23</f>
        <v>100</v>
      </c>
      <c r="X23" s="1354"/>
      <c r="Y23" s="3681"/>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1"/>
      <c r="Q24" s="1351">
        <f t="shared" ref="Q24:Q34" si="11">B24</f>
        <v>111</v>
      </c>
      <c r="R24" s="704" t="s">
        <v>14</v>
      </c>
      <c r="S24" s="705">
        <f>F24</f>
        <v>100</v>
      </c>
      <c r="T24" s="704" t="s">
        <v>14</v>
      </c>
      <c r="U24" s="705">
        <f>H24</f>
        <v>100</v>
      </c>
      <c r="V24" s="704" t="s">
        <v>14</v>
      </c>
      <c r="W24" s="705">
        <f>J24</f>
        <v>100</v>
      </c>
      <c r="X24" s="1354"/>
      <c r="Y24" s="3681"/>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81"/>
      <c r="Q25" s="1342">
        <f t="shared" si="11"/>
        <v>111</v>
      </c>
      <c r="R25" s="700" t="s">
        <v>14</v>
      </c>
      <c r="S25" s="701">
        <f>F25</f>
        <v>100</v>
      </c>
      <c r="T25" s="700" t="s">
        <v>14</v>
      </c>
      <c r="U25" s="701">
        <f>H25</f>
        <v>100</v>
      </c>
      <c r="V25" s="700" t="s">
        <v>14</v>
      </c>
      <c r="W25" s="701">
        <f>J25</f>
        <v>100</v>
      </c>
      <c r="X25" s="702"/>
      <c r="Y25" s="3681"/>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54"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5"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5"/>
      <c r="Q27" s="706" t="str">
        <f t="shared" si="11"/>
        <v>成新率</v>
      </c>
      <c r="R27" s="707" t="s">
        <v>14</v>
      </c>
      <c r="S27" s="708" t="e">
        <f t="shared" si="12"/>
        <v>#N/A</v>
      </c>
      <c r="T27" s="707" t="s">
        <v>14</v>
      </c>
      <c r="U27" s="708" t="e">
        <f t="shared" si="13"/>
        <v>#N/A</v>
      </c>
      <c r="V27" s="707" t="s">
        <v>14</v>
      </c>
      <c r="W27" s="708" t="e">
        <f t="shared" si="14"/>
        <v>#N/A</v>
      </c>
      <c r="X27" s="709"/>
      <c r="Y27" s="3685"/>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5"/>
      <c r="Q28" s="1351" t="str">
        <f t="shared" si="11"/>
        <v>物业等级</v>
      </c>
      <c r="R28" s="704" t="s">
        <v>14</v>
      </c>
      <c r="S28" s="705">
        <f t="shared" si="12"/>
        <v>100</v>
      </c>
      <c r="T28" s="704" t="s">
        <v>14</v>
      </c>
      <c r="U28" s="705">
        <f t="shared" si="13"/>
        <v>100</v>
      </c>
      <c r="V28" s="704" t="s">
        <v>14</v>
      </c>
      <c r="W28" s="705">
        <f t="shared" si="14"/>
        <v>100</v>
      </c>
      <c r="X28" s="1354"/>
      <c r="Y28" s="3685"/>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5"/>
      <c r="Q29" s="1351" t="str">
        <f t="shared" si="11"/>
        <v>有无电梯</v>
      </c>
      <c r="R29" s="704" t="s">
        <v>14</v>
      </c>
      <c r="S29" s="705">
        <f t="shared" si="12"/>
        <v>100</v>
      </c>
      <c r="T29" s="704" t="s">
        <v>14</v>
      </c>
      <c r="U29" s="705">
        <f t="shared" si="13"/>
        <v>100</v>
      </c>
      <c r="V29" s="704" t="s">
        <v>14</v>
      </c>
      <c r="W29" s="705">
        <f t="shared" si="14"/>
        <v>100</v>
      </c>
      <c r="X29" s="1354"/>
      <c r="Y29" s="3685"/>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5"/>
      <c r="Q30" s="1351" t="str">
        <f t="shared" si="11"/>
        <v>建筑面积</v>
      </c>
      <c r="R30" s="704" t="s">
        <v>14</v>
      </c>
      <c r="S30" s="705" t="e">
        <f t="shared" si="12"/>
        <v>#N/A</v>
      </c>
      <c r="T30" s="704" t="s">
        <v>14</v>
      </c>
      <c r="U30" s="705" t="e">
        <f t="shared" si="13"/>
        <v>#N/A</v>
      </c>
      <c r="V30" s="704" t="s">
        <v>14</v>
      </c>
      <c r="W30" s="705" t="e">
        <f t="shared" si="14"/>
        <v>#N/A</v>
      </c>
      <c r="X30" s="1354"/>
      <c r="Y30" s="3685"/>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5"/>
      <c r="Q31" s="1342" t="str">
        <f t="shared" si="11"/>
        <v>是否封闭</v>
      </c>
      <c r="R31" s="700" t="s">
        <v>14</v>
      </c>
      <c r="S31" s="701">
        <f t="shared" si="12"/>
        <v>100</v>
      </c>
      <c r="T31" s="700" t="s">
        <v>14</v>
      </c>
      <c r="U31" s="701">
        <f t="shared" si="13"/>
        <v>100</v>
      </c>
      <c r="V31" s="700" t="s">
        <v>14</v>
      </c>
      <c r="W31" s="701">
        <f t="shared" si="14"/>
        <v>100</v>
      </c>
      <c r="X31" s="702"/>
      <c r="Y31" s="3685"/>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5" t="s">
        <v>1696</v>
      </c>
      <c r="Q32" s="1351">
        <f t="shared" si="11"/>
        <v>111</v>
      </c>
      <c r="R32" s="704" t="s">
        <v>14</v>
      </c>
      <c r="S32" s="705">
        <f t="shared" si="12"/>
        <v>100</v>
      </c>
      <c r="T32" s="704" t="s">
        <v>14</v>
      </c>
      <c r="U32" s="705">
        <f t="shared" si="13"/>
        <v>100</v>
      </c>
      <c r="V32" s="704" t="s">
        <v>14</v>
      </c>
      <c r="W32" s="705">
        <f t="shared" si="14"/>
        <v>100</v>
      </c>
      <c r="X32" s="1354"/>
      <c r="Y32" s="3685"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5"/>
      <c r="Q33" s="1351">
        <f t="shared" si="11"/>
        <v>111</v>
      </c>
      <c r="R33" s="704" t="s">
        <v>14</v>
      </c>
      <c r="S33" s="705">
        <f t="shared" si="12"/>
        <v>100</v>
      </c>
      <c r="T33" s="704" t="s">
        <v>14</v>
      </c>
      <c r="U33" s="705">
        <f t="shared" si="13"/>
        <v>100</v>
      </c>
      <c r="V33" s="704" t="s">
        <v>14</v>
      </c>
      <c r="W33" s="705">
        <f t="shared" si="14"/>
        <v>100</v>
      </c>
      <c r="X33" s="1354"/>
      <c r="Y33" s="3685"/>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5"/>
      <c r="Q34" s="1351">
        <f t="shared" si="11"/>
        <v>111</v>
      </c>
      <c r="R34" s="704" t="s">
        <v>14</v>
      </c>
      <c r="S34" s="705">
        <f t="shared" si="12"/>
        <v>100</v>
      </c>
      <c r="T34" s="704" t="s">
        <v>14</v>
      </c>
      <c r="U34" s="705">
        <f t="shared" si="13"/>
        <v>100</v>
      </c>
      <c r="V34" s="704" t="s">
        <v>14</v>
      </c>
      <c r="W34" s="705">
        <f t="shared" si="14"/>
        <v>100</v>
      </c>
      <c r="X34" s="1354"/>
      <c r="Y34" s="3685"/>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73" t="str">
        <f>A35</f>
        <v>成交单价（元/平方米）</v>
      </c>
      <c r="Q35" s="3673"/>
      <c r="R35" s="3674">
        <f>E35</f>
        <v>0</v>
      </c>
      <c r="S35" s="3674"/>
      <c r="T35" s="3674">
        <f>G35</f>
        <v>0</v>
      </c>
      <c r="U35" s="3674"/>
      <c r="V35" s="3674">
        <f>I35</f>
        <v>0</v>
      </c>
      <c r="W35" s="3674"/>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44" t="str">
        <f>A37</f>
        <v>估价对象XX用房的比较价值（楼面单价，元/平方米）</v>
      </c>
      <c r="Q37" s="3745"/>
      <c r="R37" s="3755" t="e">
        <f>IF(F1="售价",ROUND(IF(D36="简单平均",AVERAGE(R36:W36),R36*F36+T36*H36+V36*J36),0),ROUND(IF(D36="简单平均",AVERAGE(R36:V36),R36*F36+T36*H36+V36*J36),1))</f>
        <v>#DIV/0!</v>
      </c>
      <c r="S37" s="3755"/>
      <c r="T37" s="3755"/>
      <c r="U37" s="3755"/>
      <c r="V37" s="3755"/>
      <c r="W37" s="3755"/>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2023-1</v>
      </c>
      <c r="D46" s="1184">
        <f>EDATE(C46,-1)</f>
        <v>44896</v>
      </c>
      <c r="E46" s="1184">
        <f t="shared" ref="E46:O46" si="16">EDATE(D46,-1)</f>
        <v>44866</v>
      </c>
      <c r="F46" s="1184">
        <f t="shared" si="16"/>
        <v>44835</v>
      </c>
      <c r="G46" s="1184">
        <f t="shared" si="16"/>
        <v>44805</v>
      </c>
      <c r="H46" s="1184">
        <f t="shared" si="16"/>
        <v>44774</v>
      </c>
      <c r="I46" s="1184">
        <f t="shared" si="16"/>
        <v>44743</v>
      </c>
      <c r="J46" s="1184">
        <f t="shared" si="16"/>
        <v>44713</v>
      </c>
      <c r="K46" s="1184">
        <f t="shared" si="16"/>
        <v>44682</v>
      </c>
      <c r="L46" s="1184">
        <f t="shared" si="16"/>
        <v>44652</v>
      </c>
      <c r="M46" s="1184">
        <f t="shared" si="16"/>
        <v>44621</v>
      </c>
      <c r="N46" s="1184">
        <f t="shared" si="16"/>
        <v>44593</v>
      </c>
      <c r="O46" s="1184">
        <f t="shared" si="16"/>
        <v>44562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90" t="s">
        <v>1770</v>
      </c>
      <c r="D4" s="3691"/>
      <c r="E4" s="3692" t="s">
        <v>1771</v>
      </c>
      <c r="F4" s="3693"/>
      <c r="G4" s="3690" t="s">
        <v>1772</v>
      </c>
      <c r="H4" s="3691"/>
      <c r="I4" s="3690" t="s">
        <v>1773</v>
      </c>
      <c r="J4" s="3691"/>
      <c r="K4" s="559" t="s">
        <v>1774</v>
      </c>
      <c r="L4" s="2714"/>
      <c r="M4" s="2715"/>
      <c r="N4" s="2715"/>
      <c r="O4" s="2715"/>
      <c r="P4" s="3748" t="s">
        <v>1775</v>
      </c>
      <c r="Q4" s="3749"/>
      <c r="R4" s="3752" t="s">
        <v>1771</v>
      </c>
      <c r="S4" s="3753"/>
      <c r="T4" s="3752" t="s">
        <v>1772</v>
      </c>
      <c r="U4" s="3753"/>
      <c r="V4" s="3707" t="s">
        <v>1773</v>
      </c>
      <c r="W4" s="3707"/>
      <c r="X4" s="1354"/>
      <c r="Y4" s="3752" t="s">
        <v>1775</v>
      </c>
      <c r="Z4" s="3753"/>
      <c r="AA4" s="3747" t="s">
        <v>1771</v>
      </c>
      <c r="AB4" s="3719" t="s">
        <v>1772</v>
      </c>
      <c r="AC4" s="3747" t="s">
        <v>1773</v>
      </c>
    </row>
    <row r="5" spans="1:30" ht="15">
      <c r="A5" s="358"/>
      <c r="B5" s="359"/>
      <c r="C5" s="3710" t="s">
        <v>1673</v>
      </c>
      <c r="D5" s="3711"/>
      <c r="E5" s="3721" t="s">
        <v>1674</v>
      </c>
      <c r="F5" s="3722"/>
      <c r="G5" s="3710" t="s">
        <v>1675</v>
      </c>
      <c r="H5" s="3711"/>
      <c r="I5" s="3710" t="s">
        <v>1676</v>
      </c>
      <c r="J5" s="3711"/>
      <c r="K5" s="559"/>
      <c r="L5" s="2714"/>
      <c r="M5" s="2715"/>
      <c r="N5" s="2715"/>
      <c r="O5" s="2715"/>
      <c r="P5" s="3750"/>
      <c r="Q5" s="3697"/>
      <c r="R5" s="3702"/>
      <c r="S5" s="3703"/>
      <c r="T5" s="3702"/>
      <c r="U5" s="3703"/>
      <c r="V5" s="3707"/>
      <c r="W5" s="3707"/>
      <c r="X5" s="1354"/>
      <c r="Y5" s="3702"/>
      <c r="Z5" s="3703"/>
      <c r="AA5" s="3719"/>
      <c r="AB5" s="3719"/>
      <c r="AC5" s="3719"/>
    </row>
    <row r="6" spans="1:30" ht="15.75" thickBot="1">
      <c r="A6" s="360"/>
      <c r="B6" s="361"/>
      <c r="C6" s="3708" t="s">
        <v>1677</v>
      </c>
      <c r="D6" s="3709"/>
      <c r="E6" s="3716" t="s">
        <v>1677</v>
      </c>
      <c r="F6" s="3717"/>
      <c r="G6" s="3708" t="s">
        <v>1677</v>
      </c>
      <c r="H6" s="3709"/>
      <c r="I6" s="3708" t="s">
        <v>1677</v>
      </c>
      <c r="J6" s="3709"/>
      <c r="K6" s="559" t="s">
        <v>1678</v>
      </c>
      <c r="L6" s="2714"/>
      <c r="M6" s="2715"/>
      <c r="N6" s="2715"/>
      <c r="O6" s="2715"/>
      <c r="P6" s="3751"/>
      <c r="Q6" s="3699"/>
      <c r="R6" s="3702"/>
      <c r="S6" s="3703"/>
      <c r="T6" s="3704"/>
      <c r="U6" s="3705"/>
      <c r="V6" s="3707"/>
      <c r="W6" s="3707"/>
      <c r="X6" s="1354"/>
      <c r="Y6" s="3704"/>
      <c r="Z6" s="3705"/>
      <c r="AA6" s="3720"/>
      <c r="AB6" s="3720"/>
      <c r="AC6" s="3720"/>
    </row>
    <row r="7" spans="1:30" s="108" customFormat="1" ht="15.75" thickBot="1">
      <c r="A7" s="362" t="s">
        <v>1679</v>
      </c>
      <c r="B7" s="363"/>
      <c r="C7" s="364">
        <f>'数据-取费表'!B2</f>
        <v>44939</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14" t="s">
        <v>1680</v>
      </c>
      <c r="Q7" s="3715"/>
      <c r="R7" s="700" t="s">
        <v>14</v>
      </c>
      <c r="S7" s="701">
        <f t="shared" ref="S7:S15" si="0">F7</f>
        <v>0</v>
      </c>
      <c r="T7" s="700" t="s">
        <v>14</v>
      </c>
      <c r="U7" s="701">
        <f t="shared" ref="U7:U15" si="1">H7</f>
        <v>0</v>
      </c>
      <c r="V7" s="700" t="s">
        <v>14</v>
      </c>
      <c r="W7" s="701">
        <f t="shared" ref="W7:W15" si="2">J7</f>
        <v>0</v>
      </c>
      <c r="X7" s="702"/>
      <c r="Y7" s="3714" t="s">
        <v>1680</v>
      </c>
      <c r="Z7" s="3713"/>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4" t="s">
        <v>1683</v>
      </c>
      <c r="Q8" s="3713"/>
      <c r="R8" s="700" t="s">
        <v>14</v>
      </c>
      <c r="S8" s="701">
        <f t="shared" si="0"/>
        <v>0</v>
      </c>
      <c r="T8" s="700" t="s">
        <v>14</v>
      </c>
      <c r="U8" s="701">
        <f t="shared" si="1"/>
        <v>0</v>
      </c>
      <c r="V8" s="700" t="s">
        <v>14</v>
      </c>
      <c r="W8" s="701">
        <f t="shared" si="2"/>
        <v>0</v>
      </c>
      <c r="X8" s="702"/>
      <c r="Y8" s="3714" t="s">
        <v>1683</v>
      </c>
      <c r="Z8" s="3713"/>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73" t="s">
        <v>1686</v>
      </c>
      <c r="Q9" s="1342" t="str">
        <f t="shared" ref="Q9:Q15" si="6">B9</f>
        <v>用途</v>
      </c>
      <c r="R9" s="700" t="s">
        <v>14</v>
      </c>
      <c r="S9" s="701">
        <f t="shared" si="0"/>
        <v>100</v>
      </c>
      <c r="T9" s="700" t="s">
        <v>14</v>
      </c>
      <c r="U9" s="701">
        <f t="shared" si="1"/>
        <v>100</v>
      </c>
      <c r="V9" s="700" t="s">
        <v>14</v>
      </c>
      <c r="W9" s="701">
        <f t="shared" si="2"/>
        <v>100</v>
      </c>
      <c r="X9" s="702"/>
      <c r="Y9" s="3571"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8"/>
      <c r="M10" s="2719"/>
      <c r="N10" s="2719"/>
      <c r="O10" s="2772"/>
      <c r="P10" s="3673"/>
      <c r="Q10" s="1342" t="str">
        <f t="shared" si="6"/>
        <v>土地使用年限（年）</v>
      </c>
      <c r="R10" s="700" t="s">
        <v>14</v>
      </c>
      <c r="S10" s="701">
        <f t="shared" si="0"/>
        <v>111</v>
      </c>
      <c r="T10" s="700" t="s">
        <v>14</v>
      </c>
      <c r="U10" s="701">
        <f t="shared" si="1"/>
        <v>111</v>
      </c>
      <c r="V10" s="700" t="s">
        <v>14</v>
      </c>
      <c r="W10" s="701">
        <f t="shared" si="2"/>
        <v>111</v>
      </c>
      <c r="X10" s="702"/>
      <c r="Y10" s="3571"/>
      <c r="Z10" s="52" t="str">
        <f t="shared" si="7"/>
        <v>土地使用年限（年）</v>
      </c>
      <c r="AA10" s="703">
        <f t="shared" si="3"/>
        <v>0.90090090090090091</v>
      </c>
      <c r="AB10" s="703">
        <f t="shared" si="4"/>
        <v>0.90090090090090091</v>
      </c>
      <c r="AC10" s="703">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73"/>
      <c r="Q11" s="1342" t="str">
        <f t="shared" si="6"/>
        <v>容积率</v>
      </c>
      <c r="R11" s="700" t="s">
        <v>14</v>
      </c>
      <c r="S11" s="701" t="e">
        <f t="shared" si="0"/>
        <v>#N/A</v>
      </c>
      <c r="T11" s="700" t="s">
        <v>14</v>
      </c>
      <c r="U11" s="701" t="e">
        <f t="shared" si="1"/>
        <v>#N/A</v>
      </c>
      <c r="V11" s="700" t="s">
        <v>14</v>
      </c>
      <c r="W11" s="701" t="e">
        <f t="shared" si="2"/>
        <v>#N/A</v>
      </c>
      <c r="X11" s="702"/>
      <c r="Y11" s="3571"/>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3"/>
      <c r="Q12" s="1342" t="str">
        <f t="shared" si="6"/>
        <v>配建</v>
      </c>
      <c r="R12" s="700" t="s">
        <v>14</v>
      </c>
      <c r="S12" s="701">
        <f t="shared" si="0"/>
        <v>100</v>
      </c>
      <c r="T12" s="700" t="s">
        <v>14</v>
      </c>
      <c r="U12" s="701">
        <f t="shared" si="1"/>
        <v>100</v>
      </c>
      <c r="V12" s="700" t="s">
        <v>14</v>
      </c>
      <c r="W12" s="701">
        <f t="shared" si="2"/>
        <v>100</v>
      </c>
      <c r="X12" s="702"/>
      <c r="Y12" s="357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3"/>
      <c r="Q13" s="1342">
        <f t="shared" si="6"/>
        <v>111</v>
      </c>
      <c r="R13" s="700" t="s">
        <v>14</v>
      </c>
      <c r="S13" s="701">
        <f t="shared" si="0"/>
        <v>100</v>
      </c>
      <c r="T13" s="700" t="s">
        <v>14</v>
      </c>
      <c r="U13" s="701">
        <f t="shared" si="1"/>
        <v>100</v>
      </c>
      <c r="V13" s="700" t="s">
        <v>14</v>
      </c>
      <c r="W13" s="701">
        <f t="shared" si="2"/>
        <v>100</v>
      </c>
      <c r="X13" s="702"/>
      <c r="Y13" s="357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3"/>
      <c r="Q14" s="1342">
        <f t="shared" si="6"/>
        <v>111</v>
      </c>
      <c r="R14" s="700" t="s">
        <v>14</v>
      </c>
      <c r="S14" s="701">
        <f t="shared" si="0"/>
        <v>100</v>
      </c>
      <c r="T14" s="700" t="s">
        <v>14</v>
      </c>
      <c r="U14" s="701">
        <f t="shared" si="1"/>
        <v>100</v>
      </c>
      <c r="V14" s="700" t="s">
        <v>14</v>
      </c>
      <c r="W14" s="701">
        <f t="shared" si="2"/>
        <v>100</v>
      </c>
      <c r="X14" s="702"/>
      <c r="Y14" s="3571"/>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0" t="s">
        <v>1691</v>
      </c>
      <c r="Q15" s="1351" t="str">
        <f t="shared" si="6"/>
        <v>居住社区成熟度</v>
      </c>
      <c r="R15" s="704" t="s">
        <v>14</v>
      </c>
      <c r="S15" s="705">
        <f t="shared" si="0"/>
        <v>100</v>
      </c>
      <c r="T15" s="704" t="s">
        <v>14</v>
      </c>
      <c r="U15" s="705">
        <f t="shared" si="1"/>
        <v>100</v>
      </c>
      <c r="V15" s="704" t="s">
        <v>14</v>
      </c>
      <c r="W15" s="705">
        <f t="shared" si="2"/>
        <v>100</v>
      </c>
      <c r="X15" s="1354"/>
      <c r="Y15" s="3680"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81"/>
      <c r="Q16" s="1351"/>
      <c r="R16" s="704"/>
      <c r="S16" s="705"/>
      <c r="T16" s="704"/>
      <c r="U16" s="705"/>
      <c r="V16" s="704"/>
      <c r="W16" s="705"/>
      <c r="X16" s="1354"/>
      <c r="Y16" s="3681"/>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1"/>
      <c r="Q17" s="1351" t="str">
        <f>B17</f>
        <v>商业繁华度</v>
      </c>
      <c r="R17" s="704" t="s">
        <v>14</v>
      </c>
      <c r="S17" s="705">
        <f>F17</f>
        <v>100</v>
      </c>
      <c r="T17" s="704" t="s">
        <v>14</v>
      </c>
      <c r="U17" s="705">
        <f>H17</f>
        <v>100</v>
      </c>
      <c r="V17" s="704" t="s">
        <v>14</v>
      </c>
      <c r="W17" s="705">
        <f>J17</f>
        <v>100</v>
      </c>
      <c r="X17" s="1354"/>
      <c r="Y17" s="3681"/>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81"/>
      <c r="Q18" s="1351"/>
      <c r="R18" s="704"/>
      <c r="S18" s="705"/>
      <c r="T18" s="704"/>
      <c r="U18" s="705"/>
      <c r="V18" s="704"/>
      <c r="W18" s="705"/>
      <c r="X18" s="1354"/>
      <c r="Y18" s="3681"/>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1"/>
      <c r="Q19" s="1351" t="str">
        <f>B19</f>
        <v>办公集聚程度</v>
      </c>
      <c r="R19" s="704" t="s">
        <v>14</v>
      </c>
      <c r="S19" s="705">
        <f>F19</f>
        <v>100</v>
      </c>
      <c r="T19" s="704" t="s">
        <v>14</v>
      </c>
      <c r="U19" s="705">
        <f>H19</f>
        <v>100</v>
      </c>
      <c r="V19" s="704" t="s">
        <v>14</v>
      </c>
      <c r="W19" s="705">
        <f>J19</f>
        <v>100</v>
      </c>
      <c r="X19" s="1354"/>
      <c r="Y19" s="3681"/>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81"/>
      <c r="Q20" s="1351"/>
      <c r="R20" s="704"/>
      <c r="S20" s="705"/>
      <c r="T20" s="704"/>
      <c r="U20" s="705"/>
      <c r="V20" s="704"/>
      <c r="W20" s="705"/>
      <c r="X20" s="1354"/>
      <c r="Y20" s="3681"/>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1"/>
      <c r="Q21" s="1351" t="str">
        <f>B21</f>
        <v>交通便捷度</v>
      </c>
      <c r="R21" s="704" t="s">
        <v>14</v>
      </c>
      <c r="S21" s="705">
        <f>F21</f>
        <v>100</v>
      </c>
      <c r="T21" s="704" t="s">
        <v>14</v>
      </c>
      <c r="U21" s="705">
        <f>H21</f>
        <v>100</v>
      </c>
      <c r="V21" s="704" t="s">
        <v>14</v>
      </c>
      <c r="W21" s="705">
        <f>J21</f>
        <v>100</v>
      </c>
      <c r="X21" s="1354"/>
      <c r="Y21" s="3681"/>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81"/>
      <c r="Q22" s="1351"/>
      <c r="R22" s="704"/>
      <c r="S22" s="705"/>
      <c r="T22" s="704"/>
      <c r="U22" s="705"/>
      <c r="V22" s="704"/>
      <c r="W22" s="705"/>
      <c r="X22" s="1354"/>
      <c r="Y22" s="3681"/>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1"/>
      <c r="Q23" s="1351" t="str">
        <f t="shared" ref="Q23:Q37" si="8">B23</f>
        <v>区域土地利用方向</v>
      </c>
      <c r="R23" s="704" t="s">
        <v>14</v>
      </c>
      <c r="S23" s="705">
        <f>F23</f>
        <v>100</v>
      </c>
      <c r="T23" s="704" t="s">
        <v>14</v>
      </c>
      <c r="U23" s="705">
        <f>H23</f>
        <v>100</v>
      </c>
      <c r="V23" s="704" t="s">
        <v>14</v>
      </c>
      <c r="W23" s="705">
        <f>J23</f>
        <v>100</v>
      </c>
      <c r="X23" s="1354"/>
      <c r="Y23" s="3681"/>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81"/>
      <c r="Q24" s="1351"/>
      <c r="R24" s="704"/>
      <c r="S24" s="705"/>
      <c r="T24" s="704"/>
      <c r="U24" s="705"/>
      <c r="V24" s="704"/>
      <c r="W24" s="705"/>
      <c r="X24" s="1354"/>
      <c r="Y24" s="3681"/>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1"/>
      <c r="Q25" s="1351" t="str">
        <f t="shared" si="8"/>
        <v>自然及人文环境状况</v>
      </c>
      <c r="R25" s="704" t="s">
        <v>14</v>
      </c>
      <c r="S25" s="705">
        <f>F25</f>
        <v>100</v>
      </c>
      <c r="T25" s="704" t="s">
        <v>14</v>
      </c>
      <c r="U25" s="705">
        <f>H25</f>
        <v>100</v>
      </c>
      <c r="V25" s="704" t="s">
        <v>14</v>
      </c>
      <c r="W25" s="705">
        <f>J25</f>
        <v>100</v>
      </c>
      <c r="X25" s="1354"/>
      <c r="Y25" s="3681"/>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81"/>
      <c r="Q26" s="1351"/>
      <c r="R26" s="704"/>
      <c r="S26" s="705"/>
      <c r="T26" s="704"/>
      <c r="U26" s="705"/>
      <c r="V26" s="704"/>
      <c r="W26" s="705"/>
      <c r="X26" s="1354"/>
      <c r="Y26" s="3681"/>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1"/>
      <c r="Q27" s="1342" t="str">
        <f t="shared" si="8"/>
        <v>公共配套设施</v>
      </c>
      <c r="R27" s="700" t="s">
        <v>14</v>
      </c>
      <c r="S27" s="701">
        <f>F27</f>
        <v>100</v>
      </c>
      <c r="T27" s="700" t="s">
        <v>14</v>
      </c>
      <c r="U27" s="701">
        <f>H27</f>
        <v>100</v>
      </c>
      <c r="V27" s="700" t="s">
        <v>14</v>
      </c>
      <c r="W27" s="701">
        <f>J27</f>
        <v>100</v>
      </c>
      <c r="X27" s="702"/>
      <c r="Y27" s="3681"/>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81"/>
      <c r="Q28" s="1342"/>
      <c r="R28" s="700"/>
      <c r="S28" s="701"/>
      <c r="T28" s="700"/>
      <c r="U28" s="701"/>
      <c r="V28" s="700"/>
      <c r="W28" s="701"/>
      <c r="X28" s="702"/>
      <c r="Y28" s="3681"/>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1"/>
      <c r="Q29" s="1342" t="str">
        <f t="shared" ref="Q29" si="9">B29</f>
        <v>基础设施水平</v>
      </c>
      <c r="R29" s="700" t="s">
        <v>14</v>
      </c>
      <c r="S29" s="701">
        <f>F29</f>
        <v>100</v>
      </c>
      <c r="T29" s="700" t="s">
        <v>14</v>
      </c>
      <c r="U29" s="701">
        <f>H29</f>
        <v>100</v>
      </c>
      <c r="V29" s="700" t="s">
        <v>14</v>
      </c>
      <c r="W29" s="701">
        <f>J29</f>
        <v>100</v>
      </c>
      <c r="X29" s="702"/>
      <c r="Y29" s="3681"/>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81"/>
      <c r="Q30" s="1342"/>
      <c r="R30" s="700"/>
      <c r="S30" s="701"/>
      <c r="T30" s="700"/>
      <c r="U30" s="701"/>
      <c r="V30" s="700"/>
      <c r="W30" s="701"/>
      <c r="X30" s="702"/>
      <c r="Y30" s="3681"/>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1"/>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1"/>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1"/>
      <c r="Q32" s="1351" t="str">
        <f t="shared" si="8"/>
        <v>毗邻道路的类型与等级</v>
      </c>
      <c r="R32" s="704" t="s">
        <v>14</v>
      </c>
      <c r="S32" s="705">
        <f t="shared" si="10"/>
        <v>100</v>
      </c>
      <c r="T32" s="704" t="s">
        <v>14</v>
      </c>
      <c r="U32" s="705">
        <f t="shared" si="11"/>
        <v>100</v>
      </c>
      <c r="V32" s="704" t="s">
        <v>14</v>
      </c>
      <c r="W32" s="705">
        <f t="shared" si="12"/>
        <v>100</v>
      </c>
      <c r="X32" s="1354"/>
      <c r="Y32" s="3681"/>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81"/>
      <c r="Q33" s="1351"/>
      <c r="R33" s="704"/>
      <c r="S33" s="705"/>
      <c r="T33" s="704"/>
      <c r="U33" s="705"/>
      <c r="V33" s="704"/>
      <c r="W33" s="705"/>
      <c r="X33" s="1354"/>
      <c r="Y33" s="3681"/>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1"/>
      <c r="Q34" s="1351" t="str">
        <f t="shared" si="8"/>
        <v>土地级别</v>
      </c>
      <c r="R34" s="704" t="s">
        <v>14</v>
      </c>
      <c r="S34" s="705">
        <f t="shared" si="10"/>
        <v>100</v>
      </c>
      <c r="T34" s="704" t="s">
        <v>14</v>
      </c>
      <c r="U34" s="705">
        <f t="shared" si="11"/>
        <v>100</v>
      </c>
      <c r="V34" s="704" t="s">
        <v>14</v>
      </c>
      <c r="W34" s="705">
        <f t="shared" si="12"/>
        <v>100</v>
      </c>
      <c r="X34" s="1354"/>
      <c r="Y34" s="3681"/>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1"/>
      <c r="Q35" s="1351">
        <f t="shared" si="8"/>
        <v>111</v>
      </c>
      <c r="R35" s="704" t="s">
        <v>14</v>
      </c>
      <c r="S35" s="705">
        <f t="shared" si="10"/>
        <v>100</v>
      </c>
      <c r="T35" s="704" t="s">
        <v>14</v>
      </c>
      <c r="U35" s="705">
        <f t="shared" si="11"/>
        <v>100</v>
      </c>
      <c r="V35" s="704" t="s">
        <v>14</v>
      </c>
      <c r="W35" s="705">
        <f t="shared" si="12"/>
        <v>100</v>
      </c>
      <c r="X35" s="1354"/>
      <c r="Y35" s="3681"/>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4" t="s">
        <v>1696</v>
      </c>
      <c r="Q36" s="1351">
        <f t="shared" si="8"/>
        <v>111</v>
      </c>
      <c r="R36" s="704" t="s">
        <v>14</v>
      </c>
      <c r="S36" s="705">
        <f t="shared" si="10"/>
        <v>100</v>
      </c>
      <c r="T36" s="704" t="s">
        <v>14</v>
      </c>
      <c r="U36" s="705">
        <f t="shared" si="11"/>
        <v>100</v>
      </c>
      <c r="V36" s="704" t="s">
        <v>14</v>
      </c>
      <c r="W36" s="705">
        <f t="shared" si="12"/>
        <v>100</v>
      </c>
      <c r="X36" s="1354"/>
      <c r="Y36" s="3685"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5"/>
      <c r="Q37" s="1351">
        <f t="shared" si="8"/>
        <v>111</v>
      </c>
      <c r="R37" s="707" t="s">
        <v>14</v>
      </c>
      <c r="S37" s="708">
        <f t="shared" si="10"/>
        <v>100</v>
      </c>
      <c r="T37" s="707" t="s">
        <v>14</v>
      </c>
      <c r="U37" s="708">
        <f t="shared" si="11"/>
        <v>100</v>
      </c>
      <c r="V37" s="707" t="s">
        <v>14</v>
      </c>
      <c r="W37" s="708">
        <f t="shared" si="12"/>
        <v>100</v>
      </c>
      <c r="X37" s="709"/>
      <c r="Y37" s="3685"/>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85"/>
      <c r="Q38" s="1351" t="str">
        <f>B38</f>
        <v>宗地面积</v>
      </c>
      <c r="R38" s="704" t="s">
        <v>14</v>
      </c>
      <c r="S38" s="705" t="e">
        <f t="shared" si="10"/>
        <v>#N/A</v>
      </c>
      <c r="T38" s="704" t="s">
        <v>14</v>
      </c>
      <c r="U38" s="705" t="e">
        <f t="shared" si="11"/>
        <v>#N/A</v>
      </c>
      <c r="V38" s="704" t="s">
        <v>14</v>
      </c>
      <c r="W38" s="705" t="e">
        <f t="shared" si="12"/>
        <v>#N/A</v>
      </c>
      <c r="X38" s="1354"/>
      <c r="Y38" s="3685"/>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5"/>
      <c r="Q39" s="1351" t="str">
        <f t="shared" ref="Q39:Q45" si="14">B39</f>
        <v>宗地形状</v>
      </c>
      <c r="R39" s="704" t="s">
        <v>14</v>
      </c>
      <c r="S39" s="705">
        <f t="shared" si="10"/>
        <v>100</v>
      </c>
      <c r="T39" s="704" t="s">
        <v>14</v>
      </c>
      <c r="U39" s="705">
        <f t="shared" si="11"/>
        <v>100</v>
      </c>
      <c r="V39" s="704" t="s">
        <v>14</v>
      </c>
      <c r="W39" s="705">
        <f t="shared" si="12"/>
        <v>100</v>
      </c>
      <c r="X39" s="1354"/>
      <c r="Y39" s="3685"/>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5"/>
      <c r="Q40" s="1351" t="str">
        <f t="shared" si="14"/>
        <v>临街宽度及深度</v>
      </c>
      <c r="R40" s="704" t="s">
        <v>14</v>
      </c>
      <c r="S40" s="705">
        <f t="shared" si="10"/>
        <v>100</v>
      </c>
      <c r="T40" s="704" t="s">
        <v>14</v>
      </c>
      <c r="U40" s="705">
        <f t="shared" si="11"/>
        <v>100</v>
      </c>
      <c r="V40" s="704" t="s">
        <v>14</v>
      </c>
      <c r="W40" s="705">
        <f t="shared" si="12"/>
        <v>100</v>
      </c>
      <c r="X40" s="1354"/>
      <c r="Y40" s="3685"/>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5"/>
      <c r="Q41" s="1351" t="str">
        <f t="shared" si="14"/>
        <v>宗地开发程度</v>
      </c>
      <c r="R41" s="700" t="s">
        <v>14</v>
      </c>
      <c r="S41" s="701">
        <f t="shared" si="10"/>
        <v>100</v>
      </c>
      <c r="T41" s="700" t="s">
        <v>14</v>
      </c>
      <c r="U41" s="701">
        <f t="shared" si="11"/>
        <v>100</v>
      </c>
      <c r="V41" s="700" t="s">
        <v>14</v>
      </c>
      <c r="W41" s="701">
        <f t="shared" si="12"/>
        <v>100</v>
      </c>
      <c r="X41" s="702"/>
      <c r="Y41" s="3685"/>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5" t="s">
        <v>1696</v>
      </c>
      <c r="Q42" s="1351" t="str">
        <f t="shared" si="14"/>
        <v>工程地质条件</v>
      </c>
      <c r="R42" s="704" t="s">
        <v>14</v>
      </c>
      <c r="S42" s="705">
        <f t="shared" si="10"/>
        <v>100</v>
      </c>
      <c r="T42" s="704" t="s">
        <v>14</v>
      </c>
      <c r="U42" s="705">
        <f t="shared" si="11"/>
        <v>100</v>
      </c>
      <c r="V42" s="704" t="s">
        <v>14</v>
      </c>
      <c r="W42" s="705">
        <f t="shared" si="12"/>
        <v>100</v>
      </c>
      <c r="X42" s="1354"/>
      <c r="Y42" s="3685"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5"/>
      <c r="Q43" s="1351">
        <f t="shared" si="14"/>
        <v>111</v>
      </c>
      <c r="R43" s="704" t="s">
        <v>14</v>
      </c>
      <c r="S43" s="705">
        <f t="shared" si="10"/>
        <v>100</v>
      </c>
      <c r="T43" s="704" t="s">
        <v>14</v>
      </c>
      <c r="U43" s="705">
        <f t="shared" si="11"/>
        <v>100</v>
      </c>
      <c r="V43" s="704" t="s">
        <v>14</v>
      </c>
      <c r="W43" s="705">
        <f t="shared" si="12"/>
        <v>100</v>
      </c>
      <c r="X43" s="1354"/>
      <c r="Y43" s="3685"/>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5"/>
      <c r="Q44" s="1351">
        <f t="shared" si="14"/>
        <v>111</v>
      </c>
      <c r="R44" s="704" t="s">
        <v>14</v>
      </c>
      <c r="S44" s="705">
        <f t="shared" si="10"/>
        <v>100</v>
      </c>
      <c r="T44" s="704" t="s">
        <v>14</v>
      </c>
      <c r="U44" s="705">
        <f t="shared" si="11"/>
        <v>100</v>
      </c>
      <c r="V44" s="704" t="s">
        <v>14</v>
      </c>
      <c r="W44" s="705">
        <f t="shared" si="12"/>
        <v>100</v>
      </c>
      <c r="X44" s="1354"/>
      <c r="Y44" s="3685"/>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5"/>
      <c r="Q45" s="1351">
        <f t="shared" si="14"/>
        <v>111</v>
      </c>
      <c r="R45" s="707" t="s">
        <v>14</v>
      </c>
      <c r="S45" s="708">
        <f t="shared" si="10"/>
        <v>100</v>
      </c>
      <c r="T45" s="707" t="s">
        <v>14</v>
      </c>
      <c r="U45" s="708">
        <f t="shared" si="11"/>
        <v>100</v>
      </c>
      <c r="V45" s="707" t="s">
        <v>14</v>
      </c>
      <c r="W45" s="708">
        <f t="shared" si="12"/>
        <v>100</v>
      </c>
      <c r="X45" s="709"/>
      <c r="Y45" s="3685"/>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673" t="str">
        <f>A46</f>
        <v>成交单价</v>
      </c>
      <c r="Q46" s="3673"/>
      <c r="R46" s="3707">
        <f>E46</f>
        <v>0</v>
      </c>
      <c r="S46" s="3707"/>
      <c r="T46" s="3707">
        <f>G46</f>
        <v>0</v>
      </c>
      <c r="U46" s="3707"/>
      <c r="V46" s="3707">
        <f>I46</f>
        <v>0</v>
      </c>
      <c r="W46" s="3707"/>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73" t="str">
        <f>A47</f>
        <v>比较价值（元/平方米）</v>
      </c>
      <c r="Q47" s="3673"/>
      <c r="R47" s="3756" t="e">
        <f>ROUND(PRODUCT(R46,AA7:AA45),0)</f>
        <v>#DIV/0!</v>
      </c>
      <c r="S47" s="3756"/>
      <c r="T47" s="3756" t="e">
        <f>ROUND(PRODUCT(T46,AB7:AB45),0)</f>
        <v>#DIV/0!</v>
      </c>
      <c r="U47" s="3756"/>
      <c r="V47" s="3756" t="e">
        <f>ROUND(PRODUCT(V46,AC7:AC45),0)</f>
        <v>#DIV/0!</v>
      </c>
      <c r="W47" s="3756"/>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44" t="str">
        <f>A48</f>
        <v>估价对象XX用房的比较价值（楼面单价，元/平方米）</v>
      </c>
      <c r="Q48" s="3745"/>
      <c r="R48" s="3757" t="e">
        <f>ROUND(IF(D47="简单平均",AVERAGE(R47:W47),R47*F47+T47*H47+V47*J47),0)</f>
        <v>#DIV/0!</v>
      </c>
      <c r="S48" s="3757"/>
      <c r="T48" s="3757"/>
      <c r="U48" s="3757"/>
      <c r="V48" s="3757"/>
      <c r="W48" s="3757"/>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90" t="s">
        <v>1887</v>
      </c>
      <c r="H55" s="3758"/>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91.97</v>
      </c>
      <c r="F56" s="885" t="e">
        <f t="shared" ref="F56:F64" si="15">ROUND(B56*E56/10000,0)</f>
        <v>#DIV/0!</v>
      </c>
      <c r="G56" s="3672"/>
      <c r="H56" s="3673"/>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91.97</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2023-1-1</v>
      </c>
      <c r="D67" s="691">
        <f>EDATE(C67,-3)</f>
        <v>44835</v>
      </c>
      <c r="E67" s="691">
        <f>EDATE(D67,-3)</f>
        <v>44743</v>
      </c>
      <c r="F67" s="691">
        <f t="shared" ref="F67:O67" si="18">EDATE(E67,-3)</f>
        <v>44652</v>
      </c>
      <c r="G67" s="691">
        <f t="shared" si="18"/>
        <v>44562</v>
      </c>
      <c r="H67" s="691">
        <f t="shared" si="18"/>
        <v>44470</v>
      </c>
      <c r="I67" s="691">
        <f t="shared" si="18"/>
        <v>44378</v>
      </c>
      <c r="J67" s="691">
        <f t="shared" si="18"/>
        <v>44287</v>
      </c>
      <c r="K67" s="691">
        <f t="shared" si="18"/>
        <v>44197</v>
      </c>
      <c r="L67" s="691">
        <f t="shared" si="18"/>
        <v>44105</v>
      </c>
      <c r="M67" s="691">
        <f t="shared" si="18"/>
        <v>44013</v>
      </c>
      <c r="N67" s="691">
        <f t="shared" si="18"/>
        <v>43922</v>
      </c>
      <c r="O67" s="691">
        <f t="shared" si="18"/>
        <v>43831</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0" t="s">
        <v>1770</v>
      </c>
      <c r="D4" s="3691"/>
      <c r="E4" s="3692" t="s">
        <v>1771</v>
      </c>
      <c r="F4" s="3693"/>
      <c r="G4" s="3690" t="s">
        <v>1772</v>
      </c>
      <c r="H4" s="3691"/>
      <c r="I4" s="3690" t="s">
        <v>1773</v>
      </c>
      <c r="J4" s="3691"/>
      <c r="K4" s="559" t="s">
        <v>1774</v>
      </c>
      <c r="L4" s="2714"/>
      <c r="M4" s="2715"/>
      <c r="N4" s="2715"/>
      <c r="O4" s="2715"/>
      <c r="P4" s="3748" t="s">
        <v>1775</v>
      </c>
      <c r="Q4" s="3749"/>
      <c r="R4" s="3752" t="s">
        <v>1771</v>
      </c>
      <c r="S4" s="3753"/>
      <c r="T4" s="3752" t="s">
        <v>1772</v>
      </c>
      <c r="U4" s="3753"/>
      <c r="V4" s="3707" t="s">
        <v>1773</v>
      </c>
      <c r="W4" s="3707"/>
      <c r="X4" s="1354"/>
      <c r="Y4" s="3752" t="s">
        <v>1775</v>
      </c>
      <c r="Z4" s="3753"/>
      <c r="AA4" s="3747" t="s">
        <v>1771</v>
      </c>
      <c r="AB4" s="3719" t="s">
        <v>1772</v>
      </c>
      <c r="AC4" s="3747" t="s">
        <v>1773</v>
      </c>
    </row>
    <row r="5" spans="1:29" ht="15">
      <c r="A5" s="358"/>
      <c r="B5" s="359"/>
      <c r="C5" s="3710" t="s">
        <v>1673</v>
      </c>
      <c r="D5" s="3711"/>
      <c r="E5" s="3721" t="s">
        <v>1674</v>
      </c>
      <c r="F5" s="3722"/>
      <c r="G5" s="3710" t="s">
        <v>1675</v>
      </c>
      <c r="H5" s="3711"/>
      <c r="I5" s="3710" t="s">
        <v>1676</v>
      </c>
      <c r="J5" s="3711"/>
      <c r="K5" s="559"/>
      <c r="L5" s="2714"/>
      <c r="M5" s="2715"/>
      <c r="N5" s="2715"/>
      <c r="O5" s="2715"/>
      <c r="P5" s="3750"/>
      <c r="Q5" s="3697"/>
      <c r="R5" s="3702"/>
      <c r="S5" s="3703"/>
      <c r="T5" s="3702"/>
      <c r="U5" s="3703"/>
      <c r="V5" s="3707"/>
      <c r="W5" s="3707"/>
      <c r="X5" s="1354"/>
      <c r="Y5" s="3702"/>
      <c r="Z5" s="3703"/>
      <c r="AA5" s="3719"/>
      <c r="AB5" s="3719"/>
      <c r="AC5" s="3719"/>
    </row>
    <row r="6" spans="1:29" ht="15.75" thickBot="1">
      <c r="A6" s="360"/>
      <c r="B6" s="361"/>
      <c r="C6" s="3759" t="s">
        <v>1919</v>
      </c>
      <c r="D6" s="3760"/>
      <c r="E6" s="3761" t="s">
        <v>1919</v>
      </c>
      <c r="F6" s="3762"/>
      <c r="G6" s="3759" t="s">
        <v>1919</v>
      </c>
      <c r="H6" s="3760"/>
      <c r="I6" s="3759" t="s">
        <v>1919</v>
      </c>
      <c r="J6" s="3760"/>
      <c r="K6" s="559" t="s">
        <v>1678</v>
      </c>
      <c r="L6" s="2714"/>
      <c r="M6" s="2715"/>
      <c r="N6" s="2715"/>
      <c r="O6" s="2715"/>
      <c r="P6" s="3751"/>
      <c r="Q6" s="3699"/>
      <c r="R6" s="3702"/>
      <c r="S6" s="3703"/>
      <c r="T6" s="3704"/>
      <c r="U6" s="3705"/>
      <c r="V6" s="3707"/>
      <c r="W6" s="3707"/>
      <c r="X6" s="1354"/>
      <c r="Y6" s="3704"/>
      <c r="Z6" s="3705"/>
      <c r="AA6" s="3720"/>
      <c r="AB6" s="3720"/>
      <c r="AC6" s="3720"/>
    </row>
    <row r="7" spans="1:29" s="108" customFormat="1" ht="15.75" thickBot="1">
      <c r="A7" s="362" t="s">
        <v>1679</v>
      </c>
      <c r="B7" s="363"/>
      <c r="C7" s="364">
        <f>'数据-取费表'!B2</f>
        <v>44939</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14" t="s">
        <v>1680</v>
      </c>
      <c r="Q7" s="3715"/>
      <c r="R7" s="700" t="s">
        <v>14</v>
      </c>
      <c r="S7" s="701">
        <f t="shared" ref="S7:S15" si="0">F7</f>
        <v>0</v>
      </c>
      <c r="T7" s="700" t="s">
        <v>14</v>
      </c>
      <c r="U7" s="701">
        <f t="shared" ref="U7:U15" si="1">H7</f>
        <v>0</v>
      </c>
      <c r="V7" s="700" t="s">
        <v>14</v>
      </c>
      <c r="W7" s="701">
        <f t="shared" ref="W7:W15" si="2">J7</f>
        <v>0</v>
      </c>
      <c r="X7" s="702"/>
      <c r="Y7" s="3714" t="s">
        <v>1680</v>
      </c>
      <c r="Z7" s="3713"/>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4" t="s">
        <v>1683</v>
      </c>
      <c r="Q8" s="3713"/>
      <c r="R8" s="700" t="s">
        <v>14</v>
      </c>
      <c r="S8" s="701">
        <f t="shared" si="0"/>
        <v>0</v>
      </c>
      <c r="T8" s="700" t="s">
        <v>14</v>
      </c>
      <c r="U8" s="701">
        <f t="shared" si="1"/>
        <v>0</v>
      </c>
      <c r="V8" s="700" t="s">
        <v>14</v>
      </c>
      <c r="W8" s="701">
        <f t="shared" si="2"/>
        <v>0</v>
      </c>
      <c r="X8" s="702"/>
      <c r="Y8" s="3714" t="s">
        <v>1683</v>
      </c>
      <c r="Z8" s="3713"/>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73" t="s">
        <v>1686</v>
      </c>
      <c r="Q9" s="1342" t="str">
        <f t="shared" ref="Q9:Q15" si="6">B9</f>
        <v>用途</v>
      </c>
      <c r="R9" s="700" t="s">
        <v>14</v>
      </c>
      <c r="S9" s="701">
        <f t="shared" si="0"/>
        <v>100</v>
      </c>
      <c r="T9" s="700" t="s">
        <v>14</v>
      </c>
      <c r="U9" s="701">
        <f t="shared" si="1"/>
        <v>100</v>
      </c>
      <c r="V9" s="700" t="s">
        <v>14</v>
      </c>
      <c r="W9" s="701">
        <f t="shared" si="2"/>
        <v>100</v>
      </c>
      <c r="X9" s="702"/>
      <c r="Y9" s="3571"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8"/>
      <c r="M10" s="2719"/>
      <c r="N10" s="2719"/>
      <c r="O10" s="2772"/>
      <c r="P10" s="3673"/>
      <c r="Q10" s="1342" t="str">
        <f t="shared" si="6"/>
        <v>土地使用年限（年）</v>
      </c>
      <c r="R10" s="700" t="s">
        <v>14</v>
      </c>
      <c r="S10" s="701">
        <f t="shared" si="0"/>
        <v>111</v>
      </c>
      <c r="T10" s="700" t="s">
        <v>14</v>
      </c>
      <c r="U10" s="701">
        <f t="shared" si="1"/>
        <v>111</v>
      </c>
      <c r="V10" s="700" t="s">
        <v>14</v>
      </c>
      <c r="W10" s="701">
        <f t="shared" si="2"/>
        <v>111</v>
      </c>
      <c r="X10" s="702"/>
      <c r="Y10" s="3571"/>
      <c r="Z10" s="52" t="str">
        <f t="shared" si="7"/>
        <v>土地使用年限（年）</v>
      </c>
      <c r="AA10" s="703">
        <f t="shared" si="3"/>
        <v>0.90090090090090091</v>
      </c>
      <c r="AB10" s="703">
        <f t="shared" si="4"/>
        <v>0.90090090090090091</v>
      </c>
      <c r="AC10" s="703">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3"/>
      <c r="Q11" s="1342" t="str">
        <f t="shared" si="6"/>
        <v>容积率</v>
      </c>
      <c r="R11" s="700" t="s">
        <v>14</v>
      </c>
      <c r="S11" s="701" t="e">
        <f t="shared" si="0"/>
        <v>#N/A</v>
      </c>
      <c r="T11" s="700" t="s">
        <v>14</v>
      </c>
      <c r="U11" s="701" t="e">
        <f t="shared" si="1"/>
        <v>#N/A</v>
      </c>
      <c r="V11" s="700" t="s">
        <v>14</v>
      </c>
      <c r="W11" s="701" t="e">
        <f t="shared" si="2"/>
        <v>#N/A</v>
      </c>
      <c r="X11" s="702"/>
      <c r="Y11" s="3571"/>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3"/>
      <c r="Q12" s="1342">
        <f t="shared" si="6"/>
        <v>111</v>
      </c>
      <c r="R12" s="700" t="s">
        <v>14</v>
      </c>
      <c r="S12" s="701">
        <f t="shared" si="0"/>
        <v>100</v>
      </c>
      <c r="T12" s="700" t="s">
        <v>14</v>
      </c>
      <c r="U12" s="701">
        <f t="shared" si="1"/>
        <v>100</v>
      </c>
      <c r="V12" s="700" t="s">
        <v>14</v>
      </c>
      <c r="W12" s="701">
        <f t="shared" si="2"/>
        <v>100</v>
      </c>
      <c r="X12" s="702"/>
      <c r="Y12" s="357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3"/>
      <c r="Q13" s="1342">
        <f t="shared" si="6"/>
        <v>111</v>
      </c>
      <c r="R13" s="700" t="s">
        <v>14</v>
      </c>
      <c r="S13" s="701">
        <f t="shared" si="0"/>
        <v>100</v>
      </c>
      <c r="T13" s="700" t="s">
        <v>14</v>
      </c>
      <c r="U13" s="701">
        <f t="shared" si="1"/>
        <v>100</v>
      </c>
      <c r="V13" s="700" t="s">
        <v>14</v>
      </c>
      <c r="W13" s="701">
        <f t="shared" si="2"/>
        <v>100</v>
      </c>
      <c r="X13" s="702"/>
      <c r="Y13" s="357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3"/>
      <c r="Q14" s="1342">
        <f t="shared" si="6"/>
        <v>111</v>
      </c>
      <c r="R14" s="700" t="s">
        <v>14</v>
      </c>
      <c r="S14" s="701">
        <f t="shared" si="0"/>
        <v>100</v>
      </c>
      <c r="T14" s="700" t="s">
        <v>14</v>
      </c>
      <c r="U14" s="701">
        <f t="shared" si="1"/>
        <v>100</v>
      </c>
      <c r="V14" s="700" t="s">
        <v>14</v>
      </c>
      <c r="W14" s="701">
        <f t="shared" si="2"/>
        <v>100</v>
      </c>
      <c r="X14" s="702"/>
      <c r="Y14" s="3571"/>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0" t="s">
        <v>1691</v>
      </c>
      <c r="Q15" s="1351" t="str">
        <f t="shared" si="6"/>
        <v>产业集聚程度</v>
      </c>
      <c r="R15" s="704" t="s">
        <v>14</v>
      </c>
      <c r="S15" s="705">
        <f t="shared" si="0"/>
        <v>100</v>
      </c>
      <c r="T15" s="704" t="s">
        <v>14</v>
      </c>
      <c r="U15" s="705">
        <f t="shared" si="1"/>
        <v>100</v>
      </c>
      <c r="V15" s="704" t="s">
        <v>14</v>
      </c>
      <c r="W15" s="705">
        <f t="shared" si="2"/>
        <v>100</v>
      </c>
      <c r="X15" s="1354"/>
      <c r="Y15" s="3680"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81"/>
      <c r="Q16" s="1351"/>
      <c r="R16" s="704"/>
      <c r="S16" s="705"/>
      <c r="T16" s="704"/>
      <c r="U16" s="705"/>
      <c r="V16" s="704"/>
      <c r="W16" s="705"/>
      <c r="X16" s="1354"/>
      <c r="Y16" s="3681"/>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1"/>
      <c r="Q17" s="1351" t="str">
        <f>B17</f>
        <v>交通便捷度</v>
      </c>
      <c r="R17" s="704" t="s">
        <v>14</v>
      </c>
      <c r="S17" s="705">
        <f>F17</f>
        <v>100</v>
      </c>
      <c r="T17" s="704" t="s">
        <v>14</v>
      </c>
      <c r="U17" s="705">
        <f>H17</f>
        <v>100</v>
      </c>
      <c r="V17" s="704" t="s">
        <v>14</v>
      </c>
      <c r="W17" s="705">
        <f>J17</f>
        <v>100</v>
      </c>
      <c r="X17" s="1354"/>
      <c r="Y17" s="3681"/>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81"/>
      <c r="Q18" s="1351"/>
      <c r="R18" s="704"/>
      <c r="S18" s="705"/>
      <c r="T18" s="704"/>
      <c r="U18" s="705"/>
      <c r="V18" s="704"/>
      <c r="W18" s="705"/>
      <c r="X18" s="1354"/>
      <c r="Y18" s="3681"/>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1"/>
      <c r="Q19" s="1351" t="str">
        <f t="shared" ref="Q19:Q33" si="8">B19</f>
        <v>区域土地利用方向</v>
      </c>
      <c r="R19" s="704" t="s">
        <v>14</v>
      </c>
      <c r="S19" s="705">
        <f>F19</f>
        <v>100</v>
      </c>
      <c r="T19" s="704" t="s">
        <v>14</v>
      </c>
      <c r="U19" s="705">
        <f>H19</f>
        <v>100</v>
      </c>
      <c r="V19" s="704" t="s">
        <v>14</v>
      </c>
      <c r="W19" s="705">
        <f>J19</f>
        <v>100</v>
      </c>
      <c r="X19" s="1354"/>
      <c r="Y19" s="3681"/>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681"/>
      <c r="Q20" s="1351"/>
      <c r="R20" s="704"/>
      <c r="S20" s="705"/>
      <c r="T20" s="704"/>
      <c r="U20" s="705"/>
      <c r="V20" s="704"/>
      <c r="W20" s="705"/>
      <c r="X20" s="1354"/>
      <c r="Y20" s="3681"/>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1"/>
      <c r="Q21" s="1351" t="str">
        <f t="shared" si="8"/>
        <v>环境状况</v>
      </c>
      <c r="R21" s="704" t="s">
        <v>14</v>
      </c>
      <c r="S21" s="705">
        <f>F21</f>
        <v>100</v>
      </c>
      <c r="T21" s="704" t="s">
        <v>14</v>
      </c>
      <c r="U21" s="705">
        <f>H21</f>
        <v>100</v>
      </c>
      <c r="V21" s="704" t="s">
        <v>14</v>
      </c>
      <c r="W21" s="705">
        <f>J21</f>
        <v>100</v>
      </c>
      <c r="X21" s="1354"/>
      <c r="Y21" s="3681"/>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81"/>
      <c r="Q22" s="1351"/>
      <c r="R22" s="704"/>
      <c r="S22" s="705"/>
      <c r="T22" s="704"/>
      <c r="U22" s="705"/>
      <c r="V22" s="704"/>
      <c r="W22" s="705"/>
      <c r="X22" s="1354"/>
      <c r="Y22" s="3681"/>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1"/>
      <c r="Q23" s="1342" t="str">
        <f t="shared" si="8"/>
        <v>公共配套设施</v>
      </c>
      <c r="R23" s="700" t="s">
        <v>14</v>
      </c>
      <c r="S23" s="701">
        <f>F23</f>
        <v>100</v>
      </c>
      <c r="T23" s="700" t="s">
        <v>14</v>
      </c>
      <c r="U23" s="701">
        <f>H23</f>
        <v>100</v>
      </c>
      <c r="V23" s="700" t="s">
        <v>14</v>
      </c>
      <c r="W23" s="701">
        <f>J23</f>
        <v>100</v>
      </c>
      <c r="X23" s="702"/>
      <c r="Y23" s="3681"/>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81"/>
      <c r="Q24" s="1342"/>
      <c r="R24" s="700"/>
      <c r="S24" s="701"/>
      <c r="T24" s="700"/>
      <c r="U24" s="701"/>
      <c r="V24" s="700"/>
      <c r="W24" s="701"/>
      <c r="X24" s="702"/>
      <c r="Y24" s="3681"/>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1"/>
      <c r="Q25" s="1342" t="str">
        <f t="shared" ref="Q25" si="9">B25</f>
        <v>基础设施水平</v>
      </c>
      <c r="R25" s="700" t="s">
        <v>14</v>
      </c>
      <c r="S25" s="701">
        <f>F25</f>
        <v>100</v>
      </c>
      <c r="T25" s="700" t="s">
        <v>14</v>
      </c>
      <c r="U25" s="701">
        <f>H25</f>
        <v>100</v>
      </c>
      <c r="V25" s="700" t="s">
        <v>14</v>
      </c>
      <c r="W25" s="701">
        <f>J25</f>
        <v>100</v>
      </c>
      <c r="X25" s="702"/>
      <c r="Y25" s="3681"/>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81"/>
      <c r="Q26" s="1342"/>
      <c r="R26" s="700"/>
      <c r="S26" s="701"/>
      <c r="T26" s="700"/>
      <c r="U26" s="701"/>
      <c r="V26" s="700"/>
      <c r="W26" s="701"/>
      <c r="X26" s="702"/>
      <c r="Y26" s="3681"/>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1"/>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1"/>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1"/>
      <c r="Q28" s="1351" t="str">
        <f t="shared" si="8"/>
        <v>毗邻道路的类型与等级</v>
      </c>
      <c r="R28" s="704" t="s">
        <v>14</v>
      </c>
      <c r="S28" s="705">
        <f t="shared" si="10"/>
        <v>100</v>
      </c>
      <c r="T28" s="704" t="s">
        <v>14</v>
      </c>
      <c r="U28" s="705">
        <f t="shared" si="11"/>
        <v>100</v>
      </c>
      <c r="V28" s="704" t="s">
        <v>14</v>
      </c>
      <c r="W28" s="705">
        <f t="shared" si="12"/>
        <v>100</v>
      </c>
      <c r="X28" s="1354"/>
      <c r="Y28" s="3681"/>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81"/>
      <c r="Q29" s="1351"/>
      <c r="R29" s="704"/>
      <c r="S29" s="705"/>
      <c r="T29" s="704"/>
      <c r="U29" s="705"/>
      <c r="V29" s="704"/>
      <c r="W29" s="705"/>
      <c r="X29" s="1354"/>
      <c r="Y29" s="3681"/>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1"/>
      <c r="Q30" s="1351" t="str">
        <f t="shared" si="8"/>
        <v>土地级别</v>
      </c>
      <c r="R30" s="704" t="s">
        <v>14</v>
      </c>
      <c r="S30" s="705">
        <f t="shared" si="10"/>
        <v>100</v>
      </c>
      <c r="T30" s="704" t="s">
        <v>14</v>
      </c>
      <c r="U30" s="705">
        <f t="shared" si="11"/>
        <v>100</v>
      </c>
      <c r="V30" s="704" t="s">
        <v>14</v>
      </c>
      <c r="W30" s="705">
        <f t="shared" si="12"/>
        <v>100</v>
      </c>
      <c r="X30" s="1354"/>
      <c r="Y30" s="3681"/>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1"/>
      <c r="Q31" s="1351">
        <f t="shared" si="8"/>
        <v>111</v>
      </c>
      <c r="R31" s="704" t="s">
        <v>14</v>
      </c>
      <c r="S31" s="705">
        <f t="shared" si="10"/>
        <v>100</v>
      </c>
      <c r="T31" s="704" t="s">
        <v>14</v>
      </c>
      <c r="U31" s="705">
        <f t="shared" si="11"/>
        <v>100</v>
      </c>
      <c r="V31" s="704" t="s">
        <v>14</v>
      </c>
      <c r="W31" s="705">
        <f t="shared" si="12"/>
        <v>100</v>
      </c>
      <c r="X31" s="1354"/>
      <c r="Y31" s="3681"/>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4" t="s">
        <v>1696</v>
      </c>
      <c r="Q32" s="1351">
        <f t="shared" si="8"/>
        <v>111</v>
      </c>
      <c r="R32" s="704" t="s">
        <v>14</v>
      </c>
      <c r="S32" s="705">
        <f t="shared" si="10"/>
        <v>100</v>
      </c>
      <c r="T32" s="704" t="s">
        <v>14</v>
      </c>
      <c r="U32" s="705">
        <f t="shared" si="11"/>
        <v>100</v>
      </c>
      <c r="V32" s="704" t="s">
        <v>14</v>
      </c>
      <c r="W32" s="705">
        <f t="shared" si="12"/>
        <v>100</v>
      </c>
      <c r="X32" s="1354"/>
      <c r="Y32" s="3685"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5"/>
      <c r="Q33" s="1351">
        <f t="shared" si="8"/>
        <v>111</v>
      </c>
      <c r="R33" s="707" t="s">
        <v>14</v>
      </c>
      <c r="S33" s="708">
        <f t="shared" si="10"/>
        <v>100</v>
      </c>
      <c r="T33" s="707" t="s">
        <v>14</v>
      </c>
      <c r="U33" s="708">
        <f t="shared" si="11"/>
        <v>100</v>
      </c>
      <c r="V33" s="707" t="s">
        <v>14</v>
      </c>
      <c r="W33" s="708">
        <f t="shared" si="12"/>
        <v>100</v>
      </c>
      <c r="X33" s="709"/>
      <c r="Y33" s="3685"/>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5"/>
      <c r="Q34" s="1351" t="str">
        <f>B34</f>
        <v>宗地面积</v>
      </c>
      <c r="R34" s="704" t="s">
        <v>14</v>
      </c>
      <c r="S34" s="705" t="e">
        <f t="shared" si="10"/>
        <v>#N/A</v>
      </c>
      <c r="T34" s="704" t="s">
        <v>14</v>
      </c>
      <c r="U34" s="705" t="e">
        <f t="shared" si="11"/>
        <v>#N/A</v>
      </c>
      <c r="V34" s="704" t="s">
        <v>14</v>
      </c>
      <c r="W34" s="705" t="e">
        <f t="shared" si="12"/>
        <v>#N/A</v>
      </c>
      <c r="X34" s="1354"/>
      <c r="Y34" s="3685"/>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5"/>
      <c r="Q35" s="1351" t="str">
        <f t="shared" ref="Q35:Q40" si="14">B35</f>
        <v>宗地形状</v>
      </c>
      <c r="R35" s="704" t="s">
        <v>14</v>
      </c>
      <c r="S35" s="705">
        <f t="shared" si="10"/>
        <v>100</v>
      </c>
      <c r="T35" s="704" t="s">
        <v>14</v>
      </c>
      <c r="U35" s="705">
        <f t="shared" si="11"/>
        <v>100</v>
      </c>
      <c r="V35" s="704" t="s">
        <v>14</v>
      </c>
      <c r="W35" s="705">
        <f t="shared" si="12"/>
        <v>100</v>
      </c>
      <c r="X35" s="1354"/>
      <c r="Y35" s="3685"/>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5"/>
      <c r="Q36" s="1351" t="str">
        <f t="shared" si="14"/>
        <v>宗地开发程度</v>
      </c>
      <c r="R36" s="700" t="s">
        <v>14</v>
      </c>
      <c r="S36" s="701">
        <f t="shared" si="10"/>
        <v>100</v>
      </c>
      <c r="T36" s="700" t="s">
        <v>14</v>
      </c>
      <c r="U36" s="701">
        <f t="shared" si="11"/>
        <v>100</v>
      </c>
      <c r="V36" s="700" t="s">
        <v>14</v>
      </c>
      <c r="W36" s="701">
        <f t="shared" si="12"/>
        <v>100</v>
      </c>
      <c r="X36" s="702"/>
      <c r="Y36" s="3685"/>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5" t="s">
        <v>1696</v>
      </c>
      <c r="Q37" s="1351" t="str">
        <f t="shared" si="14"/>
        <v>工程地质条件</v>
      </c>
      <c r="R37" s="704" t="s">
        <v>14</v>
      </c>
      <c r="S37" s="705">
        <f t="shared" si="10"/>
        <v>100</v>
      </c>
      <c r="T37" s="704" t="s">
        <v>14</v>
      </c>
      <c r="U37" s="705">
        <f t="shared" si="11"/>
        <v>100</v>
      </c>
      <c r="V37" s="704" t="s">
        <v>14</v>
      </c>
      <c r="W37" s="705">
        <f t="shared" si="12"/>
        <v>100</v>
      </c>
      <c r="X37" s="1354"/>
      <c r="Y37" s="3685"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5"/>
      <c r="Q38" s="1351">
        <f t="shared" si="14"/>
        <v>111</v>
      </c>
      <c r="R38" s="704" t="s">
        <v>14</v>
      </c>
      <c r="S38" s="705">
        <f t="shared" si="10"/>
        <v>100</v>
      </c>
      <c r="T38" s="704" t="s">
        <v>14</v>
      </c>
      <c r="U38" s="705">
        <f t="shared" si="11"/>
        <v>100</v>
      </c>
      <c r="V38" s="704" t="s">
        <v>14</v>
      </c>
      <c r="W38" s="705">
        <f t="shared" si="12"/>
        <v>100</v>
      </c>
      <c r="X38" s="1354"/>
      <c r="Y38" s="3685"/>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5"/>
      <c r="Q39" s="1351">
        <f t="shared" si="14"/>
        <v>111</v>
      </c>
      <c r="R39" s="704" t="s">
        <v>14</v>
      </c>
      <c r="S39" s="705">
        <f t="shared" si="10"/>
        <v>100</v>
      </c>
      <c r="T39" s="704" t="s">
        <v>14</v>
      </c>
      <c r="U39" s="705">
        <f t="shared" si="11"/>
        <v>100</v>
      </c>
      <c r="V39" s="704" t="s">
        <v>14</v>
      </c>
      <c r="W39" s="705">
        <f t="shared" si="12"/>
        <v>100</v>
      </c>
      <c r="X39" s="1354"/>
      <c r="Y39" s="3685"/>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5"/>
      <c r="Q40" s="1351">
        <f t="shared" si="14"/>
        <v>111</v>
      </c>
      <c r="R40" s="707" t="s">
        <v>14</v>
      </c>
      <c r="S40" s="708">
        <f t="shared" si="10"/>
        <v>100</v>
      </c>
      <c r="T40" s="707" t="s">
        <v>14</v>
      </c>
      <c r="U40" s="708">
        <f t="shared" si="11"/>
        <v>100</v>
      </c>
      <c r="V40" s="707" t="s">
        <v>14</v>
      </c>
      <c r="W40" s="708">
        <f t="shared" si="12"/>
        <v>100</v>
      </c>
      <c r="X40" s="709"/>
      <c r="Y40" s="3685"/>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673" t="str">
        <f>A41</f>
        <v>成交单价</v>
      </c>
      <c r="Q41" s="3673"/>
      <c r="R41" s="3707">
        <f>E41</f>
        <v>0</v>
      </c>
      <c r="S41" s="3707"/>
      <c r="T41" s="3707">
        <f>G41</f>
        <v>0</v>
      </c>
      <c r="U41" s="3707"/>
      <c r="V41" s="3707">
        <f>I41</f>
        <v>0</v>
      </c>
      <c r="W41" s="3707"/>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673" t="str">
        <f>A42</f>
        <v>比较价值（元/平方米）</v>
      </c>
      <c r="Q42" s="3673"/>
      <c r="R42" s="3756" t="e">
        <f>ROUND(PRODUCT(R41,AA7:AA40),0)</f>
        <v>#DIV/0!</v>
      </c>
      <c r="S42" s="3756"/>
      <c r="T42" s="3756" t="e">
        <f>ROUND(PRODUCT(T41,AB7:AB40),0)</f>
        <v>#DIV/0!</v>
      </c>
      <c r="U42" s="3756"/>
      <c r="V42" s="3756" t="e">
        <f>ROUND(PRODUCT(V41,AC7:AC40),0)</f>
        <v>#DIV/0!</v>
      </c>
      <c r="W42" s="3756"/>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44" t="str">
        <f>A43</f>
        <v>估价对象XX用房的比较价值（楼面单价，元/平方米）</v>
      </c>
      <c r="Q43" s="3745"/>
      <c r="R43" s="3757" t="e">
        <f>ROUND(IF(D42="简单平均",AVERAGE(R42:W42),R42*F42+T42*H42+V42*J42),0)</f>
        <v>#DIV/0!</v>
      </c>
      <c r="S43" s="3757"/>
      <c r="T43" s="3757"/>
      <c r="U43" s="3757"/>
      <c r="V43" s="3757"/>
      <c r="W43" s="3757"/>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0" t="s">
        <v>1887</v>
      </c>
      <c r="H50" s="3758"/>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91.97</v>
      </c>
      <c r="F51" s="639" t="e">
        <f t="shared" ref="F51:F60" si="15">ROUND(B51*E51/10000,0)</f>
        <v>#DIV/0!</v>
      </c>
      <c r="G51" s="3672"/>
      <c r="H51" s="3673"/>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2023-1-1</v>
      </c>
      <c r="D63" s="691">
        <f>EDATE(C63,-3)</f>
        <v>44835</v>
      </c>
      <c r="E63" s="691">
        <f>EDATE(D63,-3)</f>
        <v>44743</v>
      </c>
      <c r="F63" s="691">
        <f t="shared" ref="F63:O63" si="18">EDATE(E63,-3)</f>
        <v>44652</v>
      </c>
      <c r="G63" s="691">
        <f t="shared" si="18"/>
        <v>44562</v>
      </c>
      <c r="H63" s="691">
        <f t="shared" si="18"/>
        <v>44470</v>
      </c>
      <c r="I63" s="691">
        <f t="shared" si="18"/>
        <v>44378</v>
      </c>
      <c r="J63" s="691">
        <f t="shared" si="18"/>
        <v>44287</v>
      </c>
      <c r="K63" s="691">
        <f t="shared" si="18"/>
        <v>44197</v>
      </c>
      <c r="L63" s="691">
        <f t="shared" si="18"/>
        <v>44105</v>
      </c>
      <c r="M63" s="691">
        <f t="shared" si="18"/>
        <v>44013</v>
      </c>
      <c r="N63" s="691">
        <f t="shared" si="18"/>
        <v>43922</v>
      </c>
      <c r="O63" s="691">
        <f t="shared" si="18"/>
        <v>43831</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E4" sqref="E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66" t="s">
        <v>2084</v>
      </c>
      <c r="D1" s="3767"/>
      <c r="E1" s="3767"/>
      <c r="F1" s="3767"/>
      <c r="G1" s="3767"/>
      <c r="H1" s="3767"/>
      <c r="I1" s="3767"/>
      <c r="J1" s="3767"/>
      <c r="K1" s="3767"/>
      <c r="L1" s="3767"/>
      <c r="M1" s="3767"/>
      <c r="N1" s="3767"/>
      <c r="O1" s="3767"/>
      <c r="P1" s="3767"/>
      <c r="Q1" s="3767"/>
      <c r="R1" s="3767"/>
      <c r="S1" s="3768"/>
      <c r="T1" s="982" t="s">
        <v>2085</v>
      </c>
    </row>
    <row r="2" spans="1:45" s="655" customFormat="1" ht="38.25">
      <c r="A2" s="983"/>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v>100</v>
      </c>
      <c r="E3" s="657">
        <v>200</v>
      </c>
      <c r="F3" s="657">
        <f>'比较法-办公'!F104</f>
        <v>300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657">
        <f>'比较法-办公'!C105</f>
        <v>100</v>
      </c>
      <c r="D4" s="657">
        <v>99</v>
      </c>
      <c r="E4" s="657">
        <f>'比较法-办公'!E105</f>
        <v>98</v>
      </c>
      <c r="F4" s="657">
        <f>'比较法-办公'!F105</f>
        <v>97</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4758</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28977</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1642.01</v>
      </c>
      <c r="C22" s="3763" t="s">
        <v>27</v>
      </c>
      <c r="D22" s="3764"/>
      <c r="E22" s="3764"/>
      <c r="F22" s="3764"/>
      <c r="G22" s="3764"/>
      <c r="H22" s="3764"/>
      <c r="I22" s="3764"/>
      <c r="J22" s="3764"/>
      <c r="K22" s="3764"/>
      <c r="L22" s="3764"/>
      <c r="M22" s="3764"/>
      <c r="N22" s="3764"/>
      <c r="O22" s="3764"/>
      <c r="P22" s="3764"/>
      <c r="Q22" s="3765"/>
      <c r="R22" s="662">
        <f ca="1">ROUND(S22*10000/B22,0)</f>
        <v>28977</v>
      </c>
      <c r="S22" s="21">
        <f ca="1">SUM(S24:S10000)</f>
        <v>4758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面积清单!B3</f>
        <v>901</v>
      </c>
      <c r="B24" s="664">
        <f>面积清单!C3</f>
        <v>229.53</v>
      </c>
      <c r="C24" s="2809">
        <v>1</v>
      </c>
      <c r="D24" s="2810"/>
      <c r="E24" s="2809">
        <v>1</v>
      </c>
      <c r="F24" s="2810"/>
      <c r="G24" s="2809">
        <v>1</v>
      </c>
      <c r="H24" s="2810"/>
      <c r="I24" s="2809">
        <v>1</v>
      </c>
      <c r="J24" s="2810"/>
      <c r="K24" s="2809">
        <v>1</v>
      </c>
      <c r="L24" s="2810"/>
      <c r="M24" s="2809">
        <v>1</v>
      </c>
      <c r="N24" s="2810"/>
      <c r="O24" s="2809">
        <v>1</v>
      </c>
      <c r="P24" s="2810"/>
      <c r="Q24" s="2809">
        <v>1</v>
      </c>
      <c r="R24" s="667">
        <f ca="1">结果表!G20</f>
        <v>28582</v>
      </c>
      <c r="S24" s="665">
        <f t="shared" ref="S24:S54" ca="1" si="11">ROUND(R24*B24/10000,0)</f>
        <v>656</v>
      </c>
      <c r="T24" s="729">
        <f ca="1">ROUND(R24*B24/10000,2)</f>
        <v>656.04</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f>面积清单!B4</f>
        <v>902</v>
      </c>
      <c r="B25" s="664">
        <f>面积清单!C4</f>
        <v>89.91</v>
      </c>
      <c r="C25" s="21">
        <f>IF(B25="",1,(LOOKUP(B25,$3:$3,$4:$4)-LOOKUP($B$24,$3:$3,$4:$4)+100)/100)</f>
        <v>1.02</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29154</v>
      </c>
      <c r="S25" s="316">
        <f t="shared" ca="1" si="11"/>
        <v>262</v>
      </c>
      <c r="T25" s="729">
        <f t="shared" ref="T25:T39" ca="1" si="12">ROUND(R25*B25/10000,2)</f>
        <v>262.12</v>
      </c>
    </row>
    <row r="26" spans="1:45">
      <c r="A26" s="664">
        <f>面积清单!B5</f>
        <v>903</v>
      </c>
      <c r="B26" s="664">
        <f>面积清单!C5</f>
        <v>111.32</v>
      </c>
      <c r="C26" s="21">
        <f t="shared" ref="C26:C89" si="13">IF(B26="",1,(LOOKUP(B26,$3:$3,$4:$4)-LOOKUP($B$24,$3:$3,$4:$4)+100)/100)</f>
        <v>1.01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c r="Q26" s="21">
        <f t="shared" ref="Q26:Q89" si="20">(SUMIF($17:$17,P26,$18:$18)-SUMIF($17:$17,$P$24,$18:$18)+100)/100</f>
        <v>1</v>
      </c>
      <c r="R26" s="662">
        <f t="shared" ref="R26:R89" ca="1" si="21">IF(B26="",0,ROUND($R$24*C26*E26*G26*I26*K26*M26*O26*Q26,0))</f>
        <v>28868</v>
      </c>
      <c r="S26" s="316">
        <f t="shared" ca="1" si="11"/>
        <v>321</v>
      </c>
      <c r="T26" s="729">
        <f t="shared" ca="1" si="12"/>
        <v>321.36</v>
      </c>
    </row>
    <row r="27" spans="1:45">
      <c r="A27" s="664">
        <f>面积清单!B6</f>
        <v>904</v>
      </c>
      <c r="B27" s="664">
        <f>面积清单!C6</f>
        <v>92.76</v>
      </c>
      <c r="C27" s="21">
        <f t="shared" si="13"/>
        <v>1.02</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c r="Q27" s="21">
        <f t="shared" si="20"/>
        <v>1</v>
      </c>
      <c r="R27" s="662">
        <f t="shared" ca="1" si="21"/>
        <v>29154</v>
      </c>
      <c r="S27" s="316">
        <f t="shared" ca="1" si="11"/>
        <v>270</v>
      </c>
      <c r="T27" s="729">
        <f t="shared" ca="1" si="12"/>
        <v>270.43</v>
      </c>
    </row>
    <row r="28" spans="1:45">
      <c r="A28" s="664">
        <f>面积清单!B7</f>
        <v>905</v>
      </c>
      <c r="B28" s="664">
        <f>面积清单!C7</f>
        <v>111.44</v>
      </c>
      <c r="C28" s="21">
        <f t="shared" si="13"/>
        <v>1.01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c r="Q28" s="21">
        <f t="shared" si="20"/>
        <v>1</v>
      </c>
      <c r="R28" s="662">
        <f t="shared" ca="1" si="21"/>
        <v>28868</v>
      </c>
      <c r="S28" s="316">
        <f t="shared" ca="1" si="11"/>
        <v>322</v>
      </c>
      <c r="T28" s="729">
        <f t="shared" ca="1" si="12"/>
        <v>321.7</v>
      </c>
    </row>
    <row r="29" spans="1:45">
      <c r="A29" s="664">
        <f>面积清单!B8</f>
        <v>906</v>
      </c>
      <c r="B29" s="664">
        <f>面积清单!C8</f>
        <v>91.17</v>
      </c>
      <c r="C29" s="21">
        <f t="shared" si="13"/>
        <v>1.02</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c r="Q29" s="21">
        <f t="shared" si="20"/>
        <v>1</v>
      </c>
      <c r="R29" s="662">
        <f t="shared" ca="1" si="21"/>
        <v>29154</v>
      </c>
      <c r="S29" s="316">
        <f t="shared" ca="1" si="11"/>
        <v>266</v>
      </c>
      <c r="T29" s="729">
        <f t="shared" ca="1" si="12"/>
        <v>265.8</v>
      </c>
    </row>
    <row r="30" spans="1:45">
      <c r="A30" s="664">
        <f>面积清单!B9</f>
        <v>907</v>
      </c>
      <c r="B30" s="664">
        <f>面积清单!C9</f>
        <v>111.05</v>
      </c>
      <c r="C30" s="21">
        <f t="shared" si="13"/>
        <v>1.01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c r="Q30" s="21">
        <f t="shared" si="20"/>
        <v>1</v>
      </c>
      <c r="R30" s="662">
        <f t="shared" ca="1" si="21"/>
        <v>28868</v>
      </c>
      <c r="S30" s="316">
        <f t="shared" ca="1" si="11"/>
        <v>321</v>
      </c>
      <c r="T30" s="729">
        <f t="shared" ca="1" si="12"/>
        <v>320.58</v>
      </c>
    </row>
    <row r="31" spans="1:45">
      <c r="A31" s="664">
        <f>面积清单!B10</f>
        <v>908</v>
      </c>
      <c r="B31" s="664">
        <f>面积清单!C10</f>
        <v>91.97</v>
      </c>
      <c r="C31" s="21">
        <f t="shared" si="13"/>
        <v>1.02</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c r="Q31" s="21">
        <f t="shared" si="20"/>
        <v>1</v>
      </c>
      <c r="R31" s="662">
        <f t="shared" ca="1" si="21"/>
        <v>29154</v>
      </c>
      <c r="S31" s="316">
        <f t="shared" ca="1" si="11"/>
        <v>268</v>
      </c>
      <c r="T31" s="729">
        <f t="shared" ca="1" si="12"/>
        <v>268.13</v>
      </c>
    </row>
    <row r="32" spans="1:45">
      <c r="A32" s="664">
        <f>面积清单!B11</f>
        <v>909</v>
      </c>
      <c r="B32" s="664">
        <f>面积清单!C11</f>
        <v>113.63</v>
      </c>
      <c r="C32" s="21">
        <f t="shared" si="13"/>
        <v>1.01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c r="Q32" s="21">
        <f t="shared" si="20"/>
        <v>1</v>
      </c>
      <c r="R32" s="662">
        <f t="shared" ca="1" si="21"/>
        <v>28868</v>
      </c>
      <c r="S32" s="316">
        <f t="shared" ca="1" si="11"/>
        <v>328</v>
      </c>
      <c r="T32" s="729">
        <f t="shared" ca="1" si="12"/>
        <v>328.03</v>
      </c>
    </row>
    <row r="33" spans="1:20">
      <c r="A33" s="664">
        <f>面积清单!B12</f>
        <v>910</v>
      </c>
      <c r="B33" s="664">
        <f>面积清单!C12</f>
        <v>91.97</v>
      </c>
      <c r="C33" s="21">
        <f t="shared" si="13"/>
        <v>1.02</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c r="Q33" s="21">
        <f t="shared" si="20"/>
        <v>1</v>
      </c>
      <c r="R33" s="662">
        <f t="shared" ca="1" si="21"/>
        <v>29154</v>
      </c>
      <c r="S33" s="316">
        <f t="shared" ca="1" si="11"/>
        <v>268</v>
      </c>
      <c r="T33" s="729">
        <f t="shared" ca="1" si="12"/>
        <v>268.13</v>
      </c>
    </row>
    <row r="34" spans="1:20">
      <c r="A34" s="664">
        <f>面积清单!B13</f>
        <v>911</v>
      </c>
      <c r="B34" s="664">
        <f>面积清单!C13</f>
        <v>104.95</v>
      </c>
      <c r="C34" s="21">
        <f t="shared" si="13"/>
        <v>1.01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c r="Q34" s="21">
        <f t="shared" si="20"/>
        <v>1</v>
      </c>
      <c r="R34" s="662">
        <f t="shared" ca="1" si="21"/>
        <v>28868</v>
      </c>
      <c r="S34" s="316">
        <f t="shared" ca="1" si="11"/>
        <v>303</v>
      </c>
      <c r="T34" s="729">
        <f t="shared" ca="1" si="12"/>
        <v>302.97000000000003</v>
      </c>
    </row>
    <row r="35" spans="1:20">
      <c r="A35" s="664">
        <f>面积清单!B14</f>
        <v>912</v>
      </c>
      <c r="B35" s="664">
        <f>面积清单!C14</f>
        <v>88.79</v>
      </c>
      <c r="C35" s="21">
        <f t="shared" si="13"/>
        <v>1.02</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c r="Q35" s="21">
        <f t="shared" si="20"/>
        <v>1</v>
      </c>
      <c r="R35" s="662">
        <f t="shared" ca="1" si="21"/>
        <v>29154</v>
      </c>
      <c r="S35" s="316">
        <f t="shared" ca="1" si="11"/>
        <v>259</v>
      </c>
      <c r="T35" s="729">
        <f t="shared" ca="1" si="12"/>
        <v>258.86</v>
      </c>
    </row>
    <row r="36" spans="1:20">
      <c r="A36" s="664">
        <f>面积清单!B15</f>
        <v>913</v>
      </c>
      <c r="B36" s="664">
        <f>面积清单!C15</f>
        <v>84.75</v>
      </c>
      <c r="C36" s="21">
        <f t="shared" si="13"/>
        <v>1.02</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c r="Q36" s="21">
        <f t="shared" si="20"/>
        <v>1</v>
      </c>
      <c r="R36" s="662">
        <f t="shared" ca="1" si="21"/>
        <v>29154</v>
      </c>
      <c r="S36" s="316">
        <f t="shared" ca="1" si="11"/>
        <v>247</v>
      </c>
      <c r="T36" s="729">
        <f t="shared" ca="1" si="12"/>
        <v>247.08</v>
      </c>
    </row>
    <row r="37" spans="1:20">
      <c r="A37" s="664">
        <f>面积清单!B16</f>
        <v>914</v>
      </c>
      <c r="B37" s="664">
        <f>面积清单!C16</f>
        <v>77.17</v>
      </c>
      <c r="C37" s="21">
        <f t="shared" si="13"/>
        <v>1.02</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1</v>
      </c>
      <c r="R37" s="662">
        <f t="shared" ca="1" si="21"/>
        <v>29154</v>
      </c>
      <c r="S37" s="316">
        <f t="shared" ca="1" si="11"/>
        <v>225</v>
      </c>
      <c r="T37" s="729">
        <f t="shared" ca="1" si="12"/>
        <v>224.98</v>
      </c>
    </row>
    <row r="38" spans="1:20">
      <c r="A38" s="664">
        <f>面积清单!B17</f>
        <v>915</v>
      </c>
      <c r="B38" s="664">
        <f>面积清单!C17</f>
        <v>84.11</v>
      </c>
      <c r="C38" s="21">
        <f t="shared" si="13"/>
        <v>1.02</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1</v>
      </c>
      <c r="R38" s="662">
        <f t="shared" ca="1" si="21"/>
        <v>29154</v>
      </c>
      <c r="S38" s="316">
        <f t="shared" ca="1" si="11"/>
        <v>245</v>
      </c>
      <c r="T38" s="729">
        <f t="shared" ca="1" si="12"/>
        <v>245.21</v>
      </c>
    </row>
    <row r="39" spans="1:20">
      <c r="A39" s="664">
        <f>面积清单!B18</f>
        <v>916</v>
      </c>
      <c r="B39" s="664">
        <f>面积清单!C18</f>
        <v>67.489999999999995</v>
      </c>
      <c r="C39" s="21">
        <f t="shared" si="13"/>
        <v>1.02</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1</v>
      </c>
      <c r="R39" s="662">
        <f t="shared" ca="1" si="21"/>
        <v>29154</v>
      </c>
      <c r="S39" s="316">
        <f t="shared" ca="1" si="11"/>
        <v>197</v>
      </c>
      <c r="T39" s="729">
        <f t="shared" ca="1" si="12"/>
        <v>196.76</v>
      </c>
    </row>
    <row r="40" spans="1:20">
      <c r="A40" s="664"/>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1"/>
        <v>0</v>
      </c>
    </row>
    <row r="41" spans="1:20">
      <c r="A41" s="664"/>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1"/>
        <v>0</v>
      </c>
    </row>
    <row r="42" spans="1:20">
      <c r="A42" s="664"/>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1"/>
        <v>0</v>
      </c>
    </row>
    <row r="43" spans="1:20">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1"/>
        <v>0</v>
      </c>
    </row>
    <row r="44" spans="1:20">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1"/>
        <v>0</v>
      </c>
    </row>
    <row r="45" spans="1:20">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1"/>
        <v>0</v>
      </c>
    </row>
    <row r="46" spans="1:20">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1"/>
        <v>0</v>
      </c>
    </row>
    <row r="47" spans="1:20">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1"/>
        <v>0</v>
      </c>
    </row>
    <row r="48" spans="1:20">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1"/>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1"/>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1"/>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1"/>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1"/>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1"/>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1"/>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150"/>
      <c r="B90" s="54"/>
      <c r="C90" s="21">
        <f t="shared" ref="C90:C153" si="24">IF(B90="",1,(LOOKUP(B90,$3:$3,$4:$4)-LOOKUP($B$24,$3:$3,$4:$4)+100)/100)</f>
        <v>1</v>
      </c>
      <c r="D90" s="666"/>
      <c r="E90" s="21">
        <f t="shared" ref="E90:E153" si="25">(SUMIF($5:$5,D90,$6:$6)-SUMIF($5:$5,$D$24,$6:$6)+100)/100</f>
        <v>1</v>
      </c>
      <c r="F90" s="666"/>
      <c r="G90" s="21">
        <f t="shared" ref="G90:G153" si="26">(SUMIF($7:$7,F90,$8:$8)-SUMIF($7:$7,$F$24,$8:$8)+100)/100</f>
        <v>1</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150"/>
      <c r="B91" s="54"/>
      <c r="C91" s="21">
        <f t="shared" si="24"/>
        <v>1</v>
      </c>
      <c r="D91" s="666"/>
      <c r="E91" s="21">
        <f t="shared" si="25"/>
        <v>1</v>
      </c>
      <c r="F91" s="666"/>
      <c r="G91" s="21">
        <f t="shared" si="26"/>
        <v>1</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150"/>
      <c r="B92" s="54"/>
      <c r="C92" s="21">
        <f t="shared" si="24"/>
        <v>1</v>
      </c>
      <c r="D92" s="666"/>
      <c r="E92" s="21">
        <f t="shared" si="25"/>
        <v>1</v>
      </c>
      <c r="F92" s="666"/>
      <c r="G92" s="21">
        <f t="shared" si="26"/>
        <v>1</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150"/>
      <c r="B93" s="54"/>
      <c r="C93" s="21">
        <f t="shared" si="24"/>
        <v>1</v>
      </c>
      <c r="D93" s="666"/>
      <c r="E93" s="21">
        <f t="shared" si="25"/>
        <v>1</v>
      </c>
      <c r="F93" s="666"/>
      <c r="G93" s="21">
        <f t="shared" si="26"/>
        <v>1</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150"/>
      <c r="B94" s="54"/>
      <c r="C94" s="21">
        <f t="shared" si="24"/>
        <v>1</v>
      </c>
      <c r="D94" s="666"/>
      <c r="E94" s="21">
        <f t="shared" si="25"/>
        <v>1</v>
      </c>
      <c r="F94" s="666"/>
      <c r="G94" s="21">
        <f t="shared" si="26"/>
        <v>1</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150"/>
      <c r="B95" s="54"/>
      <c r="C95" s="21">
        <f t="shared" si="24"/>
        <v>1</v>
      </c>
      <c r="D95" s="666"/>
      <c r="E95" s="21">
        <f t="shared" si="25"/>
        <v>1</v>
      </c>
      <c r="F95" s="666"/>
      <c r="G95" s="21">
        <f t="shared" si="26"/>
        <v>1</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150"/>
      <c r="B96" s="54"/>
      <c r="C96" s="21">
        <f t="shared" si="24"/>
        <v>1</v>
      </c>
      <c r="D96" s="666"/>
      <c r="E96" s="21">
        <f t="shared" si="25"/>
        <v>1</v>
      </c>
      <c r="F96" s="666"/>
      <c r="G96" s="21">
        <f t="shared" si="26"/>
        <v>1</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150"/>
      <c r="B97" s="54"/>
      <c r="C97" s="21">
        <f t="shared" si="24"/>
        <v>1</v>
      </c>
      <c r="D97" s="666"/>
      <c r="E97" s="21">
        <f t="shared" si="25"/>
        <v>1</v>
      </c>
      <c r="F97" s="666"/>
      <c r="G97" s="21">
        <f t="shared" si="26"/>
        <v>1</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150"/>
      <c r="B98" s="54"/>
      <c r="C98" s="21">
        <f t="shared" si="24"/>
        <v>1</v>
      </c>
      <c r="D98" s="666"/>
      <c r="E98" s="21">
        <f t="shared" si="25"/>
        <v>1</v>
      </c>
      <c r="F98" s="666"/>
      <c r="G98" s="21">
        <f t="shared" si="26"/>
        <v>1</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150"/>
      <c r="B99" s="54"/>
      <c r="C99" s="21">
        <f t="shared" si="24"/>
        <v>1</v>
      </c>
      <c r="D99" s="666"/>
      <c r="E99" s="21">
        <f t="shared" si="25"/>
        <v>1</v>
      </c>
      <c r="F99" s="666"/>
      <c r="G99" s="21">
        <f t="shared" si="26"/>
        <v>1</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150"/>
      <c r="B100" s="54"/>
      <c r="C100" s="21">
        <f t="shared" si="24"/>
        <v>1</v>
      </c>
      <c r="D100" s="666"/>
      <c r="E100" s="21">
        <f t="shared" si="25"/>
        <v>1</v>
      </c>
      <c r="F100" s="666"/>
      <c r="G100" s="21">
        <f t="shared" si="26"/>
        <v>1</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150"/>
      <c r="B101" s="54"/>
      <c r="C101" s="21">
        <f t="shared" si="24"/>
        <v>1</v>
      </c>
      <c r="D101" s="666"/>
      <c r="E101" s="21">
        <f t="shared" si="25"/>
        <v>1</v>
      </c>
      <c r="F101" s="666"/>
      <c r="G101" s="21">
        <f t="shared" si="26"/>
        <v>1</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150"/>
      <c r="B102" s="54"/>
      <c r="C102" s="21">
        <f t="shared" si="24"/>
        <v>1</v>
      </c>
      <c r="D102" s="666"/>
      <c r="E102" s="21">
        <f t="shared" si="25"/>
        <v>1</v>
      </c>
      <c r="F102" s="666"/>
      <c r="G102" s="21">
        <f t="shared" si="26"/>
        <v>1</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150"/>
      <c r="B103" s="54"/>
      <c r="C103" s="21">
        <f t="shared" si="24"/>
        <v>1</v>
      </c>
      <c r="D103" s="666"/>
      <c r="E103" s="21">
        <f t="shared" si="25"/>
        <v>1</v>
      </c>
      <c r="F103" s="666"/>
      <c r="G103" s="21">
        <f t="shared" si="26"/>
        <v>1</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150"/>
      <c r="B104" s="54"/>
      <c r="C104" s="21">
        <f t="shared" si="24"/>
        <v>1</v>
      </c>
      <c r="D104" s="666"/>
      <c r="E104" s="21">
        <f t="shared" si="25"/>
        <v>1</v>
      </c>
      <c r="F104" s="666"/>
      <c r="G104" s="21">
        <f t="shared" si="26"/>
        <v>1</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150"/>
      <c r="B105" s="54"/>
      <c r="C105" s="21">
        <f t="shared" si="24"/>
        <v>1</v>
      </c>
      <c r="D105" s="666"/>
      <c r="E105" s="21">
        <f t="shared" si="25"/>
        <v>1</v>
      </c>
      <c r="F105" s="666"/>
      <c r="G105" s="21">
        <f t="shared" si="26"/>
        <v>1</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150"/>
      <c r="B106" s="54"/>
      <c r="C106" s="21">
        <f t="shared" si="24"/>
        <v>1</v>
      </c>
      <c r="D106" s="666"/>
      <c r="E106" s="21">
        <f t="shared" si="25"/>
        <v>1</v>
      </c>
      <c r="F106" s="666"/>
      <c r="G106" s="21">
        <f t="shared" si="26"/>
        <v>1</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150"/>
      <c r="B107" s="54"/>
      <c r="C107" s="21">
        <f t="shared" si="24"/>
        <v>1</v>
      </c>
      <c r="D107" s="666"/>
      <c r="E107" s="21">
        <f t="shared" si="25"/>
        <v>1</v>
      </c>
      <c r="F107" s="666"/>
      <c r="G107" s="21">
        <f t="shared" si="26"/>
        <v>1</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150"/>
      <c r="B108" s="54"/>
      <c r="C108" s="21">
        <f t="shared" si="24"/>
        <v>1</v>
      </c>
      <c r="D108" s="666"/>
      <c r="E108" s="21">
        <f t="shared" si="25"/>
        <v>1</v>
      </c>
      <c r="F108" s="666"/>
      <c r="G108" s="21">
        <f t="shared" si="26"/>
        <v>1</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150"/>
      <c r="B109" s="54"/>
      <c r="C109" s="21">
        <f t="shared" si="24"/>
        <v>1</v>
      </c>
      <c r="D109" s="666"/>
      <c r="E109" s="21">
        <f t="shared" si="25"/>
        <v>1</v>
      </c>
      <c r="F109" s="666"/>
      <c r="G109" s="21">
        <f t="shared" si="26"/>
        <v>1</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150"/>
      <c r="B110" s="54"/>
      <c r="C110" s="21">
        <f t="shared" si="24"/>
        <v>1</v>
      </c>
      <c r="D110" s="666"/>
      <c r="E110" s="21">
        <f t="shared" si="25"/>
        <v>1</v>
      </c>
      <c r="F110" s="666"/>
      <c r="G110" s="21">
        <f t="shared" si="26"/>
        <v>1</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150"/>
      <c r="B111" s="54"/>
      <c r="C111" s="21">
        <f t="shared" si="24"/>
        <v>1</v>
      </c>
      <c r="D111" s="666"/>
      <c r="E111" s="21">
        <f t="shared" si="25"/>
        <v>1</v>
      </c>
      <c r="F111" s="666"/>
      <c r="G111" s="21">
        <f t="shared" si="26"/>
        <v>1</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150"/>
      <c r="B112" s="54"/>
      <c r="C112" s="21">
        <f t="shared" si="24"/>
        <v>1</v>
      </c>
      <c r="D112" s="666"/>
      <c r="E112" s="21">
        <f t="shared" si="25"/>
        <v>1</v>
      </c>
      <c r="F112" s="666"/>
      <c r="G112" s="21">
        <f t="shared" si="26"/>
        <v>1</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150"/>
      <c r="B113" s="54"/>
      <c r="C113" s="21">
        <f t="shared" si="24"/>
        <v>1</v>
      </c>
      <c r="D113" s="666"/>
      <c r="E113" s="21">
        <f t="shared" si="25"/>
        <v>1</v>
      </c>
      <c r="F113" s="666"/>
      <c r="G113" s="21">
        <f t="shared" si="26"/>
        <v>1</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150"/>
      <c r="B114" s="54"/>
      <c r="C114" s="21">
        <f t="shared" si="24"/>
        <v>1</v>
      </c>
      <c r="D114" s="666"/>
      <c r="E114" s="21">
        <f t="shared" si="25"/>
        <v>1</v>
      </c>
      <c r="F114" s="666"/>
      <c r="G114" s="21">
        <f t="shared" si="26"/>
        <v>1</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150"/>
      <c r="B115" s="54"/>
      <c r="C115" s="21">
        <f t="shared" si="24"/>
        <v>1</v>
      </c>
      <c r="D115" s="666"/>
      <c r="E115" s="21">
        <f t="shared" si="25"/>
        <v>1</v>
      </c>
      <c r="F115" s="666"/>
      <c r="G115" s="21">
        <f t="shared" si="26"/>
        <v>1</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150"/>
      <c r="B116" s="54"/>
      <c r="C116" s="21">
        <f t="shared" si="24"/>
        <v>1</v>
      </c>
      <c r="D116" s="666"/>
      <c r="E116" s="21">
        <f t="shared" si="25"/>
        <v>1</v>
      </c>
      <c r="F116" s="666"/>
      <c r="G116" s="21">
        <f t="shared" si="26"/>
        <v>1</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150"/>
      <c r="B117" s="54"/>
      <c r="C117" s="21">
        <f t="shared" si="24"/>
        <v>1</v>
      </c>
      <c r="D117" s="666"/>
      <c r="E117" s="21">
        <f t="shared" si="25"/>
        <v>1</v>
      </c>
      <c r="F117" s="666"/>
      <c r="G117" s="21">
        <f t="shared" si="26"/>
        <v>1</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150"/>
      <c r="B118" s="54"/>
      <c r="C118" s="21">
        <f t="shared" si="24"/>
        <v>1</v>
      </c>
      <c r="D118" s="666"/>
      <c r="E118" s="21">
        <f t="shared" si="25"/>
        <v>1</v>
      </c>
      <c r="F118" s="666"/>
      <c r="G118" s="21">
        <f t="shared" si="26"/>
        <v>1</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150"/>
      <c r="B119" s="54"/>
      <c r="C119" s="21">
        <f t="shared" si="24"/>
        <v>1</v>
      </c>
      <c r="D119" s="666"/>
      <c r="E119" s="21">
        <f t="shared" si="25"/>
        <v>1</v>
      </c>
      <c r="F119" s="666"/>
      <c r="G119" s="21">
        <f t="shared" si="26"/>
        <v>1</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150"/>
      <c r="B120" s="54"/>
      <c r="C120" s="21">
        <f t="shared" si="24"/>
        <v>1</v>
      </c>
      <c r="D120" s="666"/>
      <c r="E120" s="21">
        <f t="shared" si="25"/>
        <v>1</v>
      </c>
      <c r="F120" s="666"/>
      <c r="G120" s="21">
        <f t="shared" si="26"/>
        <v>1</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150"/>
      <c r="B121" s="54"/>
      <c r="C121" s="21">
        <f t="shared" si="24"/>
        <v>1</v>
      </c>
      <c r="D121" s="666"/>
      <c r="E121" s="21">
        <f t="shared" si="25"/>
        <v>1</v>
      </c>
      <c r="F121" s="666"/>
      <c r="G121" s="21">
        <f t="shared" si="26"/>
        <v>1</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150"/>
      <c r="B122" s="54"/>
      <c r="C122" s="21">
        <f t="shared" si="24"/>
        <v>1</v>
      </c>
      <c r="D122" s="666"/>
      <c r="E122" s="21">
        <f t="shared" si="25"/>
        <v>1</v>
      </c>
      <c r="F122" s="666"/>
      <c r="G122" s="21">
        <f t="shared" si="26"/>
        <v>1</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150"/>
      <c r="B123" s="54"/>
      <c r="C123" s="21">
        <f t="shared" si="24"/>
        <v>1</v>
      </c>
      <c r="D123" s="666"/>
      <c r="E123" s="21">
        <f t="shared" si="25"/>
        <v>1</v>
      </c>
      <c r="F123" s="666"/>
      <c r="G123" s="21">
        <f t="shared" si="26"/>
        <v>1</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150"/>
      <c r="B124" s="54"/>
      <c r="C124" s="21">
        <f t="shared" si="24"/>
        <v>1</v>
      </c>
      <c r="D124" s="666"/>
      <c r="E124" s="21">
        <f t="shared" si="25"/>
        <v>1</v>
      </c>
      <c r="F124" s="666"/>
      <c r="G124" s="21">
        <f t="shared" si="26"/>
        <v>1</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150"/>
      <c r="B125" s="54"/>
      <c r="C125" s="21">
        <f t="shared" si="24"/>
        <v>1</v>
      </c>
      <c r="D125" s="666"/>
      <c r="E125" s="21">
        <f t="shared" si="25"/>
        <v>1</v>
      </c>
      <c r="F125" s="666"/>
      <c r="G125" s="21">
        <f t="shared" si="26"/>
        <v>1</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150"/>
      <c r="B126" s="54"/>
      <c r="C126" s="21">
        <f t="shared" si="24"/>
        <v>1</v>
      </c>
      <c r="D126" s="666"/>
      <c r="E126" s="21">
        <f t="shared" si="25"/>
        <v>1</v>
      </c>
      <c r="F126" s="666"/>
      <c r="G126" s="21">
        <f t="shared" si="26"/>
        <v>1</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150"/>
      <c r="B127" s="54"/>
      <c r="C127" s="21">
        <f t="shared" si="24"/>
        <v>1</v>
      </c>
      <c r="D127" s="666"/>
      <c r="E127" s="21">
        <f t="shared" si="25"/>
        <v>1</v>
      </c>
      <c r="F127" s="666"/>
      <c r="G127" s="21">
        <f t="shared" si="26"/>
        <v>1</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150"/>
      <c r="B128" s="54"/>
      <c r="C128" s="21">
        <f t="shared" si="24"/>
        <v>1</v>
      </c>
      <c r="D128" s="666"/>
      <c r="E128" s="21">
        <f t="shared" si="25"/>
        <v>1</v>
      </c>
      <c r="F128" s="666"/>
      <c r="G128" s="21">
        <f t="shared" si="26"/>
        <v>1</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150"/>
      <c r="B129" s="54"/>
      <c r="C129" s="21">
        <f t="shared" si="24"/>
        <v>1</v>
      </c>
      <c r="D129" s="666"/>
      <c r="E129" s="21">
        <f t="shared" si="25"/>
        <v>1</v>
      </c>
      <c r="F129" s="666"/>
      <c r="G129" s="21">
        <f t="shared" si="26"/>
        <v>1</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150"/>
      <c r="B130" s="54"/>
      <c r="C130" s="21">
        <f t="shared" si="24"/>
        <v>1</v>
      </c>
      <c r="D130" s="666"/>
      <c r="E130" s="21">
        <f t="shared" si="25"/>
        <v>1</v>
      </c>
      <c r="F130" s="666"/>
      <c r="G130" s="21">
        <f t="shared" si="26"/>
        <v>1</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150"/>
      <c r="B131" s="54"/>
      <c r="C131" s="21">
        <f t="shared" si="24"/>
        <v>1</v>
      </c>
      <c r="D131" s="666"/>
      <c r="E131" s="21">
        <f t="shared" si="25"/>
        <v>1</v>
      </c>
      <c r="F131" s="666"/>
      <c r="G131" s="21">
        <f t="shared" si="26"/>
        <v>1</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150"/>
      <c r="B132" s="54"/>
      <c r="C132" s="21">
        <f t="shared" si="24"/>
        <v>1</v>
      </c>
      <c r="D132" s="666"/>
      <c r="E132" s="21">
        <f t="shared" si="25"/>
        <v>1</v>
      </c>
      <c r="F132" s="666"/>
      <c r="G132" s="21">
        <f t="shared" si="26"/>
        <v>1</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150"/>
      <c r="B133" s="54"/>
      <c r="C133" s="21">
        <f t="shared" si="24"/>
        <v>1</v>
      </c>
      <c r="D133" s="666"/>
      <c r="E133" s="21">
        <f t="shared" si="25"/>
        <v>1</v>
      </c>
      <c r="F133" s="666"/>
      <c r="G133" s="21">
        <f t="shared" si="26"/>
        <v>1</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150"/>
      <c r="B134" s="54"/>
      <c r="C134" s="21">
        <f t="shared" si="24"/>
        <v>1</v>
      </c>
      <c r="D134" s="666"/>
      <c r="E134" s="21">
        <f t="shared" si="25"/>
        <v>1</v>
      </c>
      <c r="F134" s="666"/>
      <c r="G134" s="21">
        <f t="shared" si="26"/>
        <v>1</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150"/>
      <c r="B135" s="54"/>
      <c r="C135" s="21">
        <f t="shared" si="24"/>
        <v>1</v>
      </c>
      <c r="D135" s="666"/>
      <c r="E135" s="21">
        <f t="shared" si="25"/>
        <v>1</v>
      </c>
      <c r="F135" s="666"/>
      <c r="G135" s="21">
        <f t="shared" si="26"/>
        <v>1</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150"/>
      <c r="B136" s="54"/>
      <c r="C136" s="21">
        <f t="shared" si="24"/>
        <v>1</v>
      </c>
      <c r="D136" s="666"/>
      <c r="E136" s="21">
        <f t="shared" si="25"/>
        <v>1</v>
      </c>
      <c r="F136" s="666"/>
      <c r="G136" s="21">
        <f t="shared" si="26"/>
        <v>1</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150"/>
      <c r="B137" s="54"/>
      <c r="C137" s="21">
        <f t="shared" si="24"/>
        <v>1</v>
      </c>
      <c r="D137" s="666"/>
      <c r="E137" s="21">
        <f t="shared" si="25"/>
        <v>1</v>
      </c>
      <c r="F137" s="666"/>
      <c r="G137" s="21">
        <f t="shared" si="26"/>
        <v>1</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150"/>
      <c r="B138" s="54"/>
      <c r="C138" s="21">
        <f t="shared" si="24"/>
        <v>1</v>
      </c>
      <c r="D138" s="666"/>
      <c r="E138" s="21">
        <f t="shared" si="25"/>
        <v>1</v>
      </c>
      <c r="F138" s="666"/>
      <c r="G138" s="21">
        <f t="shared" si="26"/>
        <v>1</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150"/>
      <c r="B139" s="54"/>
      <c r="C139" s="21">
        <f t="shared" si="24"/>
        <v>1</v>
      </c>
      <c r="D139" s="666"/>
      <c r="E139" s="21">
        <f t="shared" si="25"/>
        <v>1</v>
      </c>
      <c r="F139" s="666"/>
      <c r="G139" s="21">
        <f t="shared" si="26"/>
        <v>1</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150"/>
      <c r="B140" s="54"/>
      <c r="C140" s="21">
        <f t="shared" si="24"/>
        <v>1</v>
      </c>
      <c r="D140" s="666"/>
      <c r="E140" s="21">
        <f t="shared" si="25"/>
        <v>1</v>
      </c>
      <c r="F140" s="666"/>
      <c r="G140" s="21">
        <f t="shared" si="26"/>
        <v>1</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150"/>
      <c r="B141" s="54"/>
      <c r="C141" s="21">
        <f t="shared" si="24"/>
        <v>1</v>
      </c>
      <c r="D141" s="666"/>
      <c r="E141" s="21">
        <f t="shared" si="25"/>
        <v>1</v>
      </c>
      <c r="F141" s="666"/>
      <c r="G141" s="21">
        <f t="shared" si="26"/>
        <v>1</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150"/>
      <c r="B142" s="54"/>
      <c r="C142" s="21">
        <f t="shared" si="24"/>
        <v>1</v>
      </c>
      <c r="D142" s="666"/>
      <c r="E142" s="21">
        <f t="shared" si="25"/>
        <v>1</v>
      </c>
      <c r="F142" s="666"/>
      <c r="G142" s="21">
        <f t="shared" si="26"/>
        <v>1</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150"/>
      <c r="B143" s="54"/>
      <c r="C143" s="21">
        <f t="shared" si="24"/>
        <v>1</v>
      </c>
      <c r="D143" s="666"/>
      <c r="E143" s="21">
        <f t="shared" si="25"/>
        <v>1</v>
      </c>
      <c r="F143" s="666"/>
      <c r="G143" s="21">
        <f t="shared" si="26"/>
        <v>1</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150"/>
      <c r="B144" s="54"/>
      <c r="C144" s="21">
        <f t="shared" si="24"/>
        <v>1</v>
      </c>
      <c r="D144" s="666"/>
      <c r="E144" s="21">
        <f t="shared" si="25"/>
        <v>1</v>
      </c>
      <c r="F144" s="666"/>
      <c r="G144" s="21">
        <f t="shared" si="26"/>
        <v>1</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150"/>
      <c r="B145" s="54"/>
      <c r="C145" s="21">
        <f t="shared" si="24"/>
        <v>1</v>
      </c>
      <c r="D145" s="666"/>
      <c r="E145" s="21">
        <f t="shared" si="25"/>
        <v>1</v>
      </c>
      <c r="F145" s="666"/>
      <c r="G145" s="21">
        <f t="shared" si="26"/>
        <v>1</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150"/>
      <c r="B146" s="54"/>
      <c r="C146" s="21">
        <f t="shared" si="24"/>
        <v>1</v>
      </c>
      <c r="D146" s="666"/>
      <c r="E146" s="21">
        <f t="shared" si="25"/>
        <v>1</v>
      </c>
      <c r="F146" s="666"/>
      <c r="G146" s="21">
        <f t="shared" si="26"/>
        <v>1</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150"/>
      <c r="B147" s="54"/>
      <c r="C147" s="21">
        <f t="shared" si="24"/>
        <v>1</v>
      </c>
      <c r="D147" s="666"/>
      <c r="E147" s="21">
        <f t="shared" si="25"/>
        <v>1</v>
      </c>
      <c r="F147" s="666"/>
      <c r="G147" s="21">
        <f t="shared" si="26"/>
        <v>1</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150"/>
      <c r="B148" s="54"/>
      <c r="C148" s="21">
        <f t="shared" si="24"/>
        <v>1</v>
      </c>
      <c r="D148" s="666"/>
      <c r="E148" s="21">
        <f t="shared" si="25"/>
        <v>1</v>
      </c>
      <c r="F148" s="666"/>
      <c r="G148" s="21">
        <f t="shared" si="26"/>
        <v>1</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150"/>
      <c r="B149" s="54"/>
      <c r="C149" s="21">
        <f t="shared" si="24"/>
        <v>1</v>
      </c>
      <c r="D149" s="666"/>
      <c r="E149" s="21">
        <f t="shared" si="25"/>
        <v>1</v>
      </c>
      <c r="F149" s="666"/>
      <c r="G149" s="21">
        <f t="shared" si="26"/>
        <v>1</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150"/>
      <c r="B150" s="54"/>
      <c r="C150" s="21">
        <f t="shared" si="24"/>
        <v>1</v>
      </c>
      <c r="D150" s="666"/>
      <c r="E150" s="21">
        <f t="shared" si="25"/>
        <v>1</v>
      </c>
      <c r="F150" s="666"/>
      <c r="G150" s="21">
        <f t="shared" si="26"/>
        <v>1</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150"/>
      <c r="B151" s="54"/>
      <c r="C151" s="21">
        <f t="shared" si="24"/>
        <v>1</v>
      </c>
      <c r="D151" s="666"/>
      <c r="E151" s="21">
        <f t="shared" si="25"/>
        <v>1</v>
      </c>
      <c r="F151" s="666"/>
      <c r="G151" s="21">
        <f t="shared" si="26"/>
        <v>1</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150"/>
      <c r="B152" s="54"/>
      <c r="C152" s="21">
        <f t="shared" si="24"/>
        <v>1</v>
      </c>
      <c r="D152" s="666"/>
      <c r="E152" s="21">
        <f t="shared" si="25"/>
        <v>1</v>
      </c>
      <c r="F152" s="666"/>
      <c r="G152" s="21">
        <f t="shared" si="26"/>
        <v>1</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150"/>
      <c r="B153" s="54"/>
      <c r="C153" s="21">
        <f t="shared" si="24"/>
        <v>1</v>
      </c>
      <c r="D153" s="666"/>
      <c r="E153" s="21">
        <f t="shared" si="25"/>
        <v>1</v>
      </c>
      <c r="F153" s="666"/>
      <c r="G153" s="21">
        <f t="shared" si="26"/>
        <v>1</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150"/>
      <c r="B154" s="54"/>
      <c r="C154" s="21">
        <f t="shared" ref="C154:C217" si="34">IF(B154="",1,(LOOKUP(B154,$3:$3,$4:$4)-LOOKUP($B$24,$3:$3,$4:$4)+100)/100)</f>
        <v>1</v>
      </c>
      <c r="D154" s="666"/>
      <c r="E154" s="21">
        <f t="shared" ref="E154:E217" si="35">(SUMIF($5:$5,D154,$6:$6)-SUMIF($5:$5,$D$24,$6:$6)+100)/100</f>
        <v>1</v>
      </c>
      <c r="F154" s="666"/>
      <c r="G154" s="21">
        <f t="shared" ref="G154:G217" si="36">(SUMIF($7:$7,F154,$8:$8)-SUMIF($7:$7,$F$24,$8:$8)+100)/100</f>
        <v>1</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150"/>
      <c r="B155" s="54"/>
      <c r="C155" s="21">
        <f t="shared" si="34"/>
        <v>1</v>
      </c>
      <c r="D155" s="666"/>
      <c r="E155" s="21">
        <f t="shared" si="35"/>
        <v>1</v>
      </c>
      <c r="F155" s="666"/>
      <c r="G155" s="21">
        <f t="shared" si="36"/>
        <v>1</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150"/>
      <c r="B156" s="54"/>
      <c r="C156" s="21">
        <f t="shared" si="34"/>
        <v>1</v>
      </c>
      <c r="D156" s="666"/>
      <c r="E156" s="21">
        <f t="shared" si="35"/>
        <v>1</v>
      </c>
      <c r="F156" s="666"/>
      <c r="G156" s="21">
        <f t="shared" si="36"/>
        <v>1</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150"/>
      <c r="B157" s="54"/>
      <c r="C157" s="21">
        <f t="shared" si="34"/>
        <v>1</v>
      </c>
      <c r="D157" s="666"/>
      <c r="E157" s="21">
        <f t="shared" si="35"/>
        <v>1</v>
      </c>
      <c r="F157" s="666"/>
      <c r="G157" s="21">
        <f t="shared" si="36"/>
        <v>1</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150"/>
      <c r="B158" s="54"/>
      <c r="C158" s="21">
        <f t="shared" si="34"/>
        <v>1</v>
      </c>
      <c r="D158" s="666"/>
      <c r="E158" s="21">
        <f t="shared" si="35"/>
        <v>1</v>
      </c>
      <c r="F158" s="666"/>
      <c r="G158" s="21">
        <f t="shared" si="36"/>
        <v>1</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150"/>
      <c r="B159" s="54"/>
      <c r="C159" s="21">
        <f t="shared" si="34"/>
        <v>1</v>
      </c>
      <c r="D159" s="666"/>
      <c r="E159" s="21">
        <f t="shared" si="35"/>
        <v>1</v>
      </c>
      <c r="F159" s="666"/>
      <c r="G159" s="21">
        <f t="shared" si="36"/>
        <v>1</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150"/>
      <c r="B160" s="54"/>
      <c r="C160" s="21">
        <f t="shared" si="34"/>
        <v>1</v>
      </c>
      <c r="D160" s="666"/>
      <c r="E160" s="21">
        <f t="shared" si="35"/>
        <v>1</v>
      </c>
      <c r="F160" s="666"/>
      <c r="G160" s="21">
        <f t="shared" si="36"/>
        <v>1</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150"/>
      <c r="B161" s="54"/>
      <c r="C161" s="21">
        <f t="shared" si="34"/>
        <v>1</v>
      </c>
      <c r="D161" s="666"/>
      <c r="E161" s="21">
        <f t="shared" si="35"/>
        <v>1</v>
      </c>
      <c r="F161" s="666"/>
      <c r="G161" s="21">
        <f t="shared" si="36"/>
        <v>1</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150"/>
      <c r="B162" s="54"/>
      <c r="C162" s="21">
        <f t="shared" si="34"/>
        <v>1</v>
      </c>
      <c r="D162" s="666"/>
      <c r="E162" s="21">
        <f t="shared" si="35"/>
        <v>1</v>
      </c>
      <c r="F162" s="666"/>
      <c r="G162" s="21">
        <f t="shared" si="36"/>
        <v>1</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150"/>
      <c r="B163" s="54"/>
      <c r="C163" s="21">
        <f t="shared" si="34"/>
        <v>1</v>
      </c>
      <c r="D163" s="666"/>
      <c r="E163" s="21">
        <f t="shared" si="35"/>
        <v>1</v>
      </c>
      <c r="F163" s="666"/>
      <c r="G163" s="21">
        <f t="shared" si="36"/>
        <v>1</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150"/>
      <c r="B164" s="54"/>
      <c r="C164" s="21">
        <f t="shared" si="34"/>
        <v>1</v>
      </c>
      <c r="D164" s="666"/>
      <c r="E164" s="21">
        <f t="shared" si="35"/>
        <v>1</v>
      </c>
      <c r="F164" s="666"/>
      <c r="G164" s="21">
        <f t="shared" si="36"/>
        <v>1</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150"/>
      <c r="B165" s="54"/>
      <c r="C165" s="21">
        <f t="shared" si="34"/>
        <v>1</v>
      </c>
      <c r="D165" s="666"/>
      <c r="E165" s="21">
        <f t="shared" si="35"/>
        <v>1</v>
      </c>
      <c r="F165" s="666"/>
      <c r="G165" s="21">
        <f t="shared" si="36"/>
        <v>1</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150"/>
      <c r="B166" s="54"/>
      <c r="C166" s="21">
        <f t="shared" si="34"/>
        <v>1</v>
      </c>
      <c r="D166" s="666"/>
      <c r="E166" s="21">
        <f t="shared" si="35"/>
        <v>1</v>
      </c>
      <c r="F166" s="666"/>
      <c r="G166" s="21">
        <f t="shared" si="36"/>
        <v>1</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150"/>
      <c r="B167" s="54"/>
      <c r="C167" s="21">
        <f t="shared" si="34"/>
        <v>1</v>
      </c>
      <c r="D167" s="666"/>
      <c r="E167" s="21">
        <f t="shared" si="35"/>
        <v>1</v>
      </c>
      <c r="F167" s="666"/>
      <c r="G167" s="21">
        <f t="shared" si="36"/>
        <v>1</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150"/>
      <c r="B168" s="54"/>
      <c r="C168" s="21">
        <f t="shared" si="34"/>
        <v>1</v>
      </c>
      <c r="D168" s="666"/>
      <c r="E168" s="21">
        <f t="shared" si="35"/>
        <v>1</v>
      </c>
      <c r="F168" s="666"/>
      <c r="G168" s="21">
        <f t="shared" si="36"/>
        <v>1</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150"/>
      <c r="B169" s="54"/>
      <c r="C169" s="21">
        <f t="shared" si="34"/>
        <v>1</v>
      </c>
      <c r="D169" s="666"/>
      <c r="E169" s="21">
        <f t="shared" si="35"/>
        <v>1</v>
      </c>
      <c r="F169" s="666"/>
      <c r="G169" s="21">
        <f t="shared" si="36"/>
        <v>1</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150"/>
      <c r="B170" s="54"/>
      <c r="C170" s="21">
        <f t="shared" si="34"/>
        <v>1</v>
      </c>
      <c r="D170" s="666"/>
      <c r="E170" s="21">
        <f t="shared" si="35"/>
        <v>1</v>
      </c>
      <c r="F170" s="666"/>
      <c r="G170" s="21">
        <f t="shared" si="36"/>
        <v>1</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150"/>
      <c r="B171" s="54"/>
      <c r="C171" s="21">
        <f t="shared" si="34"/>
        <v>1</v>
      </c>
      <c r="D171" s="666"/>
      <c r="E171" s="21">
        <f t="shared" si="35"/>
        <v>1</v>
      </c>
      <c r="F171" s="666"/>
      <c r="G171" s="21">
        <f t="shared" si="36"/>
        <v>1</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150"/>
      <c r="B172" s="54"/>
      <c r="C172" s="21">
        <f t="shared" si="34"/>
        <v>1</v>
      </c>
      <c r="D172" s="666"/>
      <c r="E172" s="21">
        <f t="shared" si="35"/>
        <v>1</v>
      </c>
      <c r="F172" s="666"/>
      <c r="G172" s="21">
        <f t="shared" si="36"/>
        <v>1</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150"/>
      <c r="B173" s="54"/>
      <c r="C173" s="21">
        <f t="shared" si="34"/>
        <v>1</v>
      </c>
      <c r="D173" s="666"/>
      <c r="E173" s="21">
        <f t="shared" si="35"/>
        <v>1</v>
      </c>
      <c r="F173" s="666"/>
      <c r="G173" s="21">
        <f t="shared" si="36"/>
        <v>1</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150"/>
      <c r="B174" s="54"/>
      <c r="C174" s="21">
        <f t="shared" si="34"/>
        <v>1</v>
      </c>
      <c r="D174" s="666"/>
      <c r="E174" s="21">
        <f t="shared" si="35"/>
        <v>1</v>
      </c>
      <c r="F174" s="666"/>
      <c r="G174" s="21">
        <f t="shared" si="36"/>
        <v>1</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150"/>
      <c r="B175" s="54"/>
      <c r="C175" s="21">
        <f t="shared" si="34"/>
        <v>1</v>
      </c>
      <c r="D175" s="666"/>
      <c r="E175" s="21">
        <f t="shared" si="35"/>
        <v>1</v>
      </c>
      <c r="F175" s="666"/>
      <c r="G175" s="21">
        <f t="shared" si="36"/>
        <v>1</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150"/>
      <c r="B176" s="54"/>
      <c r="C176" s="21">
        <f t="shared" si="34"/>
        <v>1</v>
      </c>
      <c r="D176" s="666"/>
      <c r="E176" s="21">
        <f t="shared" si="35"/>
        <v>1</v>
      </c>
      <c r="F176" s="666"/>
      <c r="G176" s="21">
        <f t="shared" si="36"/>
        <v>1</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150"/>
      <c r="B177" s="54"/>
      <c r="C177" s="21">
        <f t="shared" si="34"/>
        <v>1</v>
      </c>
      <c r="D177" s="666"/>
      <c r="E177" s="21">
        <f t="shared" si="35"/>
        <v>1</v>
      </c>
      <c r="F177" s="666"/>
      <c r="G177" s="21">
        <f t="shared" si="36"/>
        <v>1</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150"/>
      <c r="B178" s="54"/>
      <c r="C178" s="21">
        <f t="shared" si="34"/>
        <v>1</v>
      </c>
      <c r="D178" s="666"/>
      <c r="E178" s="21">
        <f t="shared" si="35"/>
        <v>1</v>
      </c>
      <c r="F178" s="666"/>
      <c r="G178" s="21">
        <f t="shared" si="36"/>
        <v>1</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150"/>
      <c r="B179" s="54"/>
      <c r="C179" s="21">
        <f t="shared" si="34"/>
        <v>1</v>
      </c>
      <c r="D179" s="666"/>
      <c r="E179" s="21">
        <f t="shared" si="35"/>
        <v>1</v>
      </c>
      <c r="F179" s="666"/>
      <c r="G179" s="21">
        <f t="shared" si="36"/>
        <v>1</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150"/>
      <c r="B180" s="54"/>
      <c r="C180" s="21">
        <f t="shared" si="34"/>
        <v>1</v>
      </c>
      <c r="D180" s="666"/>
      <c r="E180" s="21">
        <f t="shared" si="35"/>
        <v>1</v>
      </c>
      <c r="F180" s="666"/>
      <c r="G180" s="21">
        <f t="shared" si="36"/>
        <v>1</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150"/>
      <c r="B181" s="54"/>
      <c r="C181" s="21">
        <f t="shared" si="34"/>
        <v>1</v>
      </c>
      <c r="D181" s="666"/>
      <c r="E181" s="21">
        <f t="shared" si="35"/>
        <v>1</v>
      </c>
      <c r="F181" s="666"/>
      <c r="G181" s="21">
        <f t="shared" si="36"/>
        <v>1</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150"/>
      <c r="B182" s="54"/>
      <c r="C182" s="21">
        <f t="shared" si="34"/>
        <v>1</v>
      </c>
      <c r="D182" s="666"/>
      <c r="E182" s="21">
        <f t="shared" si="35"/>
        <v>1</v>
      </c>
      <c r="F182" s="666"/>
      <c r="G182" s="21">
        <f t="shared" si="36"/>
        <v>1</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150"/>
      <c r="B183" s="54"/>
      <c r="C183" s="21">
        <f t="shared" si="34"/>
        <v>1</v>
      </c>
      <c r="D183" s="666"/>
      <c r="E183" s="21">
        <f t="shared" si="35"/>
        <v>1</v>
      </c>
      <c r="F183" s="666"/>
      <c r="G183" s="21">
        <f t="shared" si="36"/>
        <v>1</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150"/>
      <c r="B184" s="54"/>
      <c r="C184" s="21">
        <f t="shared" si="34"/>
        <v>1</v>
      </c>
      <c r="D184" s="666"/>
      <c r="E184" s="21">
        <f t="shared" si="35"/>
        <v>1</v>
      </c>
      <c r="F184" s="666"/>
      <c r="G184" s="21">
        <f t="shared" si="36"/>
        <v>1</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150"/>
      <c r="B185" s="54"/>
      <c r="C185" s="21">
        <f t="shared" si="34"/>
        <v>1</v>
      </c>
      <c r="D185" s="666"/>
      <c r="E185" s="21">
        <f t="shared" si="35"/>
        <v>1</v>
      </c>
      <c r="F185" s="666"/>
      <c r="G185" s="21">
        <f t="shared" si="36"/>
        <v>1</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150"/>
      <c r="B186" s="54"/>
      <c r="C186" s="21">
        <f t="shared" si="34"/>
        <v>1</v>
      </c>
      <c r="D186" s="666"/>
      <c r="E186" s="21">
        <f t="shared" si="35"/>
        <v>1</v>
      </c>
      <c r="F186" s="666"/>
      <c r="G186" s="21">
        <f t="shared" si="36"/>
        <v>1</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150"/>
      <c r="B187" s="54"/>
      <c r="C187" s="21">
        <f t="shared" si="34"/>
        <v>1</v>
      </c>
      <c r="D187" s="666"/>
      <c r="E187" s="21">
        <f t="shared" si="35"/>
        <v>1</v>
      </c>
      <c r="F187" s="666"/>
      <c r="G187" s="21">
        <f t="shared" si="36"/>
        <v>1</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150"/>
      <c r="B188" s="54"/>
      <c r="C188" s="21">
        <f t="shared" si="34"/>
        <v>1</v>
      </c>
      <c r="D188" s="666"/>
      <c r="E188" s="21">
        <f t="shared" si="35"/>
        <v>1</v>
      </c>
      <c r="F188" s="666"/>
      <c r="G188" s="21">
        <f t="shared" si="36"/>
        <v>1</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150"/>
      <c r="B189" s="54"/>
      <c r="C189" s="21">
        <f t="shared" si="34"/>
        <v>1</v>
      </c>
      <c r="D189" s="666"/>
      <c r="E189" s="21">
        <f t="shared" si="35"/>
        <v>1</v>
      </c>
      <c r="F189" s="666"/>
      <c r="G189" s="21">
        <f t="shared" si="36"/>
        <v>1</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150"/>
      <c r="B190" s="54"/>
      <c r="C190" s="21">
        <f t="shared" si="34"/>
        <v>1</v>
      </c>
      <c r="D190" s="666"/>
      <c r="E190" s="21">
        <f t="shared" si="35"/>
        <v>1</v>
      </c>
      <c r="F190" s="666"/>
      <c r="G190" s="21">
        <f t="shared" si="36"/>
        <v>1</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150"/>
      <c r="B191" s="54"/>
      <c r="C191" s="21">
        <f t="shared" si="34"/>
        <v>1</v>
      </c>
      <c r="D191" s="666"/>
      <c r="E191" s="21">
        <f t="shared" si="35"/>
        <v>1</v>
      </c>
      <c r="F191" s="666"/>
      <c r="G191" s="21">
        <f t="shared" si="36"/>
        <v>1</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150"/>
      <c r="B192" s="54"/>
      <c r="C192" s="21">
        <f t="shared" si="34"/>
        <v>1</v>
      </c>
      <c r="D192" s="666"/>
      <c r="E192" s="21">
        <f t="shared" si="35"/>
        <v>1</v>
      </c>
      <c r="F192" s="666"/>
      <c r="G192" s="21">
        <f t="shared" si="36"/>
        <v>1</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150"/>
      <c r="B193" s="54"/>
      <c r="C193" s="21">
        <f t="shared" si="34"/>
        <v>1</v>
      </c>
      <c r="D193" s="666"/>
      <c r="E193" s="21">
        <f t="shared" si="35"/>
        <v>1</v>
      </c>
      <c r="F193" s="666"/>
      <c r="G193" s="21">
        <f t="shared" si="36"/>
        <v>1</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150"/>
      <c r="B194" s="54"/>
      <c r="C194" s="21">
        <f t="shared" si="34"/>
        <v>1</v>
      </c>
      <c r="D194" s="666"/>
      <c r="E194" s="21">
        <f t="shared" si="35"/>
        <v>1</v>
      </c>
      <c r="F194" s="666"/>
      <c r="G194" s="21">
        <f t="shared" si="36"/>
        <v>1</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150"/>
      <c r="B195" s="54"/>
      <c r="C195" s="21">
        <f t="shared" si="34"/>
        <v>1</v>
      </c>
      <c r="D195" s="666"/>
      <c r="E195" s="21">
        <f t="shared" si="35"/>
        <v>1</v>
      </c>
      <c r="F195" s="666"/>
      <c r="G195" s="21">
        <f t="shared" si="36"/>
        <v>1</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150"/>
      <c r="B196" s="54"/>
      <c r="C196" s="21">
        <f t="shared" si="34"/>
        <v>1</v>
      </c>
      <c r="D196" s="666"/>
      <c r="E196" s="21">
        <f t="shared" si="35"/>
        <v>1</v>
      </c>
      <c r="F196" s="666"/>
      <c r="G196" s="21">
        <f t="shared" si="36"/>
        <v>1</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150"/>
      <c r="B197" s="54"/>
      <c r="C197" s="21">
        <f t="shared" si="34"/>
        <v>1</v>
      </c>
      <c r="D197" s="666"/>
      <c r="E197" s="21">
        <f t="shared" si="35"/>
        <v>1</v>
      </c>
      <c r="F197" s="666"/>
      <c r="G197" s="21">
        <f t="shared" si="36"/>
        <v>1</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150"/>
      <c r="B198" s="54"/>
      <c r="C198" s="21">
        <f t="shared" si="34"/>
        <v>1</v>
      </c>
      <c r="D198" s="666"/>
      <c r="E198" s="21">
        <f t="shared" si="35"/>
        <v>1</v>
      </c>
      <c r="F198" s="666"/>
      <c r="G198" s="21">
        <f t="shared" si="36"/>
        <v>1</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150"/>
      <c r="B199" s="54"/>
      <c r="C199" s="21">
        <f t="shared" si="34"/>
        <v>1</v>
      </c>
      <c r="D199" s="666"/>
      <c r="E199" s="21">
        <f t="shared" si="35"/>
        <v>1</v>
      </c>
      <c r="F199" s="666"/>
      <c r="G199" s="21">
        <f t="shared" si="36"/>
        <v>1</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150"/>
      <c r="B200" s="54"/>
      <c r="C200" s="21">
        <f t="shared" si="34"/>
        <v>1</v>
      </c>
      <c r="D200" s="666"/>
      <c r="E200" s="21">
        <f t="shared" si="35"/>
        <v>1</v>
      </c>
      <c r="F200" s="666"/>
      <c r="G200" s="21">
        <f t="shared" si="36"/>
        <v>1</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150"/>
      <c r="B201" s="54"/>
      <c r="C201" s="21">
        <f t="shared" si="34"/>
        <v>1</v>
      </c>
      <c r="D201" s="666"/>
      <c r="E201" s="21">
        <f t="shared" si="35"/>
        <v>1</v>
      </c>
      <c r="F201" s="666"/>
      <c r="G201" s="21">
        <f t="shared" si="36"/>
        <v>1</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150"/>
      <c r="B202" s="54"/>
      <c r="C202" s="21">
        <f t="shared" si="34"/>
        <v>1</v>
      </c>
      <c r="D202" s="666"/>
      <c r="E202" s="21">
        <f t="shared" si="35"/>
        <v>1</v>
      </c>
      <c r="F202" s="666"/>
      <c r="G202" s="21">
        <f t="shared" si="36"/>
        <v>1</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150"/>
      <c r="B203" s="54"/>
      <c r="C203" s="21">
        <f t="shared" si="34"/>
        <v>1</v>
      </c>
      <c r="D203" s="666"/>
      <c r="E203" s="21">
        <f t="shared" si="35"/>
        <v>1</v>
      </c>
      <c r="F203" s="666"/>
      <c r="G203" s="21">
        <f t="shared" si="36"/>
        <v>1</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150"/>
      <c r="B204" s="54"/>
      <c r="C204" s="21">
        <f t="shared" si="34"/>
        <v>1</v>
      </c>
      <c r="D204" s="666"/>
      <c r="E204" s="21">
        <f t="shared" si="35"/>
        <v>1</v>
      </c>
      <c r="F204" s="666"/>
      <c r="G204" s="21">
        <f t="shared" si="36"/>
        <v>1</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150"/>
      <c r="B205" s="54"/>
      <c r="C205" s="21">
        <f t="shared" si="34"/>
        <v>1</v>
      </c>
      <c r="D205" s="666"/>
      <c r="E205" s="21">
        <f t="shared" si="35"/>
        <v>1</v>
      </c>
      <c r="F205" s="666"/>
      <c r="G205" s="21">
        <f t="shared" si="36"/>
        <v>1</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150"/>
      <c r="B206" s="54"/>
      <c r="C206" s="21">
        <f t="shared" si="34"/>
        <v>1</v>
      </c>
      <c r="D206" s="666"/>
      <c r="E206" s="21">
        <f t="shared" si="35"/>
        <v>1</v>
      </c>
      <c r="F206" s="666"/>
      <c r="G206" s="21">
        <f t="shared" si="36"/>
        <v>1</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150"/>
      <c r="B207" s="54"/>
      <c r="C207" s="21">
        <f t="shared" si="34"/>
        <v>1</v>
      </c>
      <c r="D207" s="666"/>
      <c r="E207" s="21">
        <f t="shared" si="35"/>
        <v>1</v>
      </c>
      <c r="F207" s="666"/>
      <c r="G207" s="21">
        <f t="shared" si="36"/>
        <v>1</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150"/>
      <c r="B208" s="54"/>
      <c r="C208" s="21">
        <f t="shared" si="34"/>
        <v>1</v>
      </c>
      <c r="D208" s="666"/>
      <c r="E208" s="21">
        <f t="shared" si="35"/>
        <v>1</v>
      </c>
      <c r="F208" s="666"/>
      <c r="G208" s="21">
        <f t="shared" si="36"/>
        <v>1</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150"/>
      <c r="B209" s="54"/>
      <c r="C209" s="21">
        <f t="shared" si="34"/>
        <v>1</v>
      </c>
      <c r="D209" s="666"/>
      <c r="E209" s="21">
        <f t="shared" si="35"/>
        <v>1</v>
      </c>
      <c r="F209" s="666"/>
      <c r="G209" s="21">
        <f t="shared" si="36"/>
        <v>1</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150"/>
      <c r="B210" s="54"/>
      <c r="C210" s="21">
        <f t="shared" si="34"/>
        <v>1</v>
      </c>
      <c r="D210" s="666"/>
      <c r="E210" s="21">
        <f t="shared" si="35"/>
        <v>1</v>
      </c>
      <c r="F210" s="666"/>
      <c r="G210" s="21">
        <f t="shared" si="36"/>
        <v>1</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150"/>
      <c r="B211" s="54"/>
      <c r="C211" s="21">
        <f t="shared" si="34"/>
        <v>1</v>
      </c>
      <c r="D211" s="666"/>
      <c r="E211" s="21">
        <f t="shared" si="35"/>
        <v>1</v>
      </c>
      <c r="F211" s="666"/>
      <c r="G211" s="21">
        <f t="shared" si="36"/>
        <v>1</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150"/>
      <c r="B212" s="54"/>
      <c r="C212" s="21">
        <f t="shared" si="34"/>
        <v>1</v>
      </c>
      <c r="D212" s="666"/>
      <c r="E212" s="21">
        <f t="shared" si="35"/>
        <v>1</v>
      </c>
      <c r="F212" s="666"/>
      <c r="G212" s="21">
        <f t="shared" si="36"/>
        <v>1</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150"/>
      <c r="B213" s="54"/>
      <c r="C213" s="21">
        <f t="shared" si="34"/>
        <v>1</v>
      </c>
      <c r="D213" s="666"/>
      <c r="E213" s="21">
        <f t="shared" si="35"/>
        <v>1</v>
      </c>
      <c r="F213" s="666"/>
      <c r="G213" s="21">
        <f t="shared" si="36"/>
        <v>1</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150"/>
      <c r="B214" s="54"/>
      <c r="C214" s="21">
        <f t="shared" si="34"/>
        <v>1</v>
      </c>
      <c r="D214" s="666"/>
      <c r="E214" s="21">
        <f t="shared" si="35"/>
        <v>1</v>
      </c>
      <c r="F214" s="666"/>
      <c r="G214" s="21">
        <f t="shared" si="36"/>
        <v>1</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150"/>
      <c r="B215" s="54"/>
      <c r="C215" s="21">
        <f t="shared" si="34"/>
        <v>1</v>
      </c>
      <c r="D215" s="666"/>
      <c r="E215" s="21">
        <f t="shared" si="35"/>
        <v>1</v>
      </c>
      <c r="F215" s="666"/>
      <c r="G215" s="21">
        <f t="shared" si="36"/>
        <v>1</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150"/>
      <c r="B216" s="54"/>
      <c r="C216" s="21">
        <f t="shared" si="34"/>
        <v>1</v>
      </c>
      <c r="D216" s="666"/>
      <c r="E216" s="21">
        <f t="shared" si="35"/>
        <v>1</v>
      </c>
      <c r="F216" s="666"/>
      <c r="G216" s="21">
        <f t="shared" si="36"/>
        <v>1</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150"/>
      <c r="B217" s="54"/>
      <c r="C217" s="21">
        <f t="shared" si="34"/>
        <v>1</v>
      </c>
      <c r="D217" s="666"/>
      <c r="E217" s="21">
        <f t="shared" si="35"/>
        <v>1</v>
      </c>
      <c r="F217" s="666"/>
      <c r="G217" s="21">
        <f t="shared" si="36"/>
        <v>1</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150"/>
      <c r="B218" s="54"/>
      <c r="C218" s="21">
        <f t="shared" ref="C218:C281" si="44">IF(B218="",1,(LOOKUP(B218,$3:$3,$4:$4)-LOOKUP($B$24,$3:$3,$4:$4)+100)/100)</f>
        <v>1</v>
      </c>
      <c r="D218" s="666"/>
      <c r="E218" s="21">
        <f t="shared" ref="E218:E281" si="45">(SUMIF($5:$5,D218,$6:$6)-SUMIF($5:$5,$D$24,$6:$6)+100)/100</f>
        <v>1</v>
      </c>
      <c r="F218" s="666"/>
      <c r="G218" s="21">
        <f t="shared" ref="G218:G281" si="46">(SUMIF($7:$7,F218,$8:$8)-SUMIF($7:$7,$F$24,$8:$8)+100)/100</f>
        <v>1</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150"/>
      <c r="B219" s="54"/>
      <c r="C219" s="21">
        <f t="shared" si="44"/>
        <v>1</v>
      </c>
      <c r="D219" s="666"/>
      <c r="E219" s="21">
        <f t="shared" si="45"/>
        <v>1</v>
      </c>
      <c r="F219" s="666"/>
      <c r="G219" s="21">
        <f t="shared" si="46"/>
        <v>1</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150"/>
      <c r="B220" s="54"/>
      <c r="C220" s="21">
        <f t="shared" si="44"/>
        <v>1</v>
      </c>
      <c r="D220" s="666"/>
      <c r="E220" s="21">
        <f t="shared" si="45"/>
        <v>1</v>
      </c>
      <c r="F220" s="666"/>
      <c r="G220" s="21">
        <f t="shared" si="46"/>
        <v>1</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150"/>
      <c r="B221" s="54"/>
      <c r="C221" s="21">
        <f t="shared" si="44"/>
        <v>1</v>
      </c>
      <c r="D221" s="666"/>
      <c r="E221" s="21">
        <f t="shared" si="45"/>
        <v>1</v>
      </c>
      <c r="F221" s="666"/>
      <c r="G221" s="21">
        <f t="shared" si="46"/>
        <v>1</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150"/>
      <c r="B222" s="54"/>
      <c r="C222" s="21">
        <f t="shared" si="44"/>
        <v>1</v>
      </c>
      <c r="D222" s="666"/>
      <c r="E222" s="21">
        <f t="shared" si="45"/>
        <v>1</v>
      </c>
      <c r="F222" s="666"/>
      <c r="G222" s="21">
        <f t="shared" si="46"/>
        <v>1</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150"/>
      <c r="B223" s="54"/>
      <c r="C223" s="21">
        <f t="shared" si="44"/>
        <v>1</v>
      </c>
      <c r="D223" s="666"/>
      <c r="E223" s="21">
        <f t="shared" si="45"/>
        <v>1</v>
      </c>
      <c r="F223" s="666"/>
      <c r="G223" s="21">
        <f t="shared" si="46"/>
        <v>1</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150"/>
      <c r="B224" s="54"/>
      <c r="C224" s="21">
        <f t="shared" si="44"/>
        <v>1</v>
      </c>
      <c r="D224" s="666"/>
      <c r="E224" s="21">
        <f t="shared" si="45"/>
        <v>1</v>
      </c>
      <c r="F224" s="666"/>
      <c r="G224" s="21">
        <f t="shared" si="46"/>
        <v>1</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150"/>
      <c r="B225" s="54"/>
      <c r="C225" s="21">
        <f t="shared" si="44"/>
        <v>1</v>
      </c>
      <c r="D225" s="666"/>
      <c r="E225" s="21">
        <f t="shared" si="45"/>
        <v>1</v>
      </c>
      <c r="F225" s="666"/>
      <c r="G225" s="21">
        <f t="shared" si="46"/>
        <v>1</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150"/>
      <c r="B226" s="54"/>
      <c r="C226" s="21">
        <f t="shared" si="44"/>
        <v>1</v>
      </c>
      <c r="D226" s="666"/>
      <c r="E226" s="21">
        <f t="shared" si="45"/>
        <v>1</v>
      </c>
      <c r="F226" s="666"/>
      <c r="G226" s="21">
        <f t="shared" si="46"/>
        <v>1</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150"/>
      <c r="B227" s="54"/>
      <c r="C227" s="21">
        <f t="shared" si="44"/>
        <v>1</v>
      </c>
      <c r="D227" s="666"/>
      <c r="E227" s="21">
        <f t="shared" si="45"/>
        <v>1</v>
      </c>
      <c r="F227" s="666"/>
      <c r="G227" s="21">
        <f t="shared" si="46"/>
        <v>1</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150"/>
      <c r="B228" s="54"/>
      <c r="C228" s="21">
        <f t="shared" si="44"/>
        <v>1</v>
      </c>
      <c r="D228" s="666"/>
      <c r="E228" s="21">
        <f t="shared" si="45"/>
        <v>1</v>
      </c>
      <c r="F228" s="666"/>
      <c r="G228" s="21">
        <f t="shared" si="46"/>
        <v>1</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150"/>
      <c r="B229" s="54"/>
      <c r="C229" s="21">
        <f t="shared" si="44"/>
        <v>1</v>
      </c>
      <c r="D229" s="666"/>
      <c r="E229" s="21">
        <f t="shared" si="45"/>
        <v>1</v>
      </c>
      <c r="F229" s="666"/>
      <c r="G229" s="21">
        <f t="shared" si="46"/>
        <v>1</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150"/>
      <c r="B230" s="54"/>
      <c r="C230" s="21">
        <f t="shared" si="44"/>
        <v>1</v>
      </c>
      <c r="D230" s="666"/>
      <c r="E230" s="21">
        <f t="shared" si="45"/>
        <v>1</v>
      </c>
      <c r="F230" s="666"/>
      <c r="G230" s="21">
        <f t="shared" si="46"/>
        <v>1</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150"/>
      <c r="B231" s="54"/>
      <c r="C231" s="21">
        <f t="shared" si="44"/>
        <v>1</v>
      </c>
      <c r="D231" s="666"/>
      <c r="E231" s="21">
        <f t="shared" si="45"/>
        <v>1</v>
      </c>
      <c r="F231" s="666"/>
      <c r="G231" s="21">
        <f t="shared" si="46"/>
        <v>1</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150"/>
      <c r="B232" s="54"/>
      <c r="C232" s="21">
        <f t="shared" si="44"/>
        <v>1</v>
      </c>
      <c r="D232" s="666"/>
      <c r="E232" s="21">
        <f t="shared" si="45"/>
        <v>1</v>
      </c>
      <c r="F232" s="666"/>
      <c r="G232" s="21">
        <f t="shared" si="46"/>
        <v>1</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150"/>
      <c r="B233" s="54"/>
      <c r="C233" s="21">
        <f t="shared" si="44"/>
        <v>1</v>
      </c>
      <c r="D233" s="666"/>
      <c r="E233" s="21">
        <f t="shared" si="45"/>
        <v>1</v>
      </c>
      <c r="F233" s="666"/>
      <c r="G233" s="21">
        <f t="shared" si="46"/>
        <v>1</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150"/>
      <c r="B234" s="54"/>
      <c r="C234" s="21">
        <f t="shared" si="44"/>
        <v>1</v>
      </c>
      <c r="D234" s="666"/>
      <c r="E234" s="21">
        <f t="shared" si="45"/>
        <v>1</v>
      </c>
      <c r="F234" s="666"/>
      <c r="G234" s="21">
        <f t="shared" si="46"/>
        <v>1</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150"/>
      <c r="B235" s="54"/>
      <c r="C235" s="21">
        <f t="shared" si="44"/>
        <v>1</v>
      </c>
      <c r="D235" s="666"/>
      <c r="E235" s="21">
        <f t="shared" si="45"/>
        <v>1</v>
      </c>
      <c r="F235" s="666"/>
      <c r="G235" s="21">
        <f t="shared" si="46"/>
        <v>1</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150"/>
      <c r="B236" s="54"/>
      <c r="C236" s="21">
        <f t="shared" si="44"/>
        <v>1</v>
      </c>
      <c r="D236" s="666"/>
      <c r="E236" s="21">
        <f t="shared" si="45"/>
        <v>1</v>
      </c>
      <c r="F236" s="666"/>
      <c r="G236" s="21">
        <f t="shared" si="46"/>
        <v>1</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150"/>
      <c r="B237" s="54"/>
      <c r="C237" s="21">
        <f t="shared" si="44"/>
        <v>1</v>
      </c>
      <c r="D237" s="666"/>
      <c r="E237" s="21">
        <f t="shared" si="45"/>
        <v>1</v>
      </c>
      <c r="F237" s="666"/>
      <c r="G237" s="21">
        <f t="shared" si="46"/>
        <v>1</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150"/>
      <c r="B238" s="54"/>
      <c r="C238" s="21">
        <f t="shared" si="44"/>
        <v>1</v>
      </c>
      <c r="D238" s="666"/>
      <c r="E238" s="21">
        <f t="shared" si="45"/>
        <v>1</v>
      </c>
      <c r="F238" s="666"/>
      <c r="G238" s="21">
        <f t="shared" si="46"/>
        <v>1</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150"/>
      <c r="B239" s="54"/>
      <c r="C239" s="21">
        <f t="shared" si="44"/>
        <v>1</v>
      </c>
      <c r="D239" s="666"/>
      <c r="E239" s="21">
        <f t="shared" si="45"/>
        <v>1</v>
      </c>
      <c r="F239" s="666"/>
      <c r="G239" s="21">
        <f t="shared" si="46"/>
        <v>1</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150"/>
      <c r="B240" s="54"/>
      <c r="C240" s="21">
        <f t="shared" si="44"/>
        <v>1</v>
      </c>
      <c r="D240" s="666"/>
      <c r="E240" s="21">
        <f t="shared" si="45"/>
        <v>1</v>
      </c>
      <c r="F240" s="666"/>
      <c r="G240" s="21">
        <f t="shared" si="46"/>
        <v>1</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150"/>
      <c r="B241" s="54"/>
      <c r="C241" s="21">
        <f t="shared" si="44"/>
        <v>1</v>
      </c>
      <c r="D241" s="666"/>
      <c r="E241" s="21">
        <f t="shared" si="45"/>
        <v>1</v>
      </c>
      <c r="F241" s="666"/>
      <c r="G241" s="21">
        <f t="shared" si="46"/>
        <v>1</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150"/>
      <c r="B242" s="54"/>
      <c r="C242" s="21">
        <f t="shared" si="44"/>
        <v>1</v>
      </c>
      <c r="D242" s="666"/>
      <c r="E242" s="21">
        <f t="shared" si="45"/>
        <v>1</v>
      </c>
      <c r="F242" s="666"/>
      <c r="G242" s="21">
        <f t="shared" si="46"/>
        <v>1</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150"/>
      <c r="B243" s="54"/>
      <c r="C243" s="21">
        <f t="shared" si="44"/>
        <v>1</v>
      </c>
      <c r="D243" s="666"/>
      <c r="E243" s="21">
        <f t="shared" si="45"/>
        <v>1</v>
      </c>
      <c r="F243" s="666"/>
      <c r="G243" s="21">
        <f t="shared" si="46"/>
        <v>1</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150"/>
      <c r="B244" s="54"/>
      <c r="C244" s="21">
        <f t="shared" si="44"/>
        <v>1</v>
      </c>
      <c r="D244" s="666"/>
      <c r="E244" s="21">
        <f t="shared" si="45"/>
        <v>1</v>
      </c>
      <c r="F244" s="666"/>
      <c r="G244" s="21">
        <f t="shared" si="46"/>
        <v>1</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150"/>
      <c r="B245" s="54"/>
      <c r="C245" s="21">
        <f t="shared" si="44"/>
        <v>1</v>
      </c>
      <c r="D245" s="666"/>
      <c r="E245" s="21">
        <f t="shared" si="45"/>
        <v>1</v>
      </c>
      <c r="F245" s="666"/>
      <c r="G245" s="21">
        <f t="shared" si="46"/>
        <v>1</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150"/>
      <c r="B246" s="54"/>
      <c r="C246" s="21">
        <f t="shared" si="44"/>
        <v>1</v>
      </c>
      <c r="D246" s="666"/>
      <c r="E246" s="21">
        <f t="shared" si="45"/>
        <v>1</v>
      </c>
      <c r="F246" s="666"/>
      <c r="G246" s="21">
        <f t="shared" si="46"/>
        <v>1</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150"/>
      <c r="B247" s="54"/>
      <c r="C247" s="21">
        <f t="shared" si="44"/>
        <v>1</v>
      </c>
      <c r="D247" s="666"/>
      <c r="E247" s="21">
        <f t="shared" si="45"/>
        <v>1</v>
      </c>
      <c r="F247" s="666"/>
      <c r="G247" s="21">
        <f t="shared" si="46"/>
        <v>1</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150"/>
      <c r="B248" s="54"/>
      <c r="C248" s="21">
        <f t="shared" si="44"/>
        <v>1</v>
      </c>
      <c r="D248" s="666"/>
      <c r="E248" s="21">
        <f t="shared" si="45"/>
        <v>1</v>
      </c>
      <c r="F248" s="666"/>
      <c r="G248" s="21">
        <f t="shared" si="46"/>
        <v>1</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150"/>
      <c r="B249" s="54"/>
      <c r="C249" s="21">
        <f t="shared" si="44"/>
        <v>1</v>
      </c>
      <c r="D249" s="666"/>
      <c r="E249" s="21">
        <f t="shared" si="45"/>
        <v>1</v>
      </c>
      <c r="F249" s="666"/>
      <c r="G249" s="21">
        <f t="shared" si="46"/>
        <v>1</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150"/>
      <c r="B250" s="54"/>
      <c r="C250" s="21">
        <f t="shared" si="44"/>
        <v>1</v>
      </c>
      <c r="D250" s="666"/>
      <c r="E250" s="21">
        <f t="shared" si="45"/>
        <v>1</v>
      </c>
      <c r="F250" s="666"/>
      <c r="G250" s="21">
        <f t="shared" si="46"/>
        <v>1</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150"/>
      <c r="B251" s="54"/>
      <c r="C251" s="21">
        <f t="shared" si="44"/>
        <v>1</v>
      </c>
      <c r="D251" s="666"/>
      <c r="E251" s="21">
        <f t="shared" si="45"/>
        <v>1</v>
      </c>
      <c r="F251" s="666"/>
      <c r="G251" s="21">
        <f t="shared" si="46"/>
        <v>1</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150"/>
      <c r="B252" s="54"/>
      <c r="C252" s="21">
        <f t="shared" si="44"/>
        <v>1</v>
      </c>
      <c r="D252" s="666"/>
      <c r="E252" s="21">
        <f t="shared" si="45"/>
        <v>1</v>
      </c>
      <c r="F252" s="666"/>
      <c r="G252" s="21">
        <f t="shared" si="46"/>
        <v>1</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150"/>
      <c r="B253" s="54"/>
      <c r="C253" s="21">
        <f t="shared" si="44"/>
        <v>1</v>
      </c>
      <c r="D253" s="666"/>
      <c r="E253" s="21">
        <f t="shared" si="45"/>
        <v>1</v>
      </c>
      <c r="F253" s="666"/>
      <c r="G253" s="21">
        <f t="shared" si="46"/>
        <v>1</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150"/>
      <c r="B254" s="54"/>
      <c r="C254" s="21">
        <f t="shared" si="44"/>
        <v>1</v>
      </c>
      <c r="D254" s="666"/>
      <c r="E254" s="21">
        <f t="shared" si="45"/>
        <v>1</v>
      </c>
      <c r="F254" s="666"/>
      <c r="G254" s="21">
        <f t="shared" si="46"/>
        <v>1</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150"/>
      <c r="B255" s="54"/>
      <c r="C255" s="21">
        <f t="shared" si="44"/>
        <v>1</v>
      </c>
      <c r="D255" s="666"/>
      <c r="E255" s="21">
        <f t="shared" si="45"/>
        <v>1</v>
      </c>
      <c r="F255" s="666"/>
      <c r="G255" s="21">
        <f t="shared" si="46"/>
        <v>1</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150"/>
      <c r="B256" s="54"/>
      <c r="C256" s="21">
        <f t="shared" si="44"/>
        <v>1</v>
      </c>
      <c r="D256" s="666"/>
      <c r="E256" s="21">
        <f t="shared" si="45"/>
        <v>1</v>
      </c>
      <c r="F256" s="666"/>
      <c r="G256" s="21">
        <f t="shared" si="46"/>
        <v>1</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150"/>
      <c r="B257" s="54"/>
      <c r="C257" s="21">
        <f t="shared" si="44"/>
        <v>1</v>
      </c>
      <c r="D257" s="666"/>
      <c r="E257" s="21">
        <f t="shared" si="45"/>
        <v>1</v>
      </c>
      <c r="F257" s="666"/>
      <c r="G257" s="21">
        <f t="shared" si="46"/>
        <v>1</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150"/>
      <c r="B258" s="54"/>
      <c r="C258" s="21">
        <f t="shared" si="44"/>
        <v>1</v>
      </c>
      <c r="D258" s="666"/>
      <c r="E258" s="21">
        <f t="shared" si="45"/>
        <v>1</v>
      </c>
      <c r="F258" s="666"/>
      <c r="G258" s="21">
        <f t="shared" si="46"/>
        <v>1</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150"/>
      <c r="B259" s="54"/>
      <c r="C259" s="21">
        <f t="shared" si="44"/>
        <v>1</v>
      </c>
      <c r="D259" s="666"/>
      <c r="E259" s="21">
        <f t="shared" si="45"/>
        <v>1</v>
      </c>
      <c r="F259" s="666"/>
      <c r="G259" s="21">
        <f t="shared" si="46"/>
        <v>1</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150"/>
      <c r="B260" s="54"/>
      <c r="C260" s="21">
        <f t="shared" si="44"/>
        <v>1</v>
      </c>
      <c r="D260" s="666"/>
      <c r="E260" s="21">
        <f t="shared" si="45"/>
        <v>1</v>
      </c>
      <c r="F260" s="666"/>
      <c r="G260" s="21">
        <f t="shared" si="46"/>
        <v>1</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150"/>
      <c r="B261" s="54"/>
      <c r="C261" s="21">
        <f t="shared" si="44"/>
        <v>1</v>
      </c>
      <c r="D261" s="666"/>
      <c r="E261" s="21">
        <f t="shared" si="45"/>
        <v>1</v>
      </c>
      <c r="F261" s="666"/>
      <c r="G261" s="21">
        <f t="shared" si="46"/>
        <v>1</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150"/>
      <c r="B262" s="54"/>
      <c r="C262" s="21">
        <f t="shared" si="44"/>
        <v>1</v>
      </c>
      <c r="D262" s="666"/>
      <c r="E262" s="21">
        <f t="shared" si="45"/>
        <v>1</v>
      </c>
      <c r="F262" s="666"/>
      <c r="G262" s="21">
        <f t="shared" si="46"/>
        <v>1</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150"/>
      <c r="B263" s="54"/>
      <c r="C263" s="21">
        <f t="shared" si="44"/>
        <v>1</v>
      </c>
      <c r="D263" s="666"/>
      <c r="E263" s="21">
        <f t="shared" si="45"/>
        <v>1</v>
      </c>
      <c r="F263" s="666"/>
      <c r="G263" s="21">
        <f t="shared" si="46"/>
        <v>1</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150"/>
      <c r="B264" s="54"/>
      <c r="C264" s="21">
        <f t="shared" si="44"/>
        <v>1</v>
      </c>
      <c r="D264" s="666"/>
      <c r="E264" s="21">
        <f t="shared" si="45"/>
        <v>1</v>
      </c>
      <c r="F264" s="666"/>
      <c r="G264" s="21">
        <f t="shared" si="46"/>
        <v>1</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150"/>
      <c r="B265" s="54"/>
      <c r="C265" s="21">
        <f t="shared" si="44"/>
        <v>1</v>
      </c>
      <c r="D265" s="666"/>
      <c r="E265" s="21">
        <f t="shared" si="45"/>
        <v>1</v>
      </c>
      <c r="F265" s="666"/>
      <c r="G265" s="21">
        <f t="shared" si="46"/>
        <v>1</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150"/>
      <c r="B266" s="54"/>
      <c r="C266" s="21">
        <f t="shared" si="44"/>
        <v>1</v>
      </c>
      <c r="D266" s="666"/>
      <c r="E266" s="21">
        <f t="shared" si="45"/>
        <v>1</v>
      </c>
      <c r="F266" s="666"/>
      <c r="G266" s="21">
        <f t="shared" si="46"/>
        <v>1</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150"/>
      <c r="B267" s="54"/>
      <c r="C267" s="21">
        <f t="shared" si="44"/>
        <v>1</v>
      </c>
      <c r="D267" s="666"/>
      <c r="E267" s="21">
        <f t="shared" si="45"/>
        <v>1</v>
      </c>
      <c r="F267" s="666"/>
      <c r="G267" s="21">
        <f t="shared" si="46"/>
        <v>1</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150"/>
      <c r="B268" s="54"/>
      <c r="C268" s="21">
        <f t="shared" si="44"/>
        <v>1</v>
      </c>
      <c r="D268" s="666"/>
      <c r="E268" s="21">
        <f t="shared" si="45"/>
        <v>1</v>
      </c>
      <c r="F268" s="666"/>
      <c r="G268" s="21">
        <f t="shared" si="46"/>
        <v>1</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150"/>
      <c r="B269" s="54"/>
      <c r="C269" s="21">
        <f t="shared" si="44"/>
        <v>1</v>
      </c>
      <c r="D269" s="666"/>
      <c r="E269" s="21">
        <f t="shared" si="45"/>
        <v>1</v>
      </c>
      <c r="F269" s="666"/>
      <c r="G269" s="21">
        <f t="shared" si="46"/>
        <v>1</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150"/>
      <c r="B270" s="54"/>
      <c r="C270" s="21">
        <f t="shared" si="44"/>
        <v>1</v>
      </c>
      <c r="D270" s="666"/>
      <c r="E270" s="21">
        <f t="shared" si="45"/>
        <v>1</v>
      </c>
      <c r="F270" s="666"/>
      <c r="G270" s="21">
        <f t="shared" si="46"/>
        <v>1</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150"/>
      <c r="B271" s="54"/>
      <c r="C271" s="21">
        <f t="shared" si="44"/>
        <v>1</v>
      </c>
      <c r="D271" s="666"/>
      <c r="E271" s="21">
        <f t="shared" si="45"/>
        <v>1</v>
      </c>
      <c r="F271" s="666"/>
      <c r="G271" s="21">
        <f t="shared" si="46"/>
        <v>1</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150"/>
      <c r="B272" s="54"/>
      <c r="C272" s="21">
        <f t="shared" si="44"/>
        <v>1</v>
      </c>
      <c r="D272" s="666"/>
      <c r="E272" s="21">
        <f t="shared" si="45"/>
        <v>1</v>
      </c>
      <c r="F272" s="666"/>
      <c r="G272" s="21">
        <f t="shared" si="46"/>
        <v>1</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150"/>
      <c r="B273" s="54"/>
      <c r="C273" s="21">
        <f t="shared" si="44"/>
        <v>1</v>
      </c>
      <c r="D273" s="666"/>
      <c r="E273" s="21">
        <f t="shared" si="45"/>
        <v>1</v>
      </c>
      <c r="F273" s="666"/>
      <c r="G273" s="21">
        <f t="shared" si="46"/>
        <v>1</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150"/>
      <c r="B274" s="54"/>
      <c r="C274" s="21">
        <f t="shared" si="44"/>
        <v>1</v>
      </c>
      <c r="D274" s="666"/>
      <c r="E274" s="21">
        <f t="shared" si="45"/>
        <v>1</v>
      </c>
      <c r="F274" s="666"/>
      <c r="G274" s="21">
        <f t="shared" si="46"/>
        <v>1</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150"/>
      <c r="B275" s="54"/>
      <c r="C275" s="21">
        <f t="shared" si="44"/>
        <v>1</v>
      </c>
      <c r="D275" s="666"/>
      <c r="E275" s="21">
        <f t="shared" si="45"/>
        <v>1</v>
      </c>
      <c r="F275" s="666"/>
      <c r="G275" s="21">
        <f t="shared" si="46"/>
        <v>1</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150"/>
      <c r="B276" s="54"/>
      <c r="C276" s="21">
        <f t="shared" si="44"/>
        <v>1</v>
      </c>
      <c r="D276" s="666"/>
      <c r="E276" s="21">
        <f t="shared" si="45"/>
        <v>1</v>
      </c>
      <c r="F276" s="666"/>
      <c r="G276" s="21">
        <f t="shared" si="46"/>
        <v>1</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150"/>
      <c r="B277" s="54"/>
      <c r="C277" s="21">
        <f t="shared" si="44"/>
        <v>1</v>
      </c>
      <c r="D277" s="666"/>
      <c r="E277" s="21">
        <f t="shared" si="45"/>
        <v>1</v>
      </c>
      <c r="F277" s="666"/>
      <c r="G277" s="21">
        <f t="shared" si="46"/>
        <v>1</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150"/>
      <c r="B278" s="54"/>
      <c r="C278" s="21">
        <f t="shared" si="44"/>
        <v>1</v>
      </c>
      <c r="D278" s="666"/>
      <c r="E278" s="21">
        <f t="shared" si="45"/>
        <v>1</v>
      </c>
      <c r="F278" s="666"/>
      <c r="G278" s="21">
        <f t="shared" si="46"/>
        <v>1</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150"/>
      <c r="B279" s="54"/>
      <c r="C279" s="21">
        <f t="shared" si="44"/>
        <v>1</v>
      </c>
      <c r="D279" s="666"/>
      <c r="E279" s="21">
        <f t="shared" si="45"/>
        <v>1</v>
      </c>
      <c r="F279" s="666"/>
      <c r="G279" s="21">
        <f t="shared" si="46"/>
        <v>1</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150"/>
      <c r="B280" s="54"/>
      <c r="C280" s="21">
        <f t="shared" si="44"/>
        <v>1</v>
      </c>
      <c r="D280" s="666"/>
      <c r="E280" s="21">
        <f t="shared" si="45"/>
        <v>1</v>
      </c>
      <c r="F280" s="666"/>
      <c r="G280" s="21">
        <f t="shared" si="46"/>
        <v>1</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150"/>
      <c r="B281" s="54"/>
      <c r="C281" s="21">
        <f t="shared" si="44"/>
        <v>1</v>
      </c>
      <c r="D281" s="666"/>
      <c r="E281" s="21">
        <f t="shared" si="45"/>
        <v>1</v>
      </c>
      <c r="F281" s="666"/>
      <c r="G281" s="21">
        <f t="shared" si="46"/>
        <v>1</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150"/>
      <c r="B282" s="54"/>
      <c r="C282" s="21">
        <f t="shared" ref="C282:C345" si="54">IF(B282="",1,(LOOKUP(B282,$3:$3,$4:$4)-LOOKUP($B$24,$3:$3,$4:$4)+100)/100)</f>
        <v>1</v>
      </c>
      <c r="D282" s="666"/>
      <c r="E282" s="21">
        <f t="shared" ref="E282:E345" si="55">(SUMIF($5:$5,D282,$6:$6)-SUMIF($5:$5,$D$24,$6:$6)+100)/100</f>
        <v>1</v>
      </c>
      <c r="F282" s="666"/>
      <c r="G282" s="21">
        <f t="shared" ref="G282:G345" si="56">(SUMIF($7:$7,F282,$8:$8)-SUMIF($7:$7,$F$24,$8:$8)+100)/100</f>
        <v>1</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150"/>
      <c r="B283" s="54"/>
      <c r="C283" s="21">
        <f t="shared" si="54"/>
        <v>1</v>
      </c>
      <c r="D283" s="666"/>
      <c r="E283" s="21">
        <f t="shared" si="55"/>
        <v>1</v>
      </c>
      <c r="F283" s="666"/>
      <c r="G283" s="21">
        <f t="shared" si="56"/>
        <v>1</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150"/>
      <c r="B284" s="54"/>
      <c r="C284" s="21">
        <f t="shared" si="54"/>
        <v>1</v>
      </c>
      <c r="D284" s="666"/>
      <c r="E284" s="21">
        <f t="shared" si="55"/>
        <v>1</v>
      </c>
      <c r="F284" s="666"/>
      <c r="G284" s="21">
        <f t="shared" si="56"/>
        <v>1</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150"/>
      <c r="B285" s="54"/>
      <c r="C285" s="21">
        <f t="shared" si="54"/>
        <v>1</v>
      </c>
      <c r="D285" s="666"/>
      <c r="E285" s="21">
        <f t="shared" si="55"/>
        <v>1</v>
      </c>
      <c r="F285" s="666"/>
      <c r="G285" s="21">
        <f t="shared" si="56"/>
        <v>1</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150"/>
      <c r="B286" s="54"/>
      <c r="C286" s="21">
        <f t="shared" si="54"/>
        <v>1</v>
      </c>
      <c r="D286" s="666"/>
      <c r="E286" s="21">
        <f t="shared" si="55"/>
        <v>1</v>
      </c>
      <c r="F286" s="666"/>
      <c r="G286" s="21">
        <f t="shared" si="56"/>
        <v>1</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150"/>
      <c r="B287" s="54"/>
      <c r="C287" s="21">
        <f t="shared" si="54"/>
        <v>1</v>
      </c>
      <c r="D287" s="666"/>
      <c r="E287" s="21">
        <f t="shared" si="55"/>
        <v>1</v>
      </c>
      <c r="F287" s="666"/>
      <c r="G287" s="21">
        <f t="shared" si="56"/>
        <v>1</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150"/>
      <c r="B288" s="54"/>
      <c r="C288" s="21">
        <f t="shared" si="54"/>
        <v>1</v>
      </c>
      <c r="D288" s="666"/>
      <c r="E288" s="21">
        <f t="shared" si="55"/>
        <v>1</v>
      </c>
      <c r="F288" s="666"/>
      <c r="G288" s="21">
        <f t="shared" si="56"/>
        <v>1</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150"/>
      <c r="B289" s="54"/>
      <c r="C289" s="21">
        <f t="shared" si="54"/>
        <v>1</v>
      </c>
      <c r="D289" s="666"/>
      <c r="E289" s="21">
        <f t="shared" si="55"/>
        <v>1</v>
      </c>
      <c r="F289" s="666"/>
      <c r="G289" s="21">
        <f t="shared" si="56"/>
        <v>1</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150"/>
      <c r="B290" s="54"/>
      <c r="C290" s="21">
        <f t="shared" si="54"/>
        <v>1</v>
      </c>
      <c r="D290" s="666"/>
      <c r="E290" s="21">
        <f t="shared" si="55"/>
        <v>1</v>
      </c>
      <c r="F290" s="666"/>
      <c r="G290" s="21">
        <f t="shared" si="56"/>
        <v>1</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150"/>
      <c r="B291" s="54"/>
      <c r="C291" s="21">
        <f t="shared" si="54"/>
        <v>1</v>
      </c>
      <c r="D291" s="666"/>
      <c r="E291" s="21">
        <f t="shared" si="55"/>
        <v>1</v>
      </c>
      <c r="F291" s="666"/>
      <c r="G291" s="21">
        <f t="shared" si="56"/>
        <v>1</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150"/>
      <c r="B292" s="54"/>
      <c r="C292" s="21">
        <f t="shared" si="54"/>
        <v>1</v>
      </c>
      <c r="D292" s="666"/>
      <c r="E292" s="21">
        <f t="shared" si="55"/>
        <v>1</v>
      </c>
      <c r="F292" s="666"/>
      <c r="G292" s="21">
        <f t="shared" si="56"/>
        <v>1</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150"/>
      <c r="B293" s="54"/>
      <c r="C293" s="21">
        <f t="shared" si="54"/>
        <v>1</v>
      </c>
      <c r="D293" s="666"/>
      <c r="E293" s="21">
        <f t="shared" si="55"/>
        <v>1</v>
      </c>
      <c r="F293" s="666"/>
      <c r="G293" s="21">
        <f t="shared" si="56"/>
        <v>1</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150"/>
      <c r="B294" s="54"/>
      <c r="C294" s="21">
        <f t="shared" si="54"/>
        <v>1</v>
      </c>
      <c r="D294" s="666"/>
      <c r="E294" s="21">
        <f t="shared" si="55"/>
        <v>1</v>
      </c>
      <c r="F294" s="666"/>
      <c r="G294" s="21">
        <f t="shared" si="56"/>
        <v>1</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150"/>
      <c r="B295" s="54"/>
      <c r="C295" s="21">
        <f t="shared" si="54"/>
        <v>1</v>
      </c>
      <c r="D295" s="666"/>
      <c r="E295" s="21">
        <f t="shared" si="55"/>
        <v>1</v>
      </c>
      <c r="F295" s="666"/>
      <c r="G295" s="21">
        <f t="shared" si="56"/>
        <v>1</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150"/>
      <c r="B296" s="54"/>
      <c r="C296" s="21">
        <f t="shared" si="54"/>
        <v>1</v>
      </c>
      <c r="D296" s="666"/>
      <c r="E296" s="21">
        <f t="shared" si="55"/>
        <v>1</v>
      </c>
      <c r="F296" s="666"/>
      <c r="G296" s="21">
        <f t="shared" si="56"/>
        <v>1</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150"/>
      <c r="B297" s="54"/>
      <c r="C297" s="21">
        <f t="shared" si="54"/>
        <v>1</v>
      </c>
      <c r="D297" s="666"/>
      <c r="E297" s="21">
        <f t="shared" si="55"/>
        <v>1</v>
      </c>
      <c r="F297" s="666"/>
      <c r="G297" s="21">
        <f t="shared" si="56"/>
        <v>1</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150"/>
      <c r="B298" s="54"/>
      <c r="C298" s="21">
        <f t="shared" si="54"/>
        <v>1</v>
      </c>
      <c r="D298" s="666"/>
      <c r="E298" s="21">
        <f t="shared" si="55"/>
        <v>1</v>
      </c>
      <c r="F298" s="666"/>
      <c r="G298" s="21">
        <f t="shared" si="56"/>
        <v>1</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150"/>
      <c r="B299" s="54"/>
      <c r="C299" s="21">
        <f t="shared" si="54"/>
        <v>1</v>
      </c>
      <c r="D299" s="666"/>
      <c r="E299" s="21">
        <f t="shared" si="55"/>
        <v>1</v>
      </c>
      <c r="F299" s="666"/>
      <c r="G299" s="21">
        <f t="shared" si="56"/>
        <v>1</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150"/>
      <c r="B300" s="54"/>
      <c r="C300" s="21">
        <f t="shared" si="54"/>
        <v>1</v>
      </c>
      <c r="D300" s="666"/>
      <c r="E300" s="21">
        <f t="shared" si="55"/>
        <v>1</v>
      </c>
      <c r="F300" s="666"/>
      <c r="G300" s="21">
        <f t="shared" si="56"/>
        <v>1</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150"/>
      <c r="B301" s="54"/>
      <c r="C301" s="21">
        <f t="shared" si="54"/>
        <v>1</v>
      </c>
      <c r="D301" s="666"/>
      <c r="E301" s="21">
        <f t="shared" si="55"/>
        <v>1</v>
      </c>
      <c r="F301" s="666"/>
      <c r="G301" s="21">
        <f t="shared" si="56"/>
        <v>1</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150"/>
      <c r="B302" s="54"/>
      <c r="C302" s="21">
        <f t="shared" si="54"/>
        <v>1</v>
      </c>
      <c r="D302" s="666"/>
      <c r="E302" s="21">
        <f t="shared" si="55"/>
        <v>1</v>
      </c>
      <c r="F302" s="666"/>
      <c r="G302" s="21">
        <f t="shared" si="56"/>
        <v>1</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150"/>
      <c r="B303" s="54"/>
      <c r="C303" s="21">
        <f t="shared" si="54"/>
        <v>1</v>
      </c>
      <c r="D303" s="666"/>
      <c r="E303" s="21">
        <f t="shared" si="55"/>
        <v>1</v>
      </c>
      <c r="F303" s="666"/>
      <c r="G303" s="21">
        <f t="shared" si="56"/>
        <v>1</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150"/>
      <c r="B304" s="54"/>
      <c r="C304" s="21">
        <f t="shared" si="54"/>
        <v>1</v>
      </c>
      <c r="D304" s="666"/>
      <c r="E304" s="21">
        <f t="shared" si="55"/>
        <v>1</v>
      </c>
      <c r="F304" s="666"/>
      <c r="G304" s="21">
        <f t="shared" si="56"/>
        <v>1</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150"/>
      <c r="B305" s="54"/>
      <c r="C305" s="21">
        <f t="shared" si="54"/>
        <v>1</v>
      </c>
      <c r="D305" s="666"/>
      <c r="E305" s="21">
        <f t="shared" si="55"/>
        <v>1</v>
      </c>
      <c r="F305" s="666"/>
      <c r="G305" s="21">
        <f t="shared" si="56"/>
        <v>1</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150"/>
      <c r="B306" s="54"/>
      <c r="C306" s="21">
        <f t="shared" si="54"/>
        <v>1</v>
      </c>
      <c r="D306" s="666"/>
      <c r="E306" s="21">
        <f t="shared" si="55"/>
        <v>1</v>
      </c>
      <c r="F306" s="666"/>
      <c r="G306" s="21">
        <f t="shared" si="56"/>
        <v>1</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150"/>
      <c r="B307" s="54"/>
      <c r="C307" s="21">
        <f t="shared" si="54"/>
        <v>1</v>
      </c>
      <c r="D307" s="666"/>
      <c r="E307" s="21">
        <f t="shared" si="55"/>
        <v>1</v>
      </c>
      <c r="F307" s="666"/>
      <c r="G307" s="21">
        <f t="shared" si="56"/>
        <v>1</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150"/>
      <c r="B308" s="54"/>
      <c r="C308" s="21">
        <f t="shared" si="54"/>
        <v>1</v>
      </c>
      <c r="D308" s="666"/>
      <c r="E308" s="21">
        <f t="shared" si="55"/>
        <v>1</v>
      </c>
      <c r="F308" s="666"/>
      <c r="G308" s="21">
        <f t="shared" si="56"/>
        <v>1</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150"/>
      <c r="B309" s="54"/>
      <c r="C309" s="21">
        <f t="shared" si="54"/>
        <v>1</v>
      </c>
      <c r="D309" s="666"/>
      <c r="E309" s="21">
        <f t="shared" si="55"/>
        <v>1</v>
      </c>
      <c r="F309" s="666"/>
      <c r="G309" s="21">
        <f t="shared" si="56"/>
        <v>1</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150"/>
      <c r="B310" s="54"/>
      <c r="C310" s="21">
        <f t="shared" si="54"/>
        <v>1</v>
      </c>
      <c r="D310" s="666"/>
      <c r="E310" s="21">
        <f t="shared" si="55"/>
        <v>1</v>
      </c>
      <c r="F310" s="666"/>
      <c r="G310" s="21">
        <f t="shared" si="56"/>
        <v>1</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150"/>
      <c r="B311" s="54"/>
      <c r="C311" s="21">
        <f t="shared" si="54"/>
        <v>1</v>
      </c>
      <c r="D311" s="666"/>
      <c r="E311" s="21">
        <f t="shared" si="55"/>
        <v>1</v>
      </c>
      <c r="F311" s="666"/>
      <c r="G311" s="21">
        <f t="shared" si="56"/>
        <v>1</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150"/>
      <c r="B312" s="54"/>
      <c r="C312" s="21">
        <f t="shared" si="54"/>
        <v>1</v>
      </c>
      <c r="D312" s="666"/>
      <c r="E312" s="21">
        <f t="shared" si="55"/>
        <v>1</v>
      </c>
      <c r="F312" s="666"/>
      <c r="G312" s="21">
        <f t="shared" si="56"/>
        <v>1</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150"/>
      <c r="B313" s="54"/>
      <c r="C313" s="21">
        <f t="shared" si="54"/>
        <v>1</v>
      </c>
      <c r="D313" s="666"/>
      <c r="E313" s="21">
        <f t="shared" si="55"/>
        <v>1</v>
      </c>
      <c r="F313" s="666"/>
      <c r="G313" s="21">
        <f t="shared" si="56"/>
        <v>1</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150"/>
      <c r="B314" s="54"/>
      <c r="C314" s="21">
        <f t="shared" si="54"/>
        <v>1</v>
      </c>
      <c r="D314" s="666"/>
      <c r="E314" s="21">
        <f t="shared" si="55"/>
        <v>1</v>
      </c>
      <c r="F314" s="666"/>
      <c r="G314" s="21">
        <f t="shared" si="56"/>
        <v>1</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150"/>
      <c r="B315" s="54"/>
      <c r="C315" s="21">
        <f t="shared" si="54"/>
        <v>1</v>
      </c>
      <c r="D315" s="666"/>
      <c r="E315" s="21">
        <f t="shared" si="55"/>
        <v>1</v>
      </c>
      <c r="F315" s="666"/>
      <c r="G315" s="21">
        <f t="shared" si="56"/>
        <v>1</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150"/>
      <c r="B316" s="54"/>
      <c r="C316" s="21">
        <f t="shared" si="54"/>
        <v>1</v>
      </c>
      <c r="D316" s="666"/>
      <c r="E316" s="21">
        <f t="shared" si="55"/>
        <v>1</v>
      </c>
      <c r="F316" s="666"/>
      <c r="G316" s="21">
        <f t="shared" si="56"/>
        <v>1</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150"/>
      <c r="B317" s="54"/>
      <c r="C317" s="21">
        <f t="shared" si="54"/>
        <v>1</v>
      </c>
      <c r="D317" s="666"/>
      <c r="E317" s="21">
        <f t="shared" si="55"/>
        <v>1</v>
      </c>
      <c r="F317" s="666"/>
      <c r="G317" s="21">
        <f t="shared" si="56"/>
        <v>1</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150"/>
      <c r="B318" s="54"/>
      <c r="C318" s="21">
        <f t="shared" si="54"/>
        <v>1</v>
      </c>
      <c r="D318" s="666"/>
      <c r="E318" s="21">
        <f t="shared" si="55"/>
        <v>1</v>
      </c>
      <c r="F318" s="666"/>
      <c r="G318" s="21">
        <f t="shared" si="56"/>
        <v>1</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150"/>
      <c r="B319" s="54"/>
      <c r="C319" s="21">
        <f t="shared" si="54"/>
        <v>1</v>
      </c>
      <c r="D319" s="666"/>
      <c r="E319" s="21">
        <f t="shared" si="55"/>
        <v>1</v>
      </c>
      <c r="F319" s="666"/>
      <c r="G319" s="21">
        <f t="shared" si="56"/>
        <v>1</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150"/>
      <c r="B320" s="54"/>
      <c r="C320" s="21">
        <f t="shared" si="54"/>
        <v>1</v>
      </c>
      <c r="D320" s="666"/>
      <c r="E320" s="21">
        <f t="shared" si="55"/>
        <v>1</v>
      </c>
      <c r="F320" s="666"/>
      <c r="G320" s="21">
        <f t="shared" si="56"/>
        <v>1</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150"/>
      <c r="B321" s="54"/>
      <c r="C321" s="21">
        <f t="shared" si="54"/>
        <v>1</v>
      </c>
      <c r="D321" s="666"/>
      <c r="E321" s="21">
        <f t="shared" si="55"/>
        <v>1</v>
      </c>
      <c r="F321" s="666"/>
      <c r="G321" s="21">
        <f t="shared" si="56"/>
        <v>1</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150"/>
      <c r="B322" s="54"/>
      <c r="C322" s="21">
        <f t="shared" si="54"/>
        <v>1</v>
      </c>
      <c r="D322" s="666"/>
      <c r="E322" s="21">
        <f t="shared" si="55"/>
        <v>1</v>
      </c>
      <c r="F322" s="666"/>
      <c r="G322" s="21">
        <f t="shared" si="56"/>
        <v>1</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150"/>
      <c r="B323" s="54"/>
      <c r="C323" s="21">
        <f t="shared" si="54"/>
        <v>1</v>
      </c>
      <c r="D323" s="666"/>
      <c r="E323" s="21">
        <f t="shared" si="55"/>
        <v>1</v>
      </c>
      <c r="F323" s="666"/>
      <c r="G323" s="21">
        <f t="shared" si="56"/>
        <v>1</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150"/>
      <c r="B324" s="54"/>
      <c r="C324" s="21">
        <f t="shared" si="54"/>
        <v>1</v>
      </c>
      <c r="D324" s="666"/>
      <c r="E324" s="21">
        <f t="shared" si="55"/>
        <v>1</v>
      </c>
      <c r="F324" s="666"/>
      <c r="G324" s="21">
        <f t="shared" si="56"/>
        <v>1</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150"/>
      <c r="B325" s="54"/>
      <c r="C325" s="21">
        <f t="shared" si="54"/>
        <v>1</v>
      </c>
      <c r="D325" s="666"/>
      <c r="E325" s="21">
        <f t="shared" si="55"/>
        <v>1</v>
      </c>
      <c r="F325" s="666"/>
      <c r="G325" s="21">
        <f t="shared" si="56"/>
        <v>1</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150"/>
      <c r="B326" s="54"/>
      <c r="C326" s="21">
        <f t="shared" si="54"/>
        <v>1</v>
      </c>
      <c r="D326" s="666"/>
      <c r="E326" s="21">
        <f t="shared" si="55"/>
        <v>1</v>
      </c>
      <c r="F326" s="666"/>
      <c r="G326" s="21">
        <f t="shared" si="56"/>
        <v>1</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150"/>
      <c r="B327" s="54"/>
      <c r="C327" s="21">
        <f t="shared" si="54"/>
        <v>1</v>
      </c>
      <c r="D327" s="666"/>
      <c r="E327" s="21">
        <f t="shared" si="55"/>
        <v>1</v>
      </c>
      <c r="F327" s="666"/>
      <c r="G327" s="21">
        <f t="shared" si="56"/>
        <v>1</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150"/>
      <c r="B328" s="54"/>
      <c r="C328" s="21">
        <f t="shared" si="54"/>
        <v>1</v>
      </c>
      <c r="D328" s="666"/>
      <c r="E328" s="21">
        <f t="shared" si="55"/>
        <v>1</v>
      </c>
      <c r="F328" s="666"/>
      <c r="G328" s="21">
        <f t="shared" si="56"/>
        <v>1</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150"/>
      <c r="B329" s="54"/>
      <c r="C329" s="21">
        <f t="shared" si="54"/>
        <v>1</v>
      </c>
      <c r="D329" s="666"/>
      <c r="E329" s="21">
        <f t="shared" si="55"/>
        <v>1</v>
      </c>
      <c r="F329" s="666"/>
      <c r="G329" s="21">
        <f t="shared" si="56"/>
        <v>1</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150"/>
      <c r="B330" s="54"/>
      <c r="C330" s="21">
        <f t="shared" si="54"/>
        <v>1</v>
      </c>
      <c r="D330" s="666"/>
      <c r="E330" s="21">
        <f t="shared" si="55"/>
        <v>1</v>
      </c>
      <c r="F330" s="666"/>
      <c r="G330" s="21">
        <f t="shared" si="56"/>
        <v>1</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150"/>
      <c r="B331" s="54"/>
      <c r="C331" s="21">
        <f t="shared" si="54"/>
        <v>1</v>
      </c>
      <c r="D331" s="666"/>
      <c r="E331" s="21">
        <f t="shared" si="55"/>
        <v>1</v>
      </c>
      <c r="F331" s="666"/>
      <c r="G331" s="21">
        <f t="shared" si="56"/>
        <v>1</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150"/>
      <c r="B332" s="54"/>
      <c r="C332" s="21">
        <f t="shared" si="54"/>
        <v>1</v>
      </c>
      <c r="D332" s="666"/>
      <c r="E332" s="21">
        <f t="shared" si="55"/>
        <v>1</v>
      </c>
      <c r="F332" s="666"/>
      <c r="G332" s="21">
        <f t="shared" si="56"/>
        <v>1</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150"/>
      <c r="B333" s="54"/>
      <c r="C333" s="21">
        <f t="shared" si="54"/>
        <v>1</v>
      </c>
      <c r="D333" s="666"/>
      <c r="E333" s="21">
        <f t="shared" si="55"/>
        <v>1</v>
      </c>
      <c r="F333" s="666"/>
      <c r="G333" s="21">
        <f t="shared" si="56"/>
        <v>1</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150"/>
      <c r="B334" s="54"/>
      <c r="C334" s="21">
        <f t="shared" si="54"/>
        <v>1</v>
      </c>
      <c r="D334" s="666"/>
      <c r="E334" s="21">
        <f t="shared" si="55"/>
        <v>1</v>
      </c>
      <c r="F334" s="666"/>
      <c r="G334" s="21">
        <f t="shared" si="56"/>
        <v>1</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150"/>
      <c r="B335" s="54"/>
      <c r="C335" s="21">
        <f t="shared" si="54"/>
        <v>1</v>
      </c>
      <c r="D335" s="666"/>
      <c r="E335" s="21">
        <f t="shared" si="55"/>
        <v>1</v>
      </c>
      <c r="F335" s="666"/>
      <c r="G335" s="21">
        <f t="shared" si="56"/>
        <v>1</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150"/>
      <c r="B336" s="54"/>
      <c r="C336" s="21">
        <f t="shared" si="54"/>
        <v>1</v>
      </c>
      <c r="D336" s="666"/>
      <c r="E336" s="21">
        <f t="shared" si="55"/>
        <v>1</v>
      </c>
      <c r="F336" s="666"/>
      <c r="G336" s="21">
        <f t="shared" si="56"/>
        <v>1</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150"/>
      <c r="B337" s="54"/>
      <c r="C337" s="21">
        <f t="shared" si="54"/>
        <v>1</v>
      </c>
      <c r="D337" s="666"/>
      <c r="E337" s="21">
        <f t="shared" si="55"/>
        <v>1</v>
      </c>
      <c r="F337" s="666"/>
      <c r="G337" s="21">
        <f t="shared" si="56"/>
        <v>1</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150"/>
      <c r="B338" s="54"/>
      <c r="C338" s="21">
        <f t="shared" si="54"/>
        <v>1</v>
      </c>
      <c r="D338" s="666"/>
      <c r="E338" s="21">
        <f t="shared" si="55"/>
        <v>1</v>
      </c>
      <c r="F338" s="666"/>
      <c r="G338" s="21">
        <f t="shared" si="56"/>
        <v>1</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150"/>
      <c r="B339" s="54"/>
      <c r="C339" s="21">
        <f t="shared" si="54"/>
        <v>1</v>
      </c>
      <c r="D339" s="666"/>
      <c r="E339" s="21">
        <f t="shared" si="55"/>
        <v>1</v>
      </c>
      <c r="F339" s="666"/>
      <c r="G339" s="21">
        <f t="shared" si="56"/>
        <v>1</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150"/>
      <c r="B340" s="54"/>
      <c r="C340" s="21">
        <f t="shared" si="54"/>
        <v>1</v>
      </c>
      <c r="D340" s="666"/>
      <c r="E340" s="21">
        <f t="shared" si="55"/>
        <v>1</v>
      </c>
      <c r="F340" s="666"/>
      <c r="G340" s="21">
        <f t="shared" si="56"/>
        <v>1</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150"/>
      <c r="B341" s="54"/>
      <c r="C341" s="21">
        <f t="shared" si="54"/>
        <v>1</v>
      </c>
      <c r="D341" s="666"/>
      <c r="E341" s="21">
        <f t="shared" si="55"/>
        <v>1</v>
      </c>
      <c r="F341" s="666"/>
      <c r="G341" s="21">
        <f t="shared" si="56"/>
        <v>1</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150"/>
      <c r="B342" s="54"/>
      <c r="C342" s="21">
        <f t="shared" si="54"/>
        <v>1</v>
      </c>
      <c r="D342" s="666"/>
      <c r="E342" s="21">
        <f t="shared" si="55"/>
        <v>1</v>
      </c>
      <c r="F342" s="666"/>
      <c r="G342" s="21">
        <f t="shared" si="56"/>
        <v>1</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150"/>
      <c r="B343" s="54"/>
      <c r="C343" s="21">
        <f t="shared" si="54"/>
        <v>1</v>
      </c>
      <c r="D343" s="666"/>
      <c r="E343" s="21">
        <f t="shared" si="55"/>
        <v>1</v>
      </c>
      <c r="F343" s="666"/>
      <c r="G343" s="21">
        <f t="shared" si="56"/>
        <v>1</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150"/>
      <c r="B344" s="54"/>
      <c r="C344" s="21">
        <f t="shared" si="54"/>
        <v>1</v>
      </c>
      <c r="D344" s="666"/>
      <c r="E344" s="21">
        <f t="shared" si="55"/>
        <v>1</v>
      </c>
      <c r="F344" s="666"/>
      <c r="G344" s="21">
        <f t="shared" si="56"/>
        <v>1</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150"/>
      <c r="B345" s="54"/>
      <c r="C345" s="21">
        <f t="shared" si="54"/>
        <v>1</v>
      </c>
      <c r="D345" s="666"/>
      <c r="E345" s="21">
        <f t="shared" si="55"/>
        <v>1</v>
      </c>
      <c r="F345" s="666"/>
      <c r="G345" s="21">
        <f t="shared" si="56"/>
        <v>1</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150"/>
      <c r="B346" s="54"/>
      <c r="C346" s="21">
        <f t="shared" ref="C346:C409" si="65">IF(B346="",1,(LOOKUP(B346,$3:$3,$4:$4)-LOOKUP($B$24,$3:$3,$4:$4)+100)/100)</f>
        <v>1</v>
      </c>
      <c r="D346" s="666"/>
      <c r="E346" s="21">
        <f t="shared" ref="E346:E409" si="66">(SUMIF($5:$5,D346,$6:$6)-SUMIF($5:$5,$D$24,$6:$6)+100)/100</f>
        <v>1</v>
      </c>
      <c r="F346" s="666"/>
      <c r="G346" s="21">
        <f t="shared" ref="G346:G409" si="67">(SUMIF($7:$7,F346,$8:$8)-SUMIF($7:$7,$F$24,$8:$8)+100)/100</f>
        <v>1</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150"/>
      <c r="B347" s="54"/>
      <c r="C347" s="21">
        <f t="shared" si="65"/>
        <v>1</v>
      </c>
      <c r="D347" s="666"/>
      <c r="E347" s="21">
        <f t="shared" si="66"/>
        <v>1</v>
      </c>
      <c r="F347" s="666"/>
      <c r="G347" s="21">
        <f t="shared" si="67"/>
        <v>1</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150"/>
      <c r="B348" s="54"/>
      <c r="C348" s="21">
        <f t="shared" si="65"/>
        <v>1</v>
      </c>
      <c r="D348" s="666"/>
      <c r="E348" s="21">
        <f t="shared" si="66"/>
        <v>1</v>
      </c>
      <c r="F348" s="666"/>
      <c r="G348" s="21">
        <f t="shared" si="67"/>
        <v>1</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150"/>
      <c r="B349" s="54"/>
      <c r="C349" s="21">
        <f t="shared" si="65"/>
        <v>1</v>
      </c>
      <c r="D349" s="666"/>
      <c r="E349" s="21">
        <f t="shared" si="66"/>
        <v>1</v>
      </c>
      <c r="F349" s="666"/>
      <c r="G349" s="21">
        <f t="shared" si="67"/>
        <v>1</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150"/>
      <c r="B350" s="54"/>
      <c r="C350" s="21">
        <f t="shared" si="65"/>
        <v>1</v>
      </c>
      <c r="D350" s="666"/>
      <c r="E350" s="21">
        <f t="shared" si="66"/>
        <v>1</v>
      </c>
      <c r="F350" s="666"/>
      <c r="G350" s="21">
        <f t="shared" si="67"/>
        <v>1</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150"/>
      <c r="B351" s="54"/>
      <c r="C351" s="21">
        <f t="shared" si="65"/>
        <v>1</v>
      </c>
      <c r="D351" s="666"/>
      <c r="E351" s="21">
        <f t="shared" si="66"/>
        <v>1</v>
      </c>
      <c r="F351" s="666"/>
      <c r="G351" s="21">
        <f t="shared" si="67"/>
        <v>1</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150"/>
      <c r="B352" s="54"/>
      <c r="C352" s="21">
        <f t="shared" si="65"/>
        <v>1</v>
      </c>
      <c r="D352" s="666"/>
      <c r="E352" s="21">
        <f t="shared" si="66"/>
        <v>1</v>
      </c>
      <c r="F352" s="666"/>
      <c r="G352" s="21">
        <f t="shared" si="67"/>
        <v>1</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150"/>
      <c r="B353" s="54"/>
      <c r="C353" s="21">
        <f t="shared" si="65"/>
        <v>1</v>
      </c>
      <c r="D353" s="666"/>
      <c r="E353" s="21">
        <f t="shared" si="66"/>
        <v>1</v>
      </c>
      <c r="F353" s="666"/>
      <c r="G353" s="21">
        <f t="shared" si="67"/>
        <v>1</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150"/>
      <c r="B354" s="54"/>
      <c r="C354" s="21">
        <f t="shared" si="65"/>
        <v>1</v>
      </c>
      <c r="D354" s="666"/>
      <c r="E354" s="21">
        <f t="shared" si="66"/>
        <v>1</v>
      </c>
      <c r="F354" s="666"/>
      <c r="G354" s="21">
        <f t="shared" si="67"/>
        <v>1</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150"/>
      <c r="B355" s="54"/>
      <c r="C355" s="21">
        <f t="shared" si="65"/>
        <v>1</v>
      </c>
      <c r="D355" s="666"/>
      <c r="E355" s="21">
        <f t="shared" si="66"/>
        <v>1</v>
      </c>
      <c r="F355" s="666"/>
      <c r="G355" s="21">
        <f t="shared" si="67"/>
        <v>1</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150"/>
      <c r="B356" s="54"/>
      <c r="C356" s="21">
        <f t="shared" si="65"/>
        <v>1</v>
      </c>
      <c r="D356" s="666"/>
      <c r="E356" s="21">
        <f t="shared" si="66"/>
        <v>1</v>
      </c>
      <c r="F356" s="666"/>
      <c r="G356" s="21">
        <f t="shared" si="67"/>
        <v>1</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150"/>
      <c r="B357" s="54"/>
      <c r="C357" s="21">
        <f t="shared" si="65"/>
        <v>1</v>
      </c>
      <c r="D357" s="666"/>
      <c r="E357" s="21">
        <f t="shared" si="66"/>
        <v>1</v>
      </c>
      <c r="F357" s="666"/>
      <c r="G357" s="21">
        <f t="shared" si="67"/>
        <v>1</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150"/>
      <c r="B358" s="54"/>
      <c r="C358" s="21">
        <f t="shared" si="65"/>
        <v>1</v>
      </c>
      <c r="D358" s="666"/>
      <c r="E358" s="21">
        <f t="shared" si="66"/>
        <v>1</v>
      </c>
      <c r="F358" s="666"/>
      <c r="G358" s="21">
        <f t="shared" si="67"/>
        <v>1</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150"/>
      <c r="B359" s="54"/>
      <c r="C359" s="21">
        <f t="shared" si="65"/>
        <v>1</v>
      </c>
      <c r="D359" s="666"/>
      <c r="E359" s="21">
        <f t="shared" si="66"/>
        <v>1</v>
      </c>
      <c r="F359" s="666"/>
      <c r="G359" s="21">
        <f t="shared" si="67"/>
        <v>1</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150"/>
      <c r="B360" s="54"/>
      <c r="C360" s="21">
        <f t="shared" si="65"/>
        <v>1</v>
      </c>
      <c r="D360" s="666"/>
      <c r="E360" s="21">
        <f t="shared" si="66"/>
        <v>1</v>
      </c>
      <c r="F360" s="666"/>
      <c r="G360" s="21">
        <f t="shared" si="67"/>
        <v>1</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150"/>
      <c r="B361" s="54"/>
      <c r="C361" s="21">
        <f t="shared" si="65"/>
        <v>1</v>
      </c>
      <c r="D361" s="666"/>
      <c r="E361" s="21">
        <f t="shared" si="66"/>
        <v>1</v>
      </c>
      <c r="F361" s="666"/>
      <c r="G361" s="21">
        <f t="shared" si="67"/>
        <v>1</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150"/>
      <c r="B362" s="54"/>
      <c r="C362" s="21">
        <f t="shared" si="65"/>
        <v>1</v>
      </c>
      <c r="D362" s="666"/>
      <c r="E362" s="21">
        <f t="shared" si="66"/>
        <v>1</v>
      </c>
      <c r="F362" s="666"/>
      <c r="G362" s="21">
        <f t="shared" si="67"/>
        <v>1</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150"/>
      <c r="B363" s="54"/>
      <c r="C363" s="21">
        <f t="shared" si="65"/>
        <v>1</v>
      </c>
      <c r="D363" s="666"/>
      <c r="E363" s="21">
        <f t="shared" si="66"/>
        <v>1</v>
      </c>
      <c r="F363" s="666"/>
      <c r="G363" s="21">
        <f t="shared" si="67"/>
        <v>1</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150"/>
      <c r="B364" s="54"/>
      <c r="C364" s="21">
        <f t="shared" si="65"/>
        <v>1</v>
      </c>
      <c r="D364" s="666"/>
      <c r="E364" s="21">
        <f t="shared" si="66"/>
        <v>1</v>
      </c>
      <c r="F364" s="666"/>
      <c r="G364" s="21">
        <f t="shared" si="67"/>
        <v>1</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150"/>
      <c r="B365" s="54"/>
      <c r="C365" s="21">
        <f t="shared" si="65"/>
        <v>1</v>
      </c>
      <c r="D365" s="666"/>
      <c r="E365" s="21">
        <f t="shared" si="66"/>
        <v>1</v>
      </c>
      <c r="F365" s="666"/>
      <c r="G365" s="21">
        <f t="shared" si="67"/>
        <v>1</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150"/>
      <c r="B366" s="54"/>
      <c r="C366" s="21">
        <f t="shared" si="65"/>
        <v>1</v>
      </c>
      <c r="D366" s="666"/>
      <c r="E366" s="21">
        <f t="shared" si="66"/>
        <v>1</v>
      </c>
      <c r="F366" s="666"/>
      <c r="G366" s="21">
        <f t="shared" si="67"/>
        <v>1</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150"/>
      <c r="B367" s="54"/>
      <c r="C367" s="21">
        <f t="shared" si="65"/>
        <v>1</v>
      </c>
      <c r="D367" s="666"/>
      <c r="E367" s="21">
        <f t="shared" si="66"/>
        <v>1</v>
      </c>
      <c r="F367" s="666"/>
      <c r="G367" s="21">
        <f t="shared" si="67"/>
        <v>1</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150"/>
      <c r="B368" s="54"/>
      <c r="C368" s="21">
        <f t="shared" si="65"/>
        <v>1</v>
      </c>
      <c r="D368" s="666"/>
      <c r="E368" s="21">
        <f t="shared" si="66"/>
        <v>1</v>
      </c>
      <c r="F368" s="666"/>
      <c r="G368" s="21">
        <f t="shared" si="67"/>
        <v>1</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150"/>
      <c r="B369" s="54"/>
      <c r="C369" s="21">
        <f t="shared" si="65"/>
        <v>1</v>
      </c>
      <c r="D369" s="666"/>
      <c r="E369" s="21">
        <f t="shared" si="66"/>
        <v>1</v>
      </c>
      <c r="F369" s="666"/>
      <c r="G369" s="21">
        <f t="shared" si="67"/>
        <v>1</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150"/>
      <c r="B370" s="54"/>
      <c r="C370" s="21">
        <f t="shared" si="65"/>
        <v>1</v>
      </c>
      <c r="D370" s="666"/>
      <c r="E370" s="21">
        <f t="shared" si="66"/>
        <v>1</v>
      </c>
      <c r="F370" s="666"/>
      <c r="G370" s="21">
        <f t="shared" si="67"/>
        <v>1</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150"/>
      <c r="B371" s="54"/>
      <c r="C371" s="21">
        <f t="shared" si="65"/>
        <v>1</v>
      </c>
      <c r="D371" s="666"/>
      <c r="E371" s="21">
        <f t="shared" si="66"/>
        <v>1</v>
      </c>
      <c r="F371" s="666"/>
      <c r="G371" s="21">
        <f t="shared" si="67"/>
        <v>1</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150"/>
      <c r="B372" s="54"/>
      <c r="C372" s="21">
        <f t="shared" si="65"/>
        <v>1</v>
      </c>
      <c r="D372" s="666"/>
      <c r="E372" s="21">
        <f t="shared" si="66"/>
        <v>1</v>
      </c>
      <c r="F372" s="666"/>
      <c r="G372" s="21">
        <f t="shared" si="67"/>
        <v>1</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150"/>
      <c r="B373" s="54"/>
      <c r="C373" s="21">
        <f t="shared" si="65"/>
        <v>1</v>
      </c>
      <c r="D373" s="666"/>
      <c r="E373" s="21">
        <f t="shared" si="66"/>
        <v>1</v>
      </c>
      <c r="F373" s="666"/>
      <c r="G373" s="21">
        <f t="shared" si="67"/>
        <v>1</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150"/>
      <c r="B374" s="54"/>
      <c r="C374" s="21">
        <f t="shared" si="65"/>
        <v>1</v>
      </c>
      <c r="D374" s="666"/>
      <c r="E374" s="21">
        <f t="shared" si="66"/>
        <v>1</v>
      </c>
      <c r="F374" s="666"/>
      <c r="G374" s="21">
        <f t="shared" si="67"/>
        <v>1</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150"/>
      <c r="B375" s="54"/>
      <c r="C375" s="21">
        <f t="shared" si="65"/>
        <v>1</v>
      </c>
      <c r="D375" s="666"/>
      <c r="E375" s="21">
        <f t="shared" si="66"/>
        <v>1</v>
      </c>
      <c r="F375" s="666"/>
      <c r="G375" s="21">
        <f t="shared" si="67"/>
        <v>1</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150"/>
      <c r="B376" s="54"/>
      <c r="C376" s="21">
        <f t="shared" si="65"/>
        <v>1</v>
      </c>
      <c r="D376" s="666"/>
      <c r="E376" s="21">
        <f t="shared" si="66"/>
        <v>1</v>
      </c>
      <c r="F376" s="666"/>
      <c r="G376" s="21">
        <f t="shared" si="67"/>
        <v>1</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150"/>
      <c r="B377" s="54"/>
      <c r="C377" s="21">
        <f t="shared" si="65"/>
        <v>1</v>
      </c>
      <c r="D377" s="666"/>
      <c r="E377" s="21">
        <f t="shared" si="66"/>
        <v>1</v>
      </c>
      <c r="F377" s="666"/>
      <c r="G377" s="21">
        <f t="shared" si="67"/>
        <v>1</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150"/>
      <c r="B378" s="54"/>
      <c r="C378" s="21">
        <f t="shared" si="65"/>
        <v>1</v>
      </c>
      <c r="D378" s="666"/>
      <c r="E378" s="21">
        <f t="shared" si="66"/>
        <v>1</v>
      </c>
      <c r="F378" s="666"/>
      <c r="G378" s="21">
        <f t="shared" si="67"/>
        <v>1</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150"/>
      <c r="B379" s="54"/>
      <c r="C379" s="21">
        <f t="shared" si="65"/>
        <v>1</v>
      </c>
      <c r="D379" s="666"/>
      <c r="E379" s="21">
        <f t="shared" si="66"/>
        <v>1</v>
      </c>
      <c r="F379" s="666"/>
      <c r="G379" s="21">
        <f t="shared" si="67"/>
        <v>1</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150"/>
      <c r="B380" s="54"/>
      <c r="C380" s="21">
        <f t="shared" si="65"/>
        <v>1</v>
      </c>
      <c r="D380" s="666"/>
      <c r="E380" s="21">
        <f t="shared" si="66"/>
        <v>1</v>
      </c>
      <c r="F380" s="666"/>
      <c r="G380" s="21">
        <f t="shared" si="67"/>
        <v>1</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150"/>
      <c r="B381" s="54"/>
      <c r="C381" s="21">
        <f t="shared" si="65"/>
        <v>1</v>
      </c>
      <c r="D381" s="666"/>
      <c r="E381" s="21">
        <f t="shared" si="66"/>
        <v>1</v>
      </c>
      <c r="F381" s="666"/>
      <c r="G381" s="21">
        <f t="shared" si="67"/>
        <v>1</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150"/>
      <c r="B382" s="54"/>
      <c r="C382" s="21">
        <f t="shared" si="65"/>
        <v>1</v>
      </c>
      <c r="D382" s="666"/>
      <c r="E382" s="21">
        <f t="shared" si="66"/>
        <v>1</v>
      </c>
      <c r="F382" s="666"/>
      <c r="G382" s="21">
        <f t="shared" si="67"/>
        <v>1</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150"/>
      <c r="B383" s="54"/>
      <c r="C383" s="21">
        <f t="shared" si="65"/>
        <v>1</v>
      </c>
      <c r="D383" s="666"/>
      <c r="E383" s="21">
        <f t="shared" si="66"/>
        <v>1</v>
      </c>
      <c r="F383" s="666"/>
      <c r="G383" s="21">
        <f t="shared" si="67"/>
        <v>1</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150"/>
      <c r="B384" s="54"/>
      <c r="C384" s="21">
        <f t="shared" si="65"/>
        <v>1</v>
      </c>
      <c r="D384" s="666"/>
      <c r="E384" s="21">
        <f t="shared" si="66"/>
        <v>1</v>
      </c>
      <c r="F384" s="666"/>
      <c r="G384" s="21">
        <f t="shared" si="67"/>
        <v>1</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150"/>
      <c r="B385" s="54"/>
      <c r="C385" s="21">
        <f t="shared" si="65"/>
        <v>1</v>
      </c>
      <c r="D385" s="666"/>
      <c r="E385" s="21">
        <f t="shared" si="66"/>
        <v>1</v>
      </c>
      <c r="F385" s="666"/>
      <c r="G385" s="21">
        <f t="shared" si="67"/>
        <v>1</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150"/>
      <c r="B386" s="54"/>
      <c r="C386" s="21">
        <f t="shared" si="65"/>
        <v>1</v>
      </c>
      <c r="D386" s="666"/>
      <c r="E386" s="21">
        <f t="shared" si="66"/>
        <v>1</v>
      </c>
      <c r="F386" s="666"/>
      <c r="G386" s="21">
        <f t="shared" si="67"/>
        <v>1</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150"/>
      <c r="B387" s="54"/>
      <c r="C387" s="21">
        <f t="shared" si="65"/>
        <v>1</v>
      </c>
      <c r="D387" s="666"/>
      <c r="E387" s="21">
        <f t="shared" si="66"/>
        <v>1</v>
      </c>
      <c r="F387" s="666"/>
      <c r="G387" s="21">
        <f t="shared" si="67"/>
        <v>1</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150"/>
      <c r="B388" s="54"/>
      <c r="C388" s="21">
        <f t="shared" si="65"/>
        <v>1</v>
      </c>
      <c r="D388" s="666"/>
      <c r="E388" s="21">
        <f t="shared" si="66"/>
        <v>1</v>
      </c>
      <c r="F388" s="666"/>
      <c r="G388" s="21">
        <f t="shared" si="67"/>
        <v>1</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150"/>
      <c r="B389" s="54"/>
      <c r="C389" s="21">
        <f t="shared" si="65"/>
        <v>1</v>
      </c>
      <c r="D389" s="666"/>
      <c r="E389" s="21">
        <f t="shared" si="66"/>
        <v>1</v>
      </c>
      <c r="F389" s="666"/>
      <c r="G389" s="21">
        <f t="shared" si="67"/>
        <v>1</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150"/>
      <c r="B390" s="54"/>
      <c r="C390" s="21">
        <f t="shared" si="65"/>
        <v>1</v>
      </c>
      <c r="D390" s="666"/>
      <c r="E390" s="21">
        <f t="shared" si="66"/>
        <v>1</v>
      </c>
      <c r="F390" s="666"/>
      <c r="G390" s="21">
        <f t="shared" si="67"/>
        <v>1</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150"/>
      <c r="B391" s="54"/>
      <c r="C391" s="21">
        <f t="shared" si="65"/>
        <v>1</v>
      </c>
      <c r="D391" s="666"/>
      <c r="E391" s="21">
        <f t="shared" si="66"/>
        <v>1</v>
      </c>
      <c r="F391" s="666"/>
      <c r="G391" s="21">
        <f t="shared" si="67"/>
        <v>1</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150"/>
      <c r="B392" s="54"/>
      <c r="C392" s="21">
        <f t="shared" si="65"/>
        <v>1</v>
      </c>
      <c r="D392" s="666"/>
      <c r="E392" s="21">
        <f t="shared" si="66"/>
        <v>1</v>
      </c>
      <c r="F392" s="666"/>
      <c r="G392" s="21">
        <f t="shared" si="67"/>
        <v>1</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150"/>
      <c r="B393" s="54"/>
      <c r="C393" s="21">
        <f t="shared" si="65"/>
        <v>1</v>
      </c>
      <c r="D393" s="666"/>
      <c r="E393" s="21">
        <f t="shared" si="66"/>
        <v>1</v>
      </c>
      <c r="F393" s="666"/>
      <c r="G393" s="21">
        <f t="shared" si="67"/>
        <v>1</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150"/>
      <c r="B394" s="54"/>
      <c r="C394" s="21">
        <f t="shared" si="65"/>
        <v>1</v>
      </c>
      <c r="D394" s="666"/>
      <c r="E394" s="21">
        <f t="shared" si="66"/>
        <v>1</v>
      </c>
      <c r="F394" s="666"/>
      <c r="G394" s="21">
        <f t="shared" si="67"/>
        <v>1</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150"/>
      <c r="B395" s="54"/>
      <c r="C395" s="21">
        <f t="shared" si="65"/>
        <v>1</v>
      </c>
      <c r="D395" s="666"/>
      <c r="E395" s="21">
        <f t="shared" si="66"/>
        <v>1</v>
      </c>
      <c r="F395" s="666"/>
      <c r="G395" s="21">
        <f t="shared" si="67"/>
        <v>1</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150"/>
      <c r="B396" s="54"/>
      <c r="C396" s="21">
        <f t="shared" si="65"/>
        <v>1</v>
      </c>
      <c r="D396" s="666"/>
      <c r="E396" s="21">
        <f t="shared" si="66"/>
        <v>1</v>
      </c>
      <c r="F396" s="666"/>
      <c r="G396" s="21">
        <f t="shared" si="67"/>
        <v>1</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150"/>
      <c r="B397" s="54"/>
      <c r="C397" s="21">
        <f t="shared" si="65"/>
        <v>1</v>
      </c>
      <c r="D397" s="666"/>
      <c r="E397" s="21">
        <f t="shared" si="66"/>
        <v>1</v>
      </c>
      <c r="F397" s="666"/>
      <c r="G397" s="21">
        <f t="shared" si="67"/>
        <v>1</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150"/>
      <c r="B398" s="54"/>
      <c r="C398" s="21">
        <f t="shared" si="65"/>
        <v>1</v>
      </c>
      <c r="D398" s="666"/>
      <c r="E398" s="21">
        <f t="shared" si="66"/>
        <v>1</v>
      </c>
      <c r="F398" s="666"/>
      <c r="G398" s="21">
        <f t="shared" si="67"/>
        <v>1</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150"/>
      <c r="B399" s="54"/>
      <c r="C399" s="21">
        <f t="shared" si="65"/>
        <v>1</v>
      </c>
      <c r="D399" s="666"/>
      <c r="E399" s="21">
        <f t="shared" si="66"/>
        <v>1</v>
      </c>
      <c r="F399" s="666"/>
      <c r="G399" s="21">
        <f t="shared" si="67"/>
        <v>1</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150"/>
      <c r="B400" s="54"/>
      <c r="C400" s="21">
        <f t="shared" si="65"/>
        <v>1</v>
      </c>
      <c r="D400" s="666"/>
      <c r="E400" s="21">
        <f t="shared" si="66"/>
        <v>1</v>
      </c>
      <c r="F400" s="666"/>
      <c r="G400" s="21">
        <f t="shared" si="67"/>
        <v>1</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150"/>
      <c r="B401" s="54"/>
      <c r="C401" s="21">
        <f t="shared" si="65"/>
        <v>1</v>
      </c>
      <c r="D401" s="666"/>
      <c r="E401" s="21">
        <f t="shared" si="66"/>
        <v>1</v>
      </c>
      <c r="F401" s="666"/>
      <c r="G401" s="21">
        <f t="shared" si="67"/>
        <v>1</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150"/>
      <c r="B402" s="54"/>
      <c r="C402" s="21">
        <f t="shared" si="65"/>
        <v>1</v>
      </c>
      <c r="D402" s="666"/>
      <c r="E402" s="21">
        <f t="shared" si="66"/>
        <v>1</v>
      </c>
      <c r="F402" s="666"/>
      <c r="G402" s="21">
        <f t="shared" si="67"/>
        <v>1</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150"/>
      <c r="B403" s="54"/>
      <c r="C403" s="21">
        <f t="shared" si="65"/>
        <v>1</v>
      </c>
      <c r="D403" s="666"/>
      <c r="E403" s="21">
        <f t="shared" si="66"/>
        <v>1</v>
      </c>
      <c r="F403" s="666"/>
      <c r="G403" s="21">
        <f t="shared" si="67"/>
        <v>1</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150"/>
      <c r="B404" s="54"/>
      <c r="C404" s="21">
        <f t="shared" si="65"/>
        <v>1</v>
      </c>
      <c r="D404" s="666"/>
      <c r="E404" s="21">
        <f t="shared" si="66"/>
        <v>1</v>
      </c>
      <c r="F404" s="666"/>
      <c r="G404" s="21">
        <f t="shared" si="67"/>
        <v>1</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150"/>
      <c r="B405" s="54"/>
      <c r="C405" s="21">
        <f t="shared" si="65"/>
        <v>1</v>
      </c>
      <c r="D405" s="666"/>
      <c r="E405" s="21">
        <f t="shared" si="66"/>
        <v>1</v>
      </c>
      <c r="F405" s="666"/>
      <c r="G405" s="21">
        <f t="shared" si="67"/>
        <v>1</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150"/>
      <c r="B406" s="54"/>
      <c r="C406" s="21">
        <f t="shared" si="65"/>
        <v>1</v>
      </c>
      <c r="D406" s="666"/>
      <c r="E406" s="21">
        <f t="shared" si="66"/>
        <v>1</v>
      </c>
      <c r="F406" s="666"/>
      <c r="G406" s="21">
        <f t="shared" si="67"/>
        <v>1</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150"/>
      <c r="B407" s="54"/>
      <c r="C407" s="21">
        <f t="shared" si="65"/>
        <v>1</v>
      </c>
      <c r="D407" s="666"/>
      <c r="E407" s="21">
        <f t="shared" si="66"/>
        <v>1</v>
      </c>
      <c r="F407" s="666"/>
      <c r="G407" s="21">
        <f t="shared" si="67"/>
        <v>1</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150"/>
      <c r="B408" s="54"/>
      <c r="C408" s="21">
        <f t="shared" si="65"/>
        <v>1</v>
      </c>
      <c r="D408" s="666"/>
      <c r="E408" s="21">
        <f t="shared" si="66"/>
        <v>1</v>
      </c>
      <c r="F408" s="666"/>
      <c r="G408" s="21">
        <f t="shared" si="67"/>
        <v>1</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150"/>
      <c r="B409" s="54"/>
      <c r="C409" s="21">
        <f t="shared" si="65"/>
        <v>1</v>
      </c>
      <c r="D409" s="666"/>
      <c r="E409" s="21">
        <f t="shared" si="66"/>
        <v>1</v>
      </c>
      <c r="F409" s="666"/>
      <c r="G409" s="21">
        <f t="shared" si="67"/>
        <v>1</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150"/>
      <c r="B410" s="54"/>
      <c r="C410" s="21">
        <f t="shared" ref="C410:C473" si="75">IF(B410="",1,(LOOKUP(B410,$3:$3,$4:$4)-LOOKUP($B$24,$3:$3,$4:$4)+100)/100)</f>
        <v>1</v>
      </c>
      <c r="D410" s="666"/>
      <c r="E410" s="21">
        <f t="shared" ref="E410:E473" si="76">(SUMIF($5:$5,D410,$6:$6)-SUMIF($5:$5,$D$24,$6:$6)+100)/100</f>
        <v>1</v>
      </c>
      <c r="F410" s="666"/>
      <c r="G410" s="21">
        <f t="shared" ref="G410:G473" si="77">(SUMIF($7:$7,F410,$8:$8)-SUMIF($7:$7,$F$24,$8:$8)+100)/100</f>
        <v>1</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150"/>
      <c r="B411" s="54"/>
      <c r="C411" s="21">
        <f t="shared" si="75"/>
        <v>1</v>
      </c>
      <c r="D411" s="666"/>
      <c r="E411" s="21">
        <f t="shared" si="76"/>
        <v>1</v>
      </c>
      <c r="F411" s="666"/>
      <c r="G411" s="21">
        <f t="shared" si="77"/>
        <v>1</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150"/>
      <c r="B412" s="54"/>
      <c r="C412" s="21">
        <f t="shared" si="75"/>
        <v>1</v>
      </c>
      <c r="D412" s="666"/>
      <c r="E412" s="21">
        <f t="shared" si="76"/>
        <v>1</v>
      </c>
      <c r="F412" s="666"/>
      <c r="G412" s="21">
        <f t="shared" si="77"/>
        <v>1</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150"/>
      <c r="B413" s="54"/>
      <c r="C413" s="21">
        <f t="shared" si="75"/>
        <v>1</v>
      </c>
      <c r="D413" s="666"/>
      <c r="E413" s="21">
        <f t="shared" si="76"/>
        <v>1</v>
      </c>
      <c r="F413" s="666"/>
      <c r="G413" s="21">
        <f t="shared" si="77"/>
        <v>1</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150"/>
      <c r="B414" s="54"/>
      <c r="C414" s="21">
        <f t="shared" si="75"/>
        <v>1</v>
      </c>
      <c r="D414" s="666"/>
      <c r="E414" s="21">
        <f t="shared" si="76"/>
        <v>1</v>
      </c>
      <c r="F414" s="666"/>
      <c r="G414" s="21">
        <f t="shared" si="77"/>
        <v>1</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150"/>
      <c r="B415" s="54"/>
      <c r="C415" s="21">
        <f t="shared" si="75"/>
        <v>1</v>
      </c>
      <c r="D415" s="666"/>
      <c r="E415" s="21">
        <f t="shared" si="76"/>
        <v>1</v>
      </c>
      <c r="F415" s="666"/>
      <c r="G415" s="21">
        <f t="shared" si="77"/>
        <v>1</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150"/>
      <c r="B416" s="54"/>
      <c r="C416" s="21">
        <f t="shared" si="75"/>
        <v>1</v>
      </c>
      <c r="D416" s="666"/>
      <c r="E416" s="21">
        <f t="shared" si="76"/>
        <v>1</v>
      </c>
      <c r="F416" s="666"/>
      <c r="G416" s="21">
        <f t="shared" si="77"/>
        <v>1</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150"/>
      <c r="B417" s="54"/>
      <c r="C417" s="21">
        <f t="shared" si="75"/>
        <v>1</v>
      </c>
      <c r="D417" s="666"/>
      <c r="E417" s="21">
        <f t="shared" si="76"/>
        <v>1</v>
      </c>
      <c r="F417" s="666"/>
      <c r="G417" s="21">
        <f t="shared" si="77"/>
        <v>1</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150"/>
      <c r="B418" s="54"/>
      <c r="C418" s="21">
        <f t="shared" si="75"/>
        <v>1</v>
      </c>
      <c r="D418" s="666"/>
      <c r="E418" s="21">
        <f t="shared" si="76"/>
        <v>1</v>
      </c>
      <c r="F418" s="666"/>
      <c r="G418" s="21">
        <f t="shared" si="77"/>
        <v>1</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150"/>
      <c r="B419" s="54"/>
      <c r="C419" s="21">
        <f t="shared" si="75"/>
        <v>1</v>
      </c>
      <c r="D419" s="666"/>
      <c r="E419" s="21">
        <f t="shared" si="76"/>
        <v>1</v>
      </c>
      <c r="F419" s="666"/>
      <c r="G419" s="21">
        <f t="shared" si="77"/>
        <v>1</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150"/>
      <c r="B420" s="54"/>
      <c r="C420" s="21">
        <f t="shared" si="75"/>
        <v>1</v>
      </c>
      <c r="D420" s="666"/>
      <c r="E420" s="21">
        <f t="shared" si="76"/>
        <v>1</v>
      </c>
      <c r="F420" s="666"/>
      <c r="G420" s="21">
        <f t="shared" si="77"/>
        <v>1</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150"/>
      <c r="B421" s="54"/>
      <c r="C421" s="21">
        <f t="shared" si="75"/>
        <v>1</v>
      </c>
      <c r="D421" s="666"/>
      <c r="E421" s="21">
        <f t="shared" si="76"/>
        <v>1</v>
      </c>
      <c r="F421" s="666"/>
      <c r="G421" s="21">
        <f t="shared" si="77"/>
        <v>1</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150"/>
      <c r="B422" s="54"/>
      <c r="C422" s="21">
        <f t="shared" si="75"/>
        <v>1</v>
      </c>
      <c r="D422" s="666"/>
      <c r="E422" s="21">
        <f t="shared" si="76"/>
        <v>1</v>
      </c>
      <c r="F422" s="666"/>
      <c r="G422" s="21">
        <f t="shared" si="77"/>
        <v>1</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150"/>
      <c r="B423" s="54"/>
      <c r="C423" s="21">
        <f t="shared" si="75"/>
        <v>1</v>
      </c>
      <c r="D423" s="666"/>
      <c r="E423" s="21">
        <f t="shared" si="76"/>
        <v>1</v>
      </c>
      <c r="F423" s="666"/>
      <c r="G423" s="21">
        <f t="shared" si="77"/>
        <v>1</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150"/>
      <c r="B424" s="54"/>
      <c r="C424" s="21">
        <f t="shared" si="75"/>
        <v>1</v>
      </c>
      <c r="D424" s="666"/>
      <c r="E424" s="21">
        <f t="shared" si="76"/>
        <v>1</v>
      </c>
      <c r="F424" s="666"/>
      <c r="G424" s="21">
        <f t="shared" si="77"/>
        <v>1</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150"/>
      <c r="B425" s="54"/>
      <c r="C425" s="21">
        <f t="shared" si="75"/>
        <v>1</v>
      </c>
      <c r="D425" s="666"/>
      <c r="E425" s="21">
        <f t="shared" si="76"/>
        <v>1</v>
      </c>
      <c r="F425" s="666"/>
      <c r="G425" s="21">
        <f t="shared" si="77"/>
        <v>1</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150"/>
      <c r="B426" s="54"/>
      <c r="C426" s="21">
        <f t="shared" si="75"/>
        <v>1</v>
      </c>
      <c r="D426" s="666"/>
      <c r="E426" s="21">
        <f t="shared" si="76"/>
        <v>1</v>
      </c>
      <c r="F426" s="666"/>
      <c r="G426" s="21">
        <f t="shared" si="77"/>
        <v>1</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150"/>
      <c r="B427" s="54"/>
      <c r="C427" s="21">
        <f t="shared" si="75"/>
        <v>1</v>
      </c>
      <c r="D427" s="666"/>
      <c r="E427" s="21">
        <f t="shared" si="76"/>
        <v>1</v>
      </c>
      <c r="F427" s="666"/>
      <c r="G427" s="21">
        <f t="shared" si="77"/>
        <v>1</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150"/>
      <c r="B428" s="54"/>
      <c r="C428" s="21">
        <f t="shared" si="75"/>
        <v>1</v>
      </c>
      <c r="D428" s="666"/>
      <c r="E428" s="21">
        <f t="shared" si="76"/>
        <v>1</v>
      </c>
      <c r="F428" s="666"/>
      <c r="G428" s="21">
        <f t="shared" si="77"/>
        <v>1</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150"/>
      <c r="B429" s="54"/>
      <c r="C429" s="21">
        <f t="shared" si="75"/>
        <v>1</v>
      </c>
      <c r="D429" s="666"/>
      <c r="E429" s="21">
        <f t="shared" si="76"/>
        <v>1</v>
      </c>
      <c r="F429" s="666"/>
      <c r="G429" s="21">
        <f t="shared" si="77"/>
        <v>1</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150"/>
      <c r="B430" s="54"/>
      <c r="C430" s="21">
        <f t="shared" si="75"/>
        <v>1</v>
      </c>
      <c r="D430" s="666"/>
      <c r="E430" s="21">
        <f t="shared" si="76"/>
        <v>1</v>
      </c>
      <c r="F430" s="666"/>
      <c r="G430" s="21">
        <f t="shared" si="77"/>
        <v>1</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150"/>
      <c r="B431" s="54"/>
      <c r="C431" s="21">
        <f t="shared" si="75"/>
        <v>1</v>
      </c>
      <c r="D431" s="666"/>
      <c r="E431" s="21">
        <f t="shared" si="76"/>
        <v>1</v>
      </c>
      <c r="F431" s="666"/>
      <c r="G431" s="21">
        <f t="shared" si="77"/>
        <v>1</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150"/>
      <c r="B432" s="54"/>
      <c r="C432" s="21">
        <f t="shared" si="75"/>
        <v>1</v>
      </c>
      <c r="D432" s="666"/>
      <c r="E432" s="21">
        <f t="shared" si="76"/>
        <v>1</v>
      </c>
      <c r="F432" s="666"/>
      <c r="G432" s="21">
        <f t="shared" si="77"/>
        <v>1</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150"/>
      <c r="B433" s="54"/>
      <c r="C433" s="21">
        <f t="shared" si="75"/>
        <v>1</v>
      </c>
      <c r="D433" s="666"/>
      <c r="E433" s="21">
        <f t="shared" si="76"/>
        <v>1</v>
      </c>
      <c r="F433" s="666"/>
      <c r="G433" s="21">
        <f t="shared" si="77"/>
        <v>1</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150"/>
      <c r="B434" s="54"/>
      <c r="C434" s="21">
        <f t="shared" si="75"/>
        <v>1</v>
      </c>
      <c r="D434" s="666"/>
      <c r="E434" s="21">
        <f t="shared" si="76"/>
        <v>1</v>
      </c>
      <c r="F434" s="666"/>
      <c r="G434" s="21">
        <f t="shared" si="77"/>
        <v>1</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150"/>
      <c r="B435" s="54"/>
      <c r="C435" s="21">
        <f t="shared" si="75"/>
        <v>1</v>
      </c>
      <c r="D435" s="666"/>
      <c r="E435" s="21">
        <f t="shared" si="76"/>
        <v>1</v>
      </c>
      <c r="F435" s="666"/>
      <c r="G435" s="21">
        <f t="shared" si="77"/>
        <v>1</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150"/>
      <c r="B436" s="54"/>
      <c r="C436" s="21">
        <f t="shared" si="75"/>
        <v>1</v>
      </c>
      <c r="D436" s="666"/>
      <c r="E436" s="21">
        <f t="shared" si="76"/>
        <v>1</v>
      </c>
      <c r="F436" s="666"/>
      <c r="G436" s="21">
        <f t="shared" si="77"/>
        <v>1</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150"/>
      <c r="B437" s="54"/>
      <c r="C437" s="21">
        <f t="shared" si="75"/>
        <v>1</v>
      </c>
      <c r="D437" s="666"/>
      <c r="E437" s="21">
        <f t="shared" si="76"/>
        <v>1</v>
      </c>
      <c r="F437" s="666"/>
      <c r="G437" s="21">
        <f t="shared" si="77"/>
        <v>1</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150"/>
      <c r="B438" s="54"/>
      <c r="C438" s="21">
        <f t="shared" si="75"/>
        <v>1</v>
      </c>
      <c r="D438" s="666"/>
      <c r="E438" s="21">
        <f t="shared" si="76"/>
        <v>1</v>
      </c>
      <c r="F438" s="666"/>
      <c r="G438" s="21">
        <f t="shared" si="77"/>
        <v>1</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150"/>
      <c r="B439" s="54"/>
      <c r="C439" s="21">
        <f t="shared" si="75"/>
        <v>1</v>
      </c>
      <c r="D439" s="666"/>
      <c r="E439" s="21">
        <f t="shared" si="76"/>
        <v>1</v>
      </c>
      <c r="F439" s="666"/>
      <c r="G439" s="21">
        <f t="shared" si="77"/>
        <v>1</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150"/>
      <c r="B440" s="54"/>
      <c r="C440" s="21">
        <f t="shared" si="75"/>
        <v>1</v>
      </c>
      <c r="D440" s="666"/>
      <c r="E440" s="21">
        <f t="shared" si="76"/>
        <v>1</v>
      </c>
      <c r="F440" s="666"/>
      <c r="G440" s="21">
        <f t="shared" si="77"/>
        <v>1</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150"/>
      <c r="B441" s="54"/>
      <c r="C441" s="21">
        <f t="shared" si="75"/>
        <v>1</v>
      </c>
      <c r="D441" s="666"/>
      <c r="E441" s="21">
        <f t="shared" si="76"/>
        <v>1</v>
      </c>
      <c r="F441" s="666"/>
      <c r="G441" s="21">
        <f t="shared" si="77"/>
        <v>1</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1</v>
      </c>
      <c r="F442" s="666"/>
      <c r="G442" s="21">
        <f t="shared" si="77"/>
        <v>1</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1</v>
      </c>
      <c r="F443" s="666"/>
      <c r="G443" s="21">
        <f t="shared" si="77"/>
        <v>1</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1</v>
      </c>
      <c r="F444" s="666"/>
      <c r="G444" s="21">
        <f t="shared" si="77"/>
        <v>1</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1</v>
      </c>
      <c r="F445" s="666"/>
      <c r="G445" s="21">
        <f t="shared" si="77"/>
        <v>1</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1</v>
      </c>
      <c r="F446" s="666"/>
      <c r="G446" s="21">
        <f t="shared" si="77"/>
        <v>1</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1</v>
      </c>
      <c r="F447" s="666"/>
      <c r="G447" s="21">
        <f t="shared" si="77"/>
        <v>1</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1</v>
      </c>
      <c r="F448" s="666"/>
      <c r="G448" s="21">
        <f t="shared" si="77"/>
        <v>1</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1</v>
      </c>
      <c r="F449" s="666"/>
      <c r="G449" s="21">
        <f t="shared" si="77"/>
        <v>1</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1</v>
      </c>
      <c r="F450" s="666"/>
      <c r="G450" s="21">
        <f t="shared" si="77"/>
        <v>1</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1</v>
      </c>
      <c r="F451" s="666"/>
      <c r="G451" s="21">
        <f t="shared" si="77"/>
        <v>1</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1</v>
      </c>
      <c r="F452" s="666"/>
      <c r="G452" s="21">
        <f t="shared" si="77"/>
        <v>1</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1</v>
      </c>
      <c r="F453" s="666"/>
      <c r="G453" s="21">
        <f t="shared" si="77"/>
        <v>1</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1</v>
      </c>
      <c r="F454" s="666"/>
      <c r="G454" s="21">
        <f t="shared" si="77"/>
        <v>1</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1</v>
      </c>
      <c r="F455" s="666"/>
      <c r="G455" s="21">
        <f t="shared" si="77"/>
        <v>1</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1</v>
      </c>
      <c r="F456" s="666"/>
      <c r="G456" s="21">
        <f t="shared" si="77"/>
        <v>1</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1</v>
      </c>
      <c r="F457" s="666"/>
      <c r="G457" s="21">
        <f t="shared" si="77"/>
        <v>1</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1</v>
      </c>
      <c r="F458" s="666"/>
      <c r="G458" s="21">
        <f t="shared" si="77"/>
        <v>1</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1</v>
      </c>
      <c r="F459" s="666"/>
      <c r="G459" s="21">
        <f t="shared" si="77"/>
        <v>1</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1</v>
      </c>
      <c r="F460" s="666"/>
      <c r="G460" s="21">
        <f t="shared" si="77"/>
        <v>1</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1</v>
      </c>
      <c r="F461" s="666"/>
      <c r="G461" s="21">
        <f t="shared" si="77"/>
        <v>1</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1</v>
      </c>
      <c r="F462" s="666"/>
      <c r="G462" s="21">
        <f t="shared" si="77"/>
        <v>1</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1</v>
      </c>
      <c r="F463" s="666"/>
      <c r="G463" s="21">
        <f t="shared" si="77"/>
        <v>1</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1</v>
      </c>
      <c r="F464" s="666"/>
      <c r="G464" s="21">
        <f t="shared" si="77"/>
        <v>1</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1</v>
      </c>
      <c r="F465" s="666"/>
      <c r="G465" s="21">
        <f t="shared" si="77"/>
        <v>1</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1</v>
      </c>
      <c r="F466" s="666"/>
      <c r="G466" s="21">
        <f t="shared" si="77"/>
        <v>1</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1</v>
      </c>
      <c r="F467" s="666"/>
      <c r="G467" s="21">
        <f t="shared" si="77"/>
        <v>1</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1</v>
      </c>
      <c r="F468" s="666"/>
      <c r="G468" s="21">
        <f t="shared" si="77"/>
        <v>1</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1</v>
      </c>
      <c r="F469" s="666"/>
      <c r="G469" s="21">
        <f t="shared" si="77"/>
        <v>1</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1</v>
      </c>
      <c r="F470" s="666"/>
      <c r="G470" s="21">
        <f t="shared" si="77"/>
        <v>1</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1</v>
      </c>
      <c r="F471" s="666"/>
      <c r="G471" s="21">
        <f t="shared" si="77"/>
        <v>1</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1</v>
      </c>
      <c r="F472" s="666"/>
      <c r="G472" s="21">
        <f t="shared" si="77"/>
        <v>1</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1</v>
      </c>
      <c r="F473" s="666"/>
      <c r="G473" s="21">
        <f t="shared" si="77"/>
        <v>1</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1</v>
      </c>
      <c r="F474" s="666"/>
      <c r="G474" s="21">
        <f t="shared" ref="G474:G524" si="88">(SUMIF($7:$7,F474,$8:$8)-SUMIF($7:$7,$F$24,$8:$8)+100)/100</f>
        <v>1</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1</v>
      </c>
      <c r="F475" s="666"/>
      <c r="G475" s="21">
        <f t="shared" si="88"/>
        <v>1</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1</v>
      </c>
      <c r="F476" s="666"/>
      <c r="G476" s="21">
        <f t="shared" si="88"/>
        <v>1</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1</v>
      </c>
      <c r="F477" s="666"/>
      <c r="G477" s="21">
        <f t="shared" si="88"/>
        <v>1</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1</v>
      </c>
      <c r="F478" s="666"/>
      <c r="G478" s="21">
        <f t="shared" si="88"/>
        <v>1</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1</v>
      </c>
      <c r="F479" s="666"/>
      <c r="G479" s="21">
        <f t="shared" si="88"/>
        <v>1</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1</v>
      </c>
      <c r="F480" s="666"/>
      <c r="G480" s="21">
        <f t="shared" si="88"/>
        <v>1</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1</v>
      </c>
      <c r="F481" s="666"/>
      <c r="G481" s="21">
        <f t="shared" si="88"/>
        <v>1</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1</v>
      </c>
      <c r="F482" s="666"/>
      <c r="G482" s="21">
        <f t="shared" si="88"/>
        <v>1</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1</v>
      </c>
      <c r="F483" s="666"/>
      <c r="G483" s="21">
        <f t="shared" si="88"/>
        <v>1</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1</v>
      </c>
      <c r="F484" s="666"/>
      <c r="G484" s="21">
        <f t="shared" si="88"/>
        <v>1</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1</v>
      </c>
      <c r="F485" s="666"/>
      <c r="G485" s="21">
        <f t="shared" si="88"/>
        <v>1</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1</v>
      </c>
      <c r="F486" s="666"/>
      <c r="G486" s="21">
        <f t="shared" si="88"/>
        <v>1</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1</v>
      </c>
      <c r="F487" s="666"/>
      <c r="G487" s="21">
        <f t="shared" si="88"/>
        <v>1</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1</v>
      </c>
      <c r="F488" s="666"/>
      <c r="G488" s="21">
        <f t="shared" si="88"/>
        <v>1</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1</v>
      </c>
      <c r="F489" s="666"/>
      <c r="G489" s="21">
        <f t="shared" si="88"/>
        <v>1</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1</v>
      </c>
      <c r="F490" s="666"/>
      <c r="G490" s="21">
        <f t="shared" si="88"/>
        <v>1</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1</v>
      </c>
      <c r="F491" s="666"/>
      <c r="G491" s="21">
        <f t="shared" si="88"/>
        <v>1</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1</v>
      </c>
      <c r="F492" s="666"/>
      <c r="G492" s="21">
        <f t="shared" si="88"/>
        <v>1</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1</v>
      </c>
      <c r="F493" s="666"/>
      <c r="G493" s="21">
        <f t="shared" si="88"/>
        <v>1</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1</v>
      </c>
      <c r="F494" s="666"/>
      <c r="G494" s="21">
        <f t="shared" si="88"/>
        <v>1</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1</v>
      </c>
      <c r="F495" s="666"/>
      <c r="G495" s="21">
        <f t="shared" si="88"/>
        <v>1</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1</v>
      </c>
      <c r="F496" s="666"/>
      <c r="G496" s="21">
        <f t="shared" si="88"/>
        <v>1</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1</v>
      </c>
      <c r="F497" s="666"/>
      <c r="G497" s="21">
        <f t="shared" si="88"/>
        <v>1</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1</v>
      </c>
      <c r="F498" s="666"/>
      <c r="G498" s="21">
        <f t="shared" si="88"/>
        <v>1</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1</v>
      </c>
      <c r="F499" s="666"/>
      <c r="G499" s="21">
        <f t="shared" si="88"/>
        <v>1</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1</v>
      </c>
      <c r="F500" s="666"/>
      <c r="G500" s="21">
        <f t="shared" si="88"/>
        <v>1</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1</v>
      </c>
      <c r="F501" s="666"/>
      <c r="G501" s="21">
        <f t="shared" si="88"/>
        <v>1</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1</v>
      </c>
      <c r="F502" s="666"/>
      <c r="G502" s="21">
        <f t="shared" si="88"/>
        <v>1</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1</v>
      </c>
      <c r="F503" s="666"/>
      <c r="G503" s="21">
        <f t="shared" si="88"/>
        <v>1</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1</v>
      </c>
      <c r="F504" s="666"/>
      <c r="G504" s="21">
        <f t="shared" si="88"/>
        <v>1</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1</v>
      </c>
      <c r="F505" s="666"/>
      <c r="G505" s="21">
        <f t="shared" si="88"/>
        <v>1</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1</v>
      </c>
      <c r="F506" s="666"/>
      <c r="G506" s="21">
        <f t="shared" si="88"/>
        <v>1</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1</v>
      </c>
      <c r="F507" s="666"/>
      <c r="G507" s="21">
        <f t="shared" si="88"/>
        <v>1</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1</v>
      </c>
      <c r="F508" s="666"/>
      <c r="G508" s="21">
        <f t="shared" si="88"/>
        <v>1</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1</v>
      </c>
      <c r="F509" s="666"/>
      <c r="G509" s="21">
        <f t="shared" si="88"/>
        <v>1</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1</v>
      </c>
      <c r="F510" s="666"/>
      <c r="G510" s="21">
        <f t="shared" si="88"/>
        <v>1</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1</v>
      </c>
      <c r="F511" s="666"/>
      <c r="G511" s="21">
        <f t="shared" si="88"/>
        <v>1</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1</v>
      </c>
      <c r="F512" s="666"/>
      <c r="G512" s="21">
        <f t="shared" si="88"/>
        <v>1</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1</v>
      </c>
      <c r="F513" s="666"/>
      <c r="G513" s="21">
        <f t="shared" si="88"/>
        <v>1</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1</v>
      </c>
      <c r="F514" s="666"/>
      <c r="G514" s="21">
        <f t="shared" si="88"/>
        <v>1</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1</v>
      </c>
      <c r="F515" s="666"/>
      <c r="G515" s="21">
        <f t="shared" si="88"/>
        <v>1</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1</v>
      </c>
      <c r="F516" s="666"/>
      <c r="G516" s="21">
        <f t="shared" si="88"/>
        <v>1</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1</v>
      </c>
      <c r="F517" s="666"/>
      <c r="G517" s="21">
        <f t="shared" si="88"/>
        <v>1</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1</v>
      </c>
      <c r="F518" s="666"/>
      <c r="G518" s="21">
        <f t="shared" si="88"/>
        <v>1</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1</v>
      </c>
      <c r="F519" s="666"/>
      <c r="G519" s="21">
        <f t="shared" si="88"/>
        <v>1</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1</v>
      </c>
      <c r="F520" s="666"/>
      <c r="G520" s="21">
        <f t="shared" si="88"/>
        <v>1</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1</v>
      </c>
      <c r="F521" s="666"/>
      <c r="G521" s="21">
        <f t="shared" si="88"/>
        <v>1</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1</v>
      </c>
      <c r="F522" s="666"/>
      <c r="G522" s="21">
        <f t="shared" si="88"/>
        <v>1</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1</v>
      </c>
      <c r="F523" s="666"/>
      <c r="G523" s="21">
        <f t="shared" si="88"/>
        <v>1</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1</v>
      </c>
      <c r="F524" s="666"/>
      <c r="G524" s="21">
        <f t="shared" si="88"/>
        <v>1</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3"/>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2">
        <f>ROUND(SUMPRODUCT((B106:B110=R2)*(C105:N105=G2)*(C106:N110)),4)</f>
        <v>0</v>
      </c>
      <c r="T2" s="3362" t="e">
        <f t="shared" ref="T2:T16" si="0">ROUND($C$5*$C$22*$C$23*$C$24*S2*$C$28,0)</f>
        <v>#DIV/0!</v>
      </c>
      <c r="U2" s="1212"/>
      <c r="V2" s="3362"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21"/>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2">
        <f>ROUND(SUMPRODUCT((B106:B110=R3)*(C105:N105=G2)*(C106:N110)),4)</f>
        <v>0</v>
      </c>
      <c r="T3" s="3362" t="e">
        <f t="shared" si="0"/>
        <v>#DIV/0!</v>
      </c>
      <c r="U3" s="1212"/>
      <c r="V3" s="3362" t="e">
        <f t="shared" ref="V3:V16" si="1">ROUND(T3*U3/10000,0)</f>
        <v>#DIV/0!</v>
      </c>
      <c r="W3" s="1215"/>
      <c r="X3" s="1215"/>
      <c r="Y3" s="1215"/>
      <c r="Z3" s="1215"/>
      <c r="AA3" s="1215"/>
      <c r="AB3" s="1215"/>
      <c r="AC3" s="1216"/>
      <c r="AD3" s="1217"/>
      <c r="AE3" s="1217"/>
      <c r="AF3" s="1217"/>
      <c r="AG3" s="1217"/>
      <c r="AH3" s="1217"/>
      <c r="AI3" s="1217"/>
      <c r="AJ3" s="1218"/>
    </row>
    <row r="4" spans="1:36" ht="15.75">
      <c r="A4" s="3776"/>
      <c r="B4" s="3777"/>
      <c r="C4" s="3777"/>
      <c r="D4" s="3778"/>
      <c r="E4" s="3778"/>
      <c r="F4" s="3778"/>
      <c r="G4" s="3778"/>
      <c r="H4" s="3778"/>
      <c r="I4" s="3778"/>
      <c r="J4" s="377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2">
        <f>ROUND(SUMPRODUCT((B106:B110=R4)*(C105:N105=G2)*(C106:N110)),4)</f>
        <v>0</v>
      </c>
      <c r="T4" s="3362" t="e">
        <f t="shared" si="0"/>
        <v>#DIV/0!</v>
      </c>
      <c r="U4" s="1212"/>
      <c r="V4" s="3362"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2">
        <f>ROUND(SUMPRODUCT((B106:B110=R5)*(C105:N105=G2)*(C106:N110)),4)</f>
        <v>0</v>
      </c>
      <c r="T5" s="3362" t="e">
        <f t="shared" si="0"/>
        <v>#DIV/0!</v>
      </c>
      <c r="U5" s="1212"/>
      <c r="V5" s="3362"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2">
        <f>ROUND(SUMPRODUCT((B106:B110=R6)*(C105:N105=G2)*(C106:N110)),4)</f>
        <v>0</v>
      </c>
      <c r="T6" s="3362" t="e">
        <f t="shared" si="0"/>
        <v>#DIV/0!</v>
      </c>
      <c r="U6" s="1212"/>
      <c r="V6" s="3362" t="e">
        <f t="shared" si="1"/>
        <v>#DIV/0!</v>
      </c>
      <c r="W6" s="1215"/>
      <c r="X6" s="1215"/>
      <c r="Y6" s="1215"/>
      <c r="Z6" s="1215"/>
      <c r="AA6" s="1215"/>
      <c r="AB6" s="1215"/>
      <c r="AC6" s="2010"/>
      <c r="AD6" s="2011"/>
      <c r="AE6" s="2011"/>
      <c r="AF6" s="2011"/>
      <c r="AG6" s="2011"/>
      <c r="AH6" s="2011"/>
      <c r="AI6" s="2011"/>
      <c r="AJ6" s="2012"/>
    </row>
    <row r="7" spans="1:36" ht="24.75" thickBot="1">
      <c r="A7" s="3304" t="s">
        <v>3245</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20"/>
      <c r="T7" s="3362" t="e">
        <f t="shared" si="0"/>
        <v>#DIV/0!</v>
      </c>
      <c r="U7" s="1212"/>
      <c r="V7" s="3362"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9"/>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2" t="e">
        <f t="shared" si="0"/>
        <v>#DIV/0!</v>
      </c>
      <c r="U8" s="1212"/>
      <c r="V8" s="3362" t="e">
        <f t="shared" si="1"/>
        <v>#DIV/0!</v>
      </c>
      <c r="W8" s="3773" t="s">
        <v>1960</v>
      </c>
      <c r="X8" s="377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9"/>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2" t="e">
        <f t="shared" si="0"/>
        <v>#DIV/0!</v>
      </c>
      <c r="U9" s="1212"/>
      <c r="V9" s="3362" t="e">
        <f t="shared" si="1"/>
        <v>#DIV/0!</v>
      </c>
      <c r="W9" s="3775"/>
      <c r="X9" s="3363" t="s">
        <v>3276</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299"/>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2" t="e">
        <f t="shared" si="0"/>
        <v>#DIV/0!</v>
      </c>
      <c r="U10" s="1212"/>
      <c r="V10" s="3362" t="e">
        <f t="shared" si="1"/>
        <v>#DIV/0!</v>
      </c>
      <c r="W10" s="3775"/>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3"/>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2" t="e">
        <f t="shared" si="0"/>
        <v>#DIV/0!</v>
      </c>
      <c r="U11" s="1212"/>
      <c r="V11" s="3362" t="e">
        <f t="shared" si="1"/>
        <v>#DIV/0!</v>
      </c>
      <c r="W11" s="1215"/>
      <c r="X11" s="1215"/>
      <c r="Y11" s="1215"/>
      <c r="Z11" s="1215"/>
      <c r="AA11" s="1215"/>
      <c r="AB11" s="1215"/>
      <c r="AC11" s="1216"/>
      <c r="AD11" s="2788"/>
      <c r="AE11" s="2788"/>
      <c r="AF11" s="2788"/>
      <c r="AG11" s="2788"/>
      <c r="AH11" s="2788"/>
      <c r="AI11" s="2788"/>
      <c r="AJ11" s="2789"/>
    </row>
    <row r="12" spans="1:36" ht="25.5" thickBot="1">
      <c r="A12" s="3304" t="s">
        <v>3246</v>
      </c>
      <c r="B12" s="3305" t="s">
        <v>3247</v>
      </c>
      <c r="C12" s="3306"/>
      <c r="D12" s="3307" t="s">
        <v>3248</v>
      </c>
      <c r="E12" s="3308" t="s">
        <v>3249</v>
      </c>
      <c r="F12" s="3309"/>
      <c r="G12" s="3310"/>
      <c r="H12" s="3310"/>
      <c r="I12" s="3310"/>
      <c r="J12" s="3311"/>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2" t="e">
        <f t="shared" si="0"/>
        <v>#DIV/0!</v>
      </c>
      <c r="U12" s="1212"/>
      <c r="V12" s="3362" t="e">
        <f t="shared" si="1"/>
        <v>#DIV/0!</v>
      </c>
      <c r="W12" s="1215"/>
      <c r="X12" s="1215"/>
      <c r="Y12" s="1215"/>
      <c r="Z12" s="1215"/>
      <c r="AA12" s="1215"/>
      <c r="AB12" s="1215"/>
      <c r="AC12" s="1216"/>
      <c r="AD12" s="2788"/>
      <c r="AE12" s="2788"/>
      <c r="AF12" s="2788"/>
      <c r="AG12" s="2788"/>
      <c r="AH12" s="2788"/>
      <c r="AI12" s="2788"/>
      <c r="AJ12" s="2789"/>
    </row>
    <row r="13" spans="1:36" ht="15.75" thickBot="1">
      <c r="A13" s="3304" t="s">
        <v>3250</v>
      </c>
      <c r="B13" s="2033" t="s">
        <v>1982</v>
      </c>
      <c r="C13" s="754">
        <f>ROUND(C16*D16*E16*F16*G16*H16*I16*J16,4)</f>
        <v>0</v>
      </c>
      <c r="D13" s="2034" t="s">
        <v>1983</v>
      </c>
      <c r="E13" s="2035"/>
      <c r="F13" s="2035"/>
      <c r="G13" s="2036"/>
      <c r="H13" s="2036"/>
      <c r="I13" s="2036"/>
      <c r="J13" s="2037"/>
      <c r="K13" s="1118"/>
      <c r="L13" s="3300"/>
      <c r="M13" s="3301"/>
      <c r="N13" s="3302"/>
      <c r="O13" s="1118"/>
      <c r="P13" s="1118"/>
      <c r="Q13" s="1118"/>
      <c r="R13" s="1211">
        <v>12</v>
      </c>
      <c r="S13" s="1212"/>
      <c r="T13" s="3362" t="e">
        <f t="shared" si="0"/>
        <v>#DIV/0!</v>
      </c>
      <c r="U13" s="1212"/>
      <c r="V13" s="3362" t="e">
        <f t="shared" si="1"/>
        <v>#DIV/0!</v>
      </c>
      <c r="W13" s="1215"/>
      <c r="X13" s="1215"/>
      <c r="Y13" s="1215"/>
      <c r="Z13" s="1215"/>
      <c r="AA13" s="1215"/>
      <c r="AB13" s="1215"/>
      <c r="AC13" s="1216"/>
      <c r="AD13" s="2788"/>
      <c r="AE13" s="2788"/>
      <c r="AF13" s="2788"/>
      <c r="AG13" s="2788"/>
      <c r="AH13" s="2788"/>
      <c r="AI13" s="2788"/>
      <c r="AJ13" s="2789"/>
    </row>
    <row r="14" spans="1:36" ht="15">
      <c r="A14" s="3298"/>
      <c r="B14" s="2039" t="s">
        <v>1985</v>
      </c>
      <c r="C14" s="2040" t="s">
        <v>1986</v>
      </c>
      <c r="D14" s="1349" t="s">
        <v>1987</v>
      </c>
      <c r="E14" s="27" t="s">
        <v>1988</v>
      </c>
      <c r="F14" s="3312" t="s">
        <v>3251</v>
      </c>
      <c r="G14" s="3312" t="s">
        <v>3251</v>
      </c>
      <c r="H14" s="3312" t="s">
        <v>3251</v>
      </c>
      <c r="I14" s="3312" t="s">
        <v>3251</v>
      </c>
      <c r="J14" s="3312" t="s">
        <v>3251</v>
      </c>
      <c r="K14" s="1118"/>
      <c r="L14" s="1118"/>
      <c r="M14" s="1118"/>
      <c r="N14" s="1118"/>
      <c r="O14" s="1118"/>
      <c r="P14" s="1118"/>
      <c r="Q14" s="1118"/>
      <c r="R14" s="1211">
        <v>13</v>
      </c>
      <c r="S14" s="1212"/>
      <c r="T14" s="3362" t="e">
        <f t="shared" si="0"/>
        <v>#DIV/0!</v>
      </c>
      <c r="U14" s="1212"/>
      <c r="V14" s="3362" t="e">
        <f t="shared" si="1"/>
        <v>#DIV/0!</v>
      </c>
      <c r="W14" s="1215"/>
      <c r="X14" s="1215"/>
      <c r="Y14" s="1215"/>
      <c r="Z14" s="1215"/>
      <c r="AA14" s="1215"/>
      <c r="AB14" s="1215"/>
      <c r="AC14" s="1216"/>
      <c r="AD14" s="2788"/>
      <c r="AE14" s="2788"/>
      <c r="AF14" s="2788"/>
      <c r="AG14" s="2788"/>
      <c r="AH14" s="2788"/>
      <c r="AI14" s="2788"/>
      <c r="AJ14" s="2789"/>
    </row>
    <row r="15" spans="1:36" ht="15">
      <c r="A15" s="3298"/>
      <c r="B15" s="2041"/>
      <c r="C15" s="2042"/>
      <c r="D15" s="2043"/>
      <c r="E15" s="2044"/>
      <c r="F15" s="3313" t="s">
        <v>3252</v>
      </c>
      <c r="G15" s="3314"/>
      <c r="H15" s="3315"/>
      <c r="I15" s="3316"/>
      <c r="J15" s="3317"/>
      <c r="K15" s="1118"/>
      <c r="L15" s="1118"/>
      <c r="M15" s="1118"/>
      <c r="N15" s="1118"/>
      <c r="O15" s="1118"/>
      <c r="P15" s="1118"/>
      <c r="Q15" s="1118"/>
      <c r="R15" s="1211">
        <v>14</v>
      </c>
      <c r="S15" s="1212"/>
      <c r="T15" s="3362" t="e">
        <f t="shared" si="0"/>
        <v>#DIV/0!</v>
      </c>
      <c r="U15" s="1212"/>
      <c r="V15" s="3362" t="e">
        <f t="shared" si="1"/>
        <v>#DIV/0!</v>
      </c>
      <c r="W15" s="1215"/>
      <c r="X15" s="1215"/>
      <c r="Y15" s="1215"/>
      <c r="Z15" s="1215"/>
      <c r="AA15" s="1215"/>
      <c r="AB15" s="1215"/>
      <c r="AC15" s="1216"/>
      <c r="AD15" s="2788"/>
      <c r="AE15" s="2788"/>
      <c r="AF15" s="2788"/>
      <c r="AG15" s="2788"/>
      <c r="AH15" s="2788"/>
      <c r="AI15" s="2788"/>
      <c r="AJ15" s="2789"/>
    </row>
    <row r="16" spans="1:36" ht="15.75" thickBot="1">
      <c r="A16" s="3298"/>
      <c r="B16" s="3320" t="s">
        <v>1989</v>
      </c>
      <c r="C16" s="3318"/>
      <c r="D16" s="3318"/>
      <c r="E16" s="3318"/>
      <c r="F16" s="3318">
        <v>1</v>
      </c>
      <c r="G16" s="3318">
        <v>1</v>
      </c>
      <c r="H16" s="3318">
        <v>1</v>
      </c>
      <c r="I16" s="3318">
        <v>1</v>
      </c>
      <c r="J16" s="3319">
        <v>1</v>
      </c>
      <c r="K16" s="1118"/>
      <c r="L16" s="1996"/>
      <c r="M16" s="1996"/>
      <c r="N16" s="1996"/>
      <c r="O16" s="1996"/>
      <c r="P16" s="1996"/>
      <c r="Q16" s="1118"/>
      <c r="R16" s="1211">
        <v>15</v>
      </c>
      <c r="S16" s="1212"/>
      <c r="T16" s="3362" t="e">
        <f t="shared" si="0"/>
        <v>#DIV/0!</v>
      </c>
      <c r="U16" s="1212"/>
      <c r="V16" s="3362" t="e">
        <f t="shared" si="1"/>
        <v>#DIV/0!</v>
      </c>
      <c r="W16" s="1215"/>
      <c r="X16" s="1215"/>
      <c r="Y16" s="1215"/>
      <c r="Z16" s="1215"/>
      <c r="AA16" s="1215"/>
      <c r="AB16" s="1215"/>
      <c r="AC16" s="1216"/>
      <c r="AD16" s="2788"/>
      <c r="AE16" s="2788"/>
      <c r="AF16" s="2788"/>
      <c r="AG16" s="2788"/>
      <c r="AH16" s="2788"/>
      <c r="AI16" s="2788"/>
      <c r="AJ16" s="2789"/>
    </row>
    <row r="17" spans="1:37">
      <c r="A17" s="3330" t="s">
        <v>3253</v>
      </c>
      <c r="B17" s="3321" t="s">
        <v>3254</v>
      </c>
      <c r="C17" s="3331">
        <f>ROUND(IF(OR(E2="工业",E2="公共服务"),1,IF(AND(E18=0,E19=0),1,IF(AND(E18=J24,E19=G19),0.8,IF(E19=0,1+E17*(-0.2),1+E17*G17*(-0.2))))),4)</f>
        <v>1</v>
      </c>
      <c r="D17" s="3322" t="s">
        <v>3255</v>
      </c>
      <c r="E17" s="3331" t="e">
        <f>ROUND(G18/I18,2)</f>
        <v>#DIV/0!</v>
      </c>
      <c r="F17" s="3322" t="s">
        <v>3258</v>
      </c>
      <c r="G17" s="3331" t="e">
        <f>ROUND(E19/G19,2)</f>
        <v>#DIV/0!</v>
      </c>
      <c r="H17" s="3331"/>
      <c r="I17" s="3331"/>
      <c r="J17" s="3332"/>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3"/>
      <c r="B18" s="3009"/>
      <c r="C18" s="3328"/>
      <c r="D18" s="3323" t="s">
        <v>3256</v>
      </c>
      <c r="E18" s="3329"/>
      <c r="F18" s="3324" t="s">
        <v>3259</v>
      </c>
      <c r="G18" s="3328">
        <f>ROUND(1-(1/(POWER(1+G24,E18))),4)</f>
        <v>0</v>
      </c>
      <c r="H18" s="3324" t="s">
        <v>3261</v>
      </c>
      <c r="I18" s="3328">
        <f>ROUND(1-(1/(POWER(1+G24,J24))),4)</f>
        <v>0</v>
      </c>
      <c r="J18" s="3334"/>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5"/>
      <c r="B19" s="3336"/>
      <c r="C19" s="3337"/>
      <c r="D19" s="3337" t="s">
        <v>3257</v>
      </c>
      <c r="E19" s="3338"/>
      <c r="F19" s="3339" t="s">
        <v>3260</v>
      </c>
      <c r="G19" s="3338"/>
      <c r="H19" s="3337"/>
      <c r="I19" s="3337"/>
      <c r="J19" s="3340"/>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80" t="s">
        <v>3262</v>
      </c>
      <c r="B20" s="167" t="s">
        <v>1994</v>
      </c>
      <c r="C20" s="3325" t="e">
        <f>ROUND(IF(F21="与级别开发程度一致",0,(G21-E21)/C21),0)</f>
        <v>#DIV/0!</v>
      </c>
      <c r="D20" s="3341" t="s">
        <v>1998</v>
      </c>
      <c r="E20" s="3342"/>
      <c r="F20" s="3786" t="s">
        <v>1995</v>
      </c>
      <c r="G20" s="3787"/>
      <c r="H20" s="3326"/>
      <c r="I20" s="3326"/>
      <c r="J20" s="3327"/>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81"/>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3" t="s">
        <v>2002</v>
      </c>
      <c r="E23" s="760">
        <v>44197</v>
      </c>
      <c r="F23" s="2053" t="s">
        <v>2003</v>
      </c>
      <c r="G23" s="761">
        <f>'数据-取费表'!B2</f>
        <v>44939</v>
      </c>
      <c r="H23" s="3343" t="s">
        <v>3264</v>
      </c>
      <c r="I23" s="3344" t="str">
        <f>IF(H23="季度增幅（自定义）",SUMIF(N25:N28,E2,O25:O28),"")</f>
        <v/>
      </c>
      <c r="J23" s="3345" t="s">
        <v>3263</v>
      </c>
      <c r="K23" s="1124"/>
      <c r="L23" s="2054" t="s">
        <v>2004</v>
      </c>
      <c r="M23" s="1327">
        <f>ROUND(SUMIF(地价!B2:G2,E2,地价!B16:G16),0)</f>
        <v>0</v>
      </c>
      <c r="N23" s="2055" t="s">
        <v>2005</v>
      </c>
      <c r="O23" s="762">
        <f>ROUNDDOWN(DATEDIF(E23,G23,"M")/3,0)</f>
        <v>8</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存贷款利率!E22/100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3343</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6" t="s">
        <v>3265</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3266</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2" t="s">
        <v>1936</v>
      </c>
      <c r="M30" s="3353" t="s">
        <v>1990</v>
      </c>
      <c r="N30" s="3353" t="s">
        <v>1991</v>
      </c>
      <c r="O30" s="3353" t="s">
        <v>1992</v>
      </c>
      <c r="P30" s="3353" t="s">
        <v>1993</v>
      </c>
      <c r="Q30" s="3356" t="s">
        <v>3270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4" t="s">
        <v>1996</v>
      </c>
      <c r="M31" s="1999">
        <v>0.25</v>
      </c>
      <c r="N31" s="1999">
        <v>0.2</v>
      </c>
      <c r="O31" s="1999">
        <v>0.15</v>
      </c>
      <c r="P31" s="1999">
        <v>0.1</v>
      </c>
      <c r="Q31" s="3349">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5" t="s">
        <v>1999</v>
      </c>
      <c r="M32" s="2569">
        <f>ROUND($E$24*(1+M31),3)</f>
        <v>5.3999999999999999E-2</v>
      </c>
      <c r="N32" s="2569">
        <f>ROUND($E$24*(1+N31),3)</f>
        <v>5.1999999999999998E-2</v>
      </c>
      <c r="O32" s="2569">
        <f>ROUND($E$24*(1+O31),3)</f>
        <v>0.05</v>
      </c>
      <c r="P32" s="2569">
        <f>ROUND($E$24*(1+P31),3)</f>
        <v>4.8000000000000001E-2</v>
      </c>
      <c r="Q32" s="3357">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7" t="s">
        <v>3268</v>
      </c>
      <c r="G33" s="2098"/>
      <c r="H33" s="2098"/>
      <c r="I33" s="2098"/>
      <c r="J33" s="2099"/>
      <c r="K33" s="1118"/>
      <c r="L33" s="3350" t="s">
        <v>3271</v>
      </c>
      <c r="M33" s="3351">
        <v>5.5E-2</v>
      </c>
      <c r="N33" s="3351">
        <v>5.5E-2</v>
      </c>
      <c r="O33" s="3351">
        <v>0.05</v>
      </c>
      <c r="P33" s="3351">
        <v>0.05</v>
      </c>
      <c r="Q33" s="3351">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50" t="s">
        <v>3272</v>
      </c>
      <c r="M34" s="3351">
        <v>6.5000000000000002E-2</v>
      </c>
      <c r="N34" s="3351">
        <v>6.5000000000000002E-2</v>
      </c>
      <c r="O34" s="3351">
        <v>0.06</v>
      </c>
      <c r="P34" s="3351">
        <v>0.06</v>
      </c>
      <c r="Q34" s="3351">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8" t="s">
        <v>3269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8" t="s">
        <v>3273</v>
      </c>
      <c r="L36" s="3358">
        <v>3.6999999999999998E-2</v>
      </c>
      <c r="M36" s="3359">
        <f>ROUND($L$36*(1+M31),3)</f>
        <v>4.5999999999999999E-2</v>
      </c>
      <c r="N36" s="3359">
        <f>ROUND($L$36*(1+N31),3)</f>
        <v>4.3999999999999997E-2</v>
      </c>
      <c r="O36" s="3359">
        <f>ROUND($L$36*(1+O31),3)</f>
        <v>4.2999999999999997E-2</v>
      </c>
      <c r="P36" s="3359">
        <f>ROUND($L$36*(1+P31),3)</f>
        <v>4.1000000000000002E-2</v>
      </c>
      <c r="Q36" s="3359">
        <f>ROUND($L$36*(1+Q31),3)</f>
        <v>4.2999999999999997E-2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84"/>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60" t="s">
        <v>3274</v>
      </c>
      <c r="L37" s="3358">
        <f>L36+K38</f>
        <v>4.1999999999999996E-2</v>
      </c>
      <c r="M37" s="3359">
        <f>ROUND($L$37*(1+M31),3)</f>
        <v>5.2999999999999999E-2</v>
      </c>
      <c r="N37" s="3359">
        <f t="shared" ref="N37:Q37" si="3">ROUND($L$37*(1+N31),3)</f>
        <v>0.05</v>
      </c>
      <c r="O37" s="3359">
        <f t="shared" si="3"/>
        <v>4.8000000000000001E-2</v>
      </c>
      <c r="P37" s="3359">
        <f t="shared" si="3"/>
        <v>4.5999999999999999E-2</v>
      </c>
      <c r="Q37" s="3359">
        <f t="shared" si="3"/>
        <v>4.8000000000000001E-2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5"/>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8">
        <v>5.0000000000000001E-3</v>
      </c>
      <c r="L38" s="3358"/>
      <c r="M38" s="3358"/>
      <c r="N38" s="3358"/>
      <c r="O38" s="3358"/>
      <c r="P38" s="3358"/>
      <c r="Q38" s="3358"/>
      <c r="R38" s="1118"/>
      <c r="S38" s="1118"/>
      <c r="T38" s="1118"/>
      <c r="U38" s="1118"/>
      <c r="V38" s="1118"/>
      <c r="W38" s="1118"/>
      <c r="X38" s="1118"/>
      <c r="Y38" s="1118"/>
      <c r="Z38" s="1119"/>
      <c r="AA38" s="1119"/>
      <c r="AB38" s="1119"/>
      <c r="AC38" s="1119"/>
      <c r="AD38" s="1119"/>
    </row>
    <row r="39" spans="1:37" ht="13.5" thickBot="1">
      <c r="A39" s="3785"/>
      <c r="B39" s="2040" t="s">
        <v>3267</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61" t="s">
        <v>3275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8">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8">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70" t="s">
        <v>3277</v>
      </c>
      <c r="B52" s="2133">
        <f>估价对象房地状况!C19</f>
        <v>0</v>
      </c>
      <c r="C52" s="2043"/>
      <c r="D52" s="1064">
        <f t="shared" si="7"/>
        <v>0</v>
      </c>
      <c r="E52" s="744"/>
      <c r="F52" s="1813"/>
      <c r="G52" s="1062"/>
      <c r="H52" s="1065" t="str">
        <f t="shared" si="8"/>
        <v>——</v>
      </c>
      <c r="I52" s="3368">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8">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8">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8">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8">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8">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9">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8">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8">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70" t="s">
        <v>3277</v>
      </c>
      <c r="B63" s="2133">
        <f>估价对象房地状况!C19</f>
        <v>0</v>
      </c>
      <c r="C63" s="2043"/>
      <c r="D63" s="1064">
        <f t="shared" si="12"/>
        <v>0</v>
      </c>
      <c r="E63" s="744"/>
      <c r="F63" s="1813"/>
      <c r="G63" s="1062"/>
      <c r="H63" s="1065" t="str">
        <f t="shared" si="13"/>
        <v>——</v>
      </c>
      <c r="I63" s="3368">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8">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8">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8">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8">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8">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9">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8">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8">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70" t="s">
        <v>3277</v>
      </c>
      <c r="B74" s="2133">
        <f>估价对象房地状况!C19</f>
        <v>0</v>
      </c>
      <c r="C74" s="2043"/>
      <c r="D74" s="1064">
        <f t="shared" si="17"/>
        <v>0</v>
      </c>
      <c r="E74" s="746"/>
      <c r="F74" s="1813"/>
      <c r="G74" s="1062"/>
      <c r="H74" s="1065" t="str">
        <f t="shared" si="18"/>
        <v>——</v>
      </c>
      <c r="I74" s="3368">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8">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8">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8">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8">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8">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9">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8">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8">
        <v>0.3</v>
      </c>
      <c r="J84" s="1063">
        <f t="shared" si="24"/>
        <v>0</v>
      </c>
      <c r="K84" s="1063">
        <f t="shared" si="25"/>
        <v>0</v>
      </c>
      <c r="L84" s="1063">
        <v>0</v>
      </c>
      <c r="M84" s="1063">
        <f t="shared" si="26"/>
        <v>0</v>
      </c>
      <c r="N84" s="1063">
        <f t="shared" si="26"/>
        <v>0</v>
      </c>
      <c r="Z84" s="1997"/>
      <c r="AA84" s="2052"/>
      <c r="AG84" s="1120"/>
      <c r="AK84" s="2052"/>
    </row>
    <row r="85" spans="1:37" ht="36">
      <c r="A85" s="3370" t="s">
        <v>3278</v>
      </c>
      <c r="B85" s="2133">
        <f>估价对象房地状况!G17</f>
        <v>0</v>
      </c>
      <c r="C85" s="2043"/>
      <c r="D85" s="1064">
        <f t="shared" si="22"/>
        <v>0</v>
      </c>
      <c r="E85" s="746"/>
      <c r="F85" s="1813"/>
      <c r="G85" s="1062"/>
      <c r="H85" s="1065" t="str">
        <f t="shared" si="23"/>
        <v>——</v>
      </c>
      <c r="I85" s="3368">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8">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8">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8">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8">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9">
        <v>0.05</v>
      </c>
      <c r="J90" s="1063">
        <f t="shared" si="24"/>
        <v>0</v>
      </c>
      <c r="K90" s="1063">
        <f t="shared" si="25"/>
        <v>0</v>
      </c>
      <c r="L90" s="1063">
        <v>0</v>
      </c>
      <c r="M90" s="1063">
        <f t="shared" si="26"/>
        <v>0</v>
      </c>
      <c r="N90" s="1063">
        <f t="shared" si="26"/>
        <v>0</v>
      </c>
    </row>
    <row r="91" spans="1:37" ht="15">
      <c r="A91" s="3378" t="s">
        <v>2614</v>
      </c>
      <c r="B91" s="3379">
        <f>1+E93</f>
        <v>1</v>
      </c>
      <c r="C91" s="3372"/>
      <c r="D91" s="3373"/>
      <c r="E91" s="1813"/>
      <c r="F91" s="1813"/>
      <c r="G91" s="3374"/>
      <c r="H91" s="3375"/>
      <c r="I91" s="3376"/>
      <c r="J91" s="3377"/>
      <c r="K91" s="3377"/>
      <c r="L91" s="3377"/>
      <c r="M91" s="3377"/>
      <c r="N91" s="3377"/>
    </row>
    <row r="92" spans="1:37" ht="24.75">
      <c r="A92" s="3380" t="s">
        <v>3279</v>
      </c>
      <c r="B92" s="3367"/>
      <c r="C92" s="3367" t="s">
        <v>3288</v>
      </c>
      <c r="D92" s="3367" t="s">
        <v>3289</v>
      </c>
      <c r="E92" s="3349" t="s">
        <v>3290</v>
      </c>
      <c r="F92" s="3382" t="s">
        <v>3291</v>
      </c>
      <c r="G92" s="3367" t="s">
        <v>3292</v>
      </c>
      <c r="H92" s="3389" t="s">
        <v>3295</v>
      </c>
      <c r="I92" s="3367" t="s">
        <v>3296</v>
      </c>
      <c r="J92" s="3390" t="s">
        <v>3297</v>
      </c>
      <c r="K92" s="3390" t="s">
        <v>3298</v>
      </c>
      <c r="L92" s="3390" t="s">
        <v>3299</v>
      </c>
      <c r="M92" s="3390" t="s">
        <v>3300</v>
      </c>
      <c r="N92" s="3390" t="s">
        <v>3301</v>
      </c>
    </row>
    <row r="93" spans="1:37" ht="24">
      <c r="A93" s="3370" t="s">
        <v>3280</v>
      </c>
      <c r="B93" s="1305"/>
      <c r="C93" s="2043"/>
      <c r="D93" s="3367">
        <f>SUMIF($J$92:$N$92,C93,J93:N93)</f>
        <v>0</v>
      </c>
      <c r="E93" s="3383">
        <f>ROUND(SUM(D93:D101),4)</f>
        <v>0</v>
      </c>
      <c r="F93" s="1813"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38.25">
      <c r="A94" s="3380" t="s">
        <v>3281</v>
      </c>
      <c r="B94" s="3371" t="str">
        <f>估价对象房地状况!C18</f>
        <v>估价对象周边道路状况、公共交通通达情况、停车便捷程度，综合评价交通便捷度较好</v>
      </c>
      <c r="C94" s="2043"/>
      <c r="D94" s="3367">
        <f t="shared" ref="D94:D101" si="30">SUMIF($J$60:$N$60,C94,J94:N94)</f>
        <v>0</v>
      </c>
      <c r="E94" s="3384"/>
      <c r="F94" s="1813"/>
      <c r="G94" s="3374"/>
      <c r="H94" s="3422" t="str">
        <f>IFERROR(ROUNDDOWN($F$93*I94/2,4),"——")</f>
        <v>——</v>
      </c>
      <c r="I94" s="3368">
        <v>0.26</v>
      </c>
      <c r="J94" s="3346">
        <f t="shared" si="27"/>
        <v>0</v>
      </c>
      <c r="K94" s="3346">
        <f t="shared" si="28"/>
        <v>0</v>
      </c>
      <c r="L94" s="3346">
        <v>0</v>
      </c>
      <c r="M94" s="3346">
        <f t="shared" si="29"/>
        <v>0</v>
      </c>
      <c r="N94" s="3346">
        <f t="shared" si="29"/>
        <v>0</v>
      </c>
    </row>
    <row r="95" spans="1:37" ht="36">
      <c r="A95" s="3370" t="s">
        <v>3277</v>
      </c>
      <c r="B95" s="3371">
        <f>估价对象房地状况!C19</f>
        <v>0</v>
      </c>
      <c r="C95" s="2043"/>
      <c r="D95" s="3367">
        <f t="shared" si="30"/>
        <v>0</v>
      </c>
      <c r="E95" s="3384"/>
      <c r="F95" s="1813"/>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6.75">
      <c r="A96" s="3380" t="s">
        <v>3282</v>
      </c>
      <c r="B96" s="3386" t="s">
        <v>3293</v>
      </c>
      <c r="C96" s="2043"/>
      <c r="D96" s="3367">
        <f t="shared" si="30"/>
        <v>0</v>
      </c>
      <c r="E96" s="3384"/>
      <c r="F96" s="1813"/>
      <c r="G96" s="3374"/>
      <c r="H96" s="3422" t="str">
        <f t="shared" si="31"/>
        <v>——</v>
      </c>
      <c r="I96" s="3368">
        <v>0.05</v>
      </c>
      <c r="J96" s="3346">
        <f t="shared" si="27"/>
        <v>0</v>
      </c>
      <c r="K96" s="3346">
        <f t="shared" si="28"/>
        <v>0</v>
      </c>
      <c r="L96" s="3346">
        <v>0</v>
      </c>
      <c r="M96" s="3346">
        <f t="shared" si="29"/>
        <v>0</v>
      </c>
      <c r="N96" s="3346">
        <f t="shared" si="29"/>
        <v>0</v>
      </c>
    </row>
    <row r="97" spans="1:14" ht="24">
      <c r="A97" s="3380" t="s">
        <v>3283</v>
      </c>
      <c r="B97" s="3371">
        <f>估价对象房地状况!C24</f>
        <v>0</v>
      </c>
      <c r="C97" s="2043"/>
      <c r="D97" s="3367">
        <f t="shared" si="30"/>
        <v>0</v>
      </c>
      <c r="E97" s="3384"/>
      <c r="F97" s="1813"/>
      <c r="G97" s="3374"/>
      <c r="H97" s="3422" t="str">
        <f t="shared" si="31"/>
        <v>——</v>
      </c>
      <c r="I97" s="3368">
        <v>0.05</v>
      </c>
      <c r="J97" s="3346">
        <f t="shared" si="27"/>
        <v>0</v>
      </c>
      <c r="K97" s="3346">
        <f t="shared" si="28"/>
        <v>0</v>
      </c>
      <c r="L97" s="3346">
        <v>0</v>
      </c>
      <c r="M97" s="3346">
        <f t="shared" si="29"/>
        <v>0</v>
      </c>
      <c r="N97" s="3346">
        <f t="shared" si="29"/>
        <v>0</v>
      </c>
    </row>
    <row r="98" spans="1:14" ht="24">
      <c r="A98" s="3380" t="s">
        <v>3284</v>
      </c>
      <c r="B98" s="3387" t="s">
        <v>3294</v>
      </c>
      <c r="C98" s="2043"/>
      <c r="D98" s="3367">
        <f t="shared" si="30"/>
        <v>0</v>
      </c>
      <c r="E98" s="3384"/>
      <c r="F98" s="1813"/>
      <c r="G98" s="3374"/>
      <c r="H98" s="3422" t="str">
        <f t="shared" si="31"/>
        <v>——</v>
      </c>
      <c r="I98" s="3368">
        <v>0.06</v>
      </c>
      <c r="J98" s="3346">
        <f t="shared" si="27"/>
        <v>0</v>
      </c>
      <c r="K98" s="3346">
        <f t="shared" si="28"/>
        <v>0</v>
      </c>
      <c r="L98" s="3346">
        <v>0</v>
      </c>
      <c r="M98" s="3346">
        <f t="shared" si="29"/>
        <v>0</v>
      </c>
      <c r="N98" s="3346">
        <f t="shared" si="29"/>
        <v>0</v>
      </c>
    </row>
    <row r="99" spans="1:14" ht="25.5">
      <c r="A99" s="3380" t="s">
        <v>3285</v>
      </c>
      <c r="B99" s="3371" t="str">
        <f>估价对象房地状况!C21</f>
        <v>估价对象所在区域公共配套设施齐备情况</v>
      </c>
      <c r="C99" s="2043"/>
      <c r="D99" s="3367">
        <f t="shared" si="30"/>
        <v>0</v>
      </c>
      <c r="E99" s="3384"/>
      <c r="F99" s="1813"/>
      <c r="G99" s="3374"/>
      <c r="H99" s="3422" t="str">
        <f t="shared" si="31"/>
        <v>——</v>
      </c>
      <c r="I99" s="3368">
        <v>0.06</v>
      </c>
      <c r="J99" s="3346">
        <f t="shared" si="27"/>
        <v>0</v>
      </c>
      <c r="K99" s="3346">
        <f t="shared" si="28"/>
        <v>0</v>
      </c>
      <c r="L99" s="3346">
        <v>0</v>
      </c>
      <c r="M99" s="3346">
        <f t="shared" si="29"/>
        <v>0</v>
      </c>
      <c r="N99" s="3346">
        <f t="shared" si="29"/>
        <v>0</v>
      </c>
    </row>
    <row r="100" spans="1:14" ht="25.5">
      <c r="A100" s="3380" t="s">
        <v>3286</v>
      </c>
      <c r="B100" s="3371" t="str">
        <f>估价对象房地状况!C22</f>
        <v>估价对象所在区域基础设施水平</v>
      </c>
      <c r="C100" s="2043"/>
      <c r="D100" s="3367">
        <f t="shared" si="30"/>
        <v>0</v>
      </c>
      <c r="E100" s="3384"/>
      <c r="F100" s="1813"/>
      <c r="G100" s="3374"/>
      <c r="H100" s="3422" t="str">
        <f t="shared" si="31"/>
        <v>——</v>
      </c>
      <c r="I100" s="3368">
        <v>0.09</v>
      </c>
      <c r="J100" s="3346">
        <f t="shared" si="27"/>
        <v>0</v>
      </c>
      <c r="K100" s="3346">
        <f t="shared" si="28"/>
        <v>0</v>
      </c>
      <c r="L100" s="3346">
        <v>0</v>
      </c>
      <c r="M100" s="3346">
        <f t="shared" si="29"/>
        <v>0</v>
      </c>
      <c r="N100" s="3346">
        <f t="shared" si="29"/>
        <v>0</v>
      </c>
    </row>
    <row r="101" spans="1:14" ht="26.25" thickBot="1">
      <c r="A101" s="3381" t="s">
        <v>3287</v>
      </c>
      <c r="B101" s="3388" t="str">
        <f>估价对象房地状况!C20</f>
        <v>区域自然环境：；人文环境；综合评价环境状况一般</v>
      </c>
      <c r="C101" s="2043"/>
      <c r="D101" s="3367">
        <f t="shared" si="30"/>
        <v>0</v>
      </c>
      <c r="E101" s="3385"/>
      <c r="F101" s="1813"/>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82" t="s">
        <v>3302</v>
      </c>
      <c r="B103" s="3782"/>
      <c r="C103" s="3782"/>
      <c r="D103" s="3782"/>
      <c r="E103" s="3782"/>
      <c r="F103" s="3782"/>
      <c r="G103" s="3782"/>
      <c r="H103" s="3782"/>
      <c r="I103" s="3782"/>
      <c r="J103" s="3782"/>
      <c r="K103" s="3391"/>
      <c r="L103" s="3391"/>
      <c r="M103" s="3391"/>
      <c r="N103" s="3391"/>
    </row>
    <row r="104" spans="1:14">
      <c r="A104" s="3783" t="s">
        <v>3303</v>
      </c>
      <c r="B104" s="3783" t="s">
        <v>3304</v>
      </c>
      <c r="C104" s="3392" t="s">
        <v>3305</v>
      </c>
      <c r="D104" s="3393"/>
      <c r="E104" s="3393"/>
      <c r="F104" s="3393"/>
      <c r="G104" s="3393"/>
      <c r="H104" s="3393"/>
      <c r="I104" s="3393"/>
      <c r="J104" s="3394"/>
      <c r="K104" s="3395"/>
      <c r="L104" s="3395"/>
      <c r="M104" s="3395"/>
      <c r="N104" s="3395"/>
    </row>
    <row r="105" spans="1:14">
      <c r="A105" s="3783"/>
      <c r="B105" s="3783"/>
      <c r="C105" s="3396" t="s">
        <v>3306</v>
      </c>
      <c r="D105" s="3396" t="s">
        <v>3307</v>
      </c>
      <c r="E105" s="3396" t="s">
        <v>3308</v>
      </c>
      <c r="F105" s="3396" t="s">
        <v>3309</v>
      </c>
      <c r="G105" s="3396" t="s">
        <v>3310</v>
      </c>
      <c r="H105" s="3396" t="s">
        <v>3311</v>
      </c>
      <c r="I105" s="3396" t="s">
        <v>3312</v>
      </c>
      <c r="J105" s="3396" t="s">
        <v>3313</v>
      </c>
      <c r="K105" s="3396" t="s">
        <v>3314</v>
      </c>
      <c r="L105" s="3396" t="s">
        <v>3315</v>
      </c>
      <c r="M105" s="3396" t="s">
        <v>3316</v>
      </c>
      <c r="N105" s="3396" t="s">
        <v>3317</v>
      </c>
    </row>
    <row r="106" spans="1:14">
      <c r="A106" s="3769" t="s">
        <v>3318</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70"/>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70"/>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70"/>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70"/>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70"/>
      <c r="B111" s="3396" t="s">
        <v>3276</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71"/>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72" t="s">
        <v>3319</v>
      </c>
      <c r="B113" s="3772"/>
      <c r="C113" s="3772"/>
      <c r="D113" s="3772"/>
      <c r="E113" s="3772"/>
      <c r="F113" s="3772"/>
      <c r="G113" s="3772"/>
      <c r="H113" s="3772"/>
      <c r="I113" s="3772"/>
      <c r="J113" s="3772"/>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3320</v>
      </c>
      <c r="B116" s="3417">
        <f>G3</f>
        <v>0</v>
      </c>
      <c r="C116" s="3401" t="s">
        <v>3321</v>
      </c>
      <c r="D116" s="3402">
        <f>SUMPRODUCT((A118:A122=F116)*(B117:M117=H116)*B118:M122)</f>
        <v>0</v>
      </c>
      <c r="E116" s="1999" t="s">
        <v>3322</v>
      </c>
      <c r="F116" s="3403">
        <f>E2</f>
        <v>0</v>
      </c>
      <c r="G116" s="1999" t="s">
        <v>3323</v>
      </c>
      <c r="H116" s="3403">
        <f>G2</f>
        <v>0</v>
      </c>
      <c r="I116" s="1999"/>
      <c r="J116" s="3404"/>
      <c r="K116" s="3404"/>
      <c r="L116" s="3404"/>
      <c r="M116" s="3404"/>
      <c r="N116" s="3399"/>
    </row>
    <row r="117" spans="1:14">
      <c r="A117" s="3405"/>
      <c r="B117" s="3406" t="s">
        <v>3324</v>
      </c>
      <c r="C117" s="3406" t="s">
        <v>3325</v>
      </c>
      <c r="D117" s="3406" t="s">
        <v>3326</v>
      </c>
      <c r="E117" s="3407" t="s">
        <v>3327</v>
      </c>
      <c r="F117" s="3407" t="s">
        <v>3328</v>
      </c>
      <c r="G117" s="3407" t="s">
        <v>3329</v>
      </c>
      <c r="H117" s="3408" t="s">
        <v>3330</v>
      </c>
      <c r="I117" s="3408" t="s">
        <v>3331</v>
      </c>
      <c r="J117" s="3409" t="s">
        <v>3332</v>
      </c>
      <c r="K117" s="3409" t="s">
        <v>3333</v>
      </c>
      <c r="L117" s="3409" t="s">
        <v>3334</v>
      </c>
      <c r="M117" s="3410" t="s">
        <v>3335</v>
      </c>
      <c r="N117" s="3399"/>
    </row>
    <row r="118" spans="1:14">
      <c r="A118" s="3411" t="s">
        <v>3336</v>
      </c>
      <c r="B118" s="3389">
        <f>ROUND(0.9968-0.011*B116,4)</f>
        <v>0.99680000000000002</v>
      </c>
      <c r="C118" s="3389">
        <f>B118</f>
        <v>0.99680000000000002</v>
      </c>
      <c r="D118" s="3389">
        <f>ROUND(0.949-0.014*B116,4)</f>
        <v>0.94899999999999995</v>
      </c>
      <c r="E118" s="3389">
        <f>D118</f>
        <v>0.94899999999999995</v>
      </c>
      <c r="F118" s="3389">
        <f>E118</f>
        <v>0.94899999999999995</v>
      </c>
      <c r="G118" s="3389">
        <f>F118</f>
        <v>0.94899999999999995</v>
      </c>
      <c r="H118" s="3389">
        <f>G118</f>
        <v>0.94899999999999995</v>
      </c>
      <c r="I118" s="3389">
        <f>ROUND(0.8486-0.018*B116,4)</f>
        <v>0.84860000000000002</v>
      </c>
      <c r="J118" s="3389">
        <f t="shared" ref="J118:M122" si="35">I118</f>
        <v>0.84860000000000002</v>
      </c>
      <c r="K118" s="3389">
        <f t="shared" si="35"/>
        <v>0.84860000000000002</v>
      </c>
      <c r="L118" s="3389">
        <f t="shared" si="35"/>
        <v>0.84860000000000002</v>
      </c>
      <c r="M118" s="3412">
        <f t="shared" si="35"/>
        <v>0.84860000000000002</v>
      </c>
      <c r="N118" s="3399"/>
    </row>
    <row r="119" spans="1:14">
      <c r="A119" s="3411" t="s">
        <v>3337</v>
      </c>
      <c r="B119" s="3389">
        <f>ROUND(0.993-0.0112*B116,4)</f>
        <v>0.99299999999999999</v>
      </c>
      <c r="C119" s="3389">
        <f>B119</f>
        <v>0.99299999999999999</v>
      </c>
      <c r="D119" s="3389">
        <f>ROUND(0.9415-0.0142*B116,4)</f>
        <v>0.9415</v>
      </c>
      <c r="E119" s="3389">
        <f t="shared" ref="E119:H120" si="36">D119</f>
        <v>0.9415</v>
      </c>
      <c r="F119" s="3389">
        <f t="shared" si="36"/>
        <v>0.9415</v>
      </c>
      <c r="G119" s="3389">
        <f t="shared" si="36"/>
        <v>0.9415</v>
      </c>
      <c r="H119" s="3389">
        <f t="shared" si="36"/>
        <v>0.9415</v>
      </c>
      <c r="I119" s="3389">
        <f>ROUND(0.838-0.0182*B116,4)</f>
        <v>0.83799999999999997</v>
      </c>
      <c r="J119" s="3389">
        <f t="shared" si="35"/>
        <v>0.83799999999999997</v>
      </c>
      <c r="K119" s="3389">
        <f t="shared" si="35"/>
        <v>0.83799999999999997</v>
      </c>
      <c r="L119" s="3389">
        <f t="shared" si="35"/>
        <v>0.83799999999999997</v>
      </c>
      <c r="M119" s="3412">
        <f t="shared" si="35"/>
        <v>0.83799999999999997</v>
      </c>
      <c r="N119" s="3399"/>
    </row>
    <row r="120" spans="1:14">
      <c r="A120" s="3411" t="s">
        <v>3338</v>
      </c>
      <c r="B120" s="3389">
        <f>ROUND(0.9448-0.0115*B116,4)</f>
        <v>0.94479999999999997</v>
      </c>
      <c r="C120" s="3389">
        <f>B120</f>
        <v>0.94479999999999997</v>
      </c>
      <c r="D120" s="3389">
        <f>ROUND(0.937-0.0145*B116,4)</f>
        <v>0.93700000000000006</v>
      </c>
      <c r="E120" s="3389">
        <f t="shared" si="36"/>
        <v>0.93700000000000006</v>
      </c>
      <c r="F120" s="3389">
        <f t="shared" si="36"/>
        <v>0.93700000000000006</v>
      </c>
      <c r="G120" s="3389">
        <f t="shared" si="36"/>
        <v>0.93700000000000006</v>
      </c>
      <c r="H120" s="3389">
        <f t="shared" si="36"/>
        <v>0.93700000000000006</v>
      </c>
      <c r="I120" s="3389">
        <f>ROUND(0.7965-0.0185*B116,4)</f>
        <v>0.79649999999999999</v>
      </c>
      <c r="J120" s="3389">
        <f t="shared" si="35"/>
        <v>0.79649999999999999</v>
      </c>
      <c r="K120" s="3389">
        <f t="shared" si="35"/>
        <v>0.79649999999999999</v>
      </c>
      <c r="L120" s="3389">
        <f t="shared" si="35"/>
        <v>0.79649999999999999</v>
      </c>
      <c r="M120" s="3412">
        <f t="shared" si="35"/>
        <v>0.79649999999999999</v>
      </c>
      <c r="N120" s="3399"/>
    </row>
    <row r="121" spans="1:14" ht="13.5" thickBot="1">
      <c r="A121" s="3413" t="s">
        <v>3339</v>
      </c>
      <c r="B121" s="3414">
        <f>ROUND(0.7836-0.012*B116,4)</f>
        <v>0.78359999999999996</v>
      </c>
      <c r="C121" s="3414">
        <f>B121</f>
        <v>0.78359999999999996</v>
      </c>
      <c r="D121" s="3414">
        <f>ROUND(0.753-0.015*B116,4)</f>
        <v>0.753</v>
      </c>
      <c r="E121" s="3414">
        <f>D121</f>
        <v>0.753</v>
      </c>
      <c r="F121" s="3414">
        <f>E121</f>
        <v>0.753</v>
      </c>
      <c r="G121" s="3414">
        <f>ROUND(0.6612-0.018*B116,4)</f>
        <v>0.66120000000000001</v>
      </c>
      <c r="H121" s="3414">
        <f>G121</f>
        <v>0.66120000000000001</v>
      </c>
      <c r="I121" s="3414">
        <f>ROUND(0.5905-0.019*B116,4)</f>
        <v>0.59050000000000002</v>
      </c>
      <c r="J121" s="3414">
        <f t="shared" si="35"/>
        <v>0.59050000000000002</v>
      </c>
      <c r="K121" s="3414">
        <f t="shared" si="35"/>
        <v>0.59050000000000002</v>
      </c>
      <c r="L121" s="3414">
        <f t="shared" si="35"/>
        <v>0.59050000000000002</v>
      </c>
      <c r="M121" s="3415">
        <f t="shared" si="35"/>
        <v>0.59050000000000002</v>
      </c>
      <c r="N121" s="3399"/>
    </row>
    <row r="122" spans="1:14">
      <c r="A122" s="3416" t="s">
        <v>2614</v>
      </c>
      <c r="B122" s="3389">
        <f>ROUND(0.9404-0.0106*B116,4)</f>
        <v>0.94040000000000001</v>
      </c>
      <c r="C122" s="3389">
        <f>B122</f>
        <v>0.94040000000000001</v>
      </c>
      <c r="D122" s="3389">
        <f>ROUND(0.8955-0.0135*B116,4)</f>
        <v>0.89549999999999996</v>
      </c>
      <c r="E122" s="3389">
        <f t="shared" ref="E122:H122" si="37">D122</f>
        <v>0.89549999999999996</v>
      </c>
      <c r="F122" s="3389">
        <f t="shared" si="37"/>
        <v>0.89549999999999996</v>
      </c>
      <c r="G122" s="3389">
        <f t="shared" si="37"/>
        <v>0.89549999999999996</v>
      </c>
      <c r="H122" s="3389">
        <f t="shared" si="37"/>
        <v>0.89549999999999996</v>
      </c>
      <c r="I122" s="3389">
        <f>ROUND(0.7632-0.0166*B116,4)</f>
        <v>0.76319999999999999</v>
      </c>
      <c r="J122" s="3389">
        <f t="shared" si="35"/>
        <v>0.76319999999999999</v>
      </c>
      <c r="K122" s="3389">
        <f t="shared" si="35"/>
        <v>0.76319999999999999</v>
      </c>
      <c r="L122" s="3389">
        <f t="shared" si="35"/>
        <v>0.76319999999999999</v>
      </c>
      <c r="M122" s="3412">
        <f t="shared" si="35"/>
        <v>0.76319999999999999</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97" t="s">
        <v>2609</v>
      </c>
      <c r="B20" s="3792" t="s">
        <v>2630</v>
      </c>
      <c r="C20" s="3102" t="s">
        <v>2441</v>
      </c>
      <c r="D20" s="3103"/>
      <c r="E20" s="3104">
        <v>1</v>
      </c>
      <c r="F20" s="3105" t="s">
        <v>2442</v>
      </c>
      <c r="G20" s="3105"/>
    </row>
    <row r="21" spans="1:13" ht="19.5" customHeight="1">
      <c r="A21" s="3798"/>
      <c r="B21" s="3791"/>
      <c r="C21" s="3106" t="s">
        <v>2443</v>
      </c>
      <c r="D21" s="3107"/>
      <c r="E21" s="3108">
        <v>1</v>
      </c>
      <c r="F21" s="3105" t="s">
        <v>2444</v>
      </c>
      <c r="G21" s="3105"/>
    </row>
    <row r="22" spans="1:13" ht="19.5" customHeight="1">
      <c r="A22" s="3798"/>
      <c r="B22" s="3791"/>
      <c r="C22" s="3106" t="s">
        <v>2445</v>
      </c>
      <c r="D22" s="3107"/>
      <c r="E22" s="3108">
        <v>0.9</v>
      </c>
      <c r="F22" s="3105" t="s">
        <v>2446</v>
      </c>
      <c r="G22" s="3105"/>
    </row>
    <row r="23" spans="1:13" ht="19.5" customHeight="1">
      <c r="A23" s="3798"/>
      <c r="B23" s="3791"/>
      <c r="C23" s="3106" t="s">
        <v>2447</v>
      </c>
      <c r="D23" s="3107"/>
      <c r="E23" s="3108">
        <v>0.9</v>
      </c>
      <c r="F23" s="3105" t="s">
        <v>2448</v>
      </c>
      <c r="G23" s="3105"/>
    </row>
    <row r="24" spans="1:13" ht="19.5" customHeight="1">
      <c r="A24" s="3798"/>
      <c r="B24" s="3791"/>
      <c r="C24" s="3106" t="s">
        <v>2449</v>
      </c>
      <c r="D24" s="3107"/>
      <c r="E24" s="3108">
        <v>0.8</v>
      </c>
      <c r="F24" s="3105" t="s">
        <v>2450</v>
      </c>
      <c r="G24" s="3105"/>
    </row>
    <row r="25" spans="1:13" ht="19.5" customHeight="1" thickBot="1">
      <c r="A25" s="3799"/>
      <c r="B25" s="3793"/>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94" t="s">
        <v>2633</v>
      </c>
      <c r="B27" s="3792" t="s">
        <v>2614</v>
      </c>
      <c r="C27" s="3102" t="s">
        <v>2454</v>
      </c>
      <c r="D27" s="3103"/>
      <c r="E27" s="3104">
        <v>1</v>
      </c>
      <c r="F27" s="3105" t="s">
        <v>2455</v>
      </c>
      <c r="G27" s="3105"/>
    </row>
    <row r="28" spans="1:13" ht="19.5" customHeight="1">
      <c r="A28" s="3795"/>
      <c r="B28" s="3791"/>
      <c r="C28" s="3106" t="s">
        <v>2456</v>
      </c>
      <c r="D28" s="3107"/>
      <c r="E28" s="3108">
        <v>1</v>
      </c>
      <c r="F28" s="3105" t="s">
        <v>2457</v>
      </c>
      <c r="G28" s="3105"/>
    </row>
    <row r="29" spans="1:13" ht="19.5" customHeight="1">
      <c r="A29" s="3795"/>
      <c r="B29" s="3791"/>
      <c r="C29" s="3106" t="s">
        <v>2458</v>
      </c>
      <c r="D29" s="3107"/>
      <c r="E29" s="3108">
        <v>0.8</v>
      </c>
      <c r="F29" s="3105" t="s">
        <v>2459</v>
      </c>
      <c r="G29" s="3105"/>
    </row>
    <row r="30" spans="1:13" ht="19.5" customHeight="1">
      <c r="A30" s="3795"/>
      <c r="B30" s="3791"/>
      <c r="C30" s="3106" t="s">
        <v>2460</v>
      </c>
      <c r="D30" s="3107"/>
      <c r="E30" s="3108">
        <v>0.8</v>
      </c>
      <c r="F30" s="3105" t="s">
        <v>2461</v>
      </c>
      <c r="G30" s="3105"/>
    </row>
    <row r="31" spans="1:13" ht="19.5" customHeight="1">
      <c r="A31" s="3795"/>
      <c r="B31" s="3791"/>
      <c r="C31" s="3106" t="s">
        <v>2462</v>
      </c>
      <c r="D31" s="3107"/>
      <c r="E31" s="3108">
        <v>0.8</v>
      </c>
      <c r="F31" s="3105" t="s">
        <v>2463</v>
      </c>
      <c r="G31" s="3105"/>
    </row>
    <row r="32" spans="1:13" ht="19.5" customHeight="1">
      <c r="A32" s="3795"/>
      <c r="B32" s="3791"/>
      <c r="C32" s="3106" t="s">
        <v>2464</v>
      </c>
      <c r="D32" s="3107"/>
      <c r="E32" s="3108">
        <v>0.7</v>
      </c>
      <c r="F32" s="3105" t="s">
        <v>2465</v>
      </c>
      <c r="G32" s="3105"/>
    </row>
    <row r="33" spans="1:7" ht="19.5" customHeight="1">
      <c r="A33" s="3795"/>
      <c r="B33" s="3791"/>
      <c r="C33" s="3106" t="s">
        <v>2466</v>
      </c>
      <c r="D33" s="3107"/>
      <c r="E33" s="3108">
        <v>0.8</v>
      </c>
      <c r="F33" s="3105" t="s">
        <v>2467</v>
      </c>
      <c r="G33" s="3105"/>
    </row>
    <row r="34" spans="1:7" ht="19.5" customHeight="1">
      <c r="A34" s="3795"/>
      <c r="B34" s="3791"/>
      <c r="C34" s="3106" t="s">
        <v>2468</v>
      </c>
      <c r="D34" s="3107"/>
      <c r="E34" s="3108">
        <v>0.6</v>
      </c>
      <c r="F34" s="3105" t="s">
        <v>2469</v>
      </c>
      <c r="G34" s="3105"/>
    </row>
    <row r="35" spans="1:7" ht="19.5" customHeight="1">
      <c r="A35" s="3795"/>
      <c r="B35" s="3791"/>
      <c r="C35" s="3106" t="s">
        <v>2470</v>
      </c>
      <c r="D35" s="3107"/>
      <c r="E35" s="3108">
        <v>0.2</v>
      </c>
      <c r="F35" s="3105" t="s">
        <v>2471</v>
      </c>
      <c r="G35" s="3105"/>
    </row>
    <row r="36" spans="1:7" ht="19.5" customHeight="1">
      <c r="A36" s="3795"/>
      <c r="B36" s="3791"/>
      <c r="C36" s="3106" t="s">
        <v>2472</v>
      </c>
      <c r="D36" s="3107"/>
      <c r="E36" s="3108">
        <v>0.2</v>
      </c>
      <c r="F36" s="3105" t="s">
        <v>2473</v>
      </c>
      <c r="G36" s="3105"/>
    </row>
    <row r="37" spans="1:7" ht="19.5" customHeight="1">
      <c r="A37" s="3795"/>
      <c r="B37" s="3789" t="s">
        <v>2634</v>
      </c>
      <c r="C37" s="3106" t="s">
        <v>2474</v>
      </c>
      <c r="D37" s="3107"/>
      <c r="E37" s="3108">
        <v>0.6</v>
      </c>
      <c r="F37" s="3105" t="s">
        <v>2475</v>
      </c>
      <c r="G37" s="3105"/>
    </row>
    <row r="38" spans="1:7" ht="19.5" customHeight="1">
      <c r="A38" s="3795"/>
      <c r="B38" s="3791"/>
      <c r="C38" s="3106" t="s">
        <v>2476</v>
      </c>
      <c r="D38" s="3107"/>
      <c r="E38" s="3108">
        <v>0.6</v>
      </c>
      <c r="F38" s="3105" t="s">
        <v>2477</v>
      </c>
      <c r="G38" s="3105"/>
    </row>
    <row r="39" spans="1:7" ht="19.5" customHeight="1" thickBot="1">
      <c r="A39" s="3796"/>
      <c r="B39" s="3793"/>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97" t="s">
        <v>2612</v>
      </c>
      <c r="B41" s="3792" t="s">
        <v>2636</v>
      </c>
      <c r="C41" s="3102" t="s">
        <v>2481</v>
      </c>
      <c r="D41" s="3103"/>
      <c r="E41" s="3104">
        <v>1</v>
      </c>
      <c r="F41" s="3105" t="s">
        <v>2482</v>
      </c>
      <c r="G41" s="3105"/>
    </row>
    <row r="42" spans="1:7" ht="19.5" customHeight="1">
      <c r="A42" s="3798"/>
      <c r="B42" s="3791"/>
      <c r="C42" s="3106" t="s">
        <v>2483</v>
      </c>
      <c r="D42" s="3107"/>
      <c r="E42" s="3108">
        <v>1</v>
      </c>
      <c r="F42" s="3105" t="s">
        <v>2484</v>
      </c>
      <c r="G42" s="3105"/>
    </row>
    <row r="43" spans="1:7" ht="19.5" customHeight="1">
      <c r="A43" s="3798"/>
      <c r="B43" s="3790"/>
      <c r="C43" s="3106" t="s">
        <v>2485</v>
      </c>
      <c r="D43" s="3107"/>
      <c r="E43" s="3108">
        <v>1.5</v>
      </c>
      <c r="F43" s="3105" t="s">
        <v>2486</v>
      </c>
      <c r="G43" s="3105"/>
    </row>
    <row r="44" spans="1:7" ht="19.5" customHeight="1">
      <c r="A44" s="3798"/>
      <c r="B44" s="3117" t="s">
        <v>2637</v>
      </c>
      <c r="C44" s="3106" t="s">
        <v>2638</v>
      </c>
      <c r="D44" s="3107"/>
      <c r="E44" s="3108">
        <v>2</v>
      </c>
      <c r="F44" s="3105" t="s">
        <v>2487</v>
      </c>
      <c r="G44" s="3105"/>
    </row>
    <row r="45" spans="1:7" ht="19.5" customHeight="1">
      <c r="A45" s="3798"/>
      <c r="B45" s="3789" t="s">
        <v>2639</v>
      </c>
      <c r="C45" s="3106" t="s">
        <v>2488</v>
      </c>
      <c r="D45" s="3107"/>
      <c r="E45" s="3108">
        <v>1</v>
      </c>
      <c r="F45" s="3105" t="s">
        <v>2489</v>
      </c>
      <c r="G45" s="3105"/>
    </row>
    <row r="46" spans="1:7" ht="19.5" customHeight="1">
      <c r="A46" s="3798"/>
      <c r="B46" s="3791"/>
      <c r="C46" s="3106" t="s">
        <v>2490</v>
      </c>
      <c r="D46" s="3107"/>
      <c r="E46" s="3108">
        <v>1</v>
      </c>
      <c r="F46" s="3105" t="s">
        <v>2491</v>
      </c>
      <c r="G46" s="3105"/>
    </row>
    <row r="47" spans="1:7" ht="19.5" customHeight="1">
      <c r="A47" s="3798"/>
      <c r="B47" s="3791"/>
      <c r="C47" s="3106" t="s">
        <v>2492</v>
      </c>
      <c r="D47" s="3107"/>
      <c r="E47" s="3108">
        <v>1</v>
      </c>
      <c r="F47" s="3105" t="s">
        <v>2493</v>
      </c>
      <c r="G47" s="3105"/>
    </row>
    <row r="48" spans="1:7" ht="19.5" customHeight="1">
      <c r="A48" s="3798"/>
      <c r="B48" s="3791"/>
      <c r="C48" s="3106" t="s">
        <v>2494</v>
      </c>
      <c r="D48" s="3107"/>
      <c r="E48" s="3108">
        <v>1</v>
      </c>
      <c r="F48" s="3105" t="s">
        <v>2495</v>
      </c>
      <c r="G48" s="3105"/>
    </row>
    <row r="49" spans="1:7" ht="19.5" customHeight="1">
      <c r="A49" s="3798"/>
      <c r="B49" s="3791"/>
      <c r="C49" s="3106" t="s">
        <v>2496</v>
      </c>
      <c r="D49" s="3107"/>
      <c r="E49" s="3108">
        <v>1</v>
      </c>
      <c r="F49" s="3105" t="s">
        <v>2497</v>
      </c>
      <c r="G49" s="3105"/>
    </row>
    <row r="50" spans="1:7" ht="19.5" customHeight="1">
      <c r="A50" s="3798"/>
      <c r="B50" s="3791"/>
      <c r="C50" s="3106" t="s">
        <v>2498</v>
      </c>
      <c r="D50" s="3107"/>
      <c r="E50" s="3108">
        <v>1</v>
      </c>
      <c r="F50" s="3105" t="s">
        <v>2499</v>
      </c>
      <c r="G50" s="3105"/>
    </row>
    <row r="51" spans="1:7" ht="19.5" customHeight="1" thickBot="1">
      <c r="A51" s="3799"/>
      <c r="B51" s="3793"/>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89" t="s">
        <v>2653</v>
      </c>
      <c r="C73" s="3091" t="s">
        <v>2654</v>
      </c>
      <c r="D73" s="3091" t="s">
        <v>2655</v>
      </c>
      <c r="E73" s="3117">
        <v>0.2</v>
      </c>
      <c r="F73" s="3117">
        <v>25</v>
      </c>
    </row>
    <row r="74" spans="1:7" ht="24">
      <c r="A74" s="3117">
        <v>2</v>
      </c>
      <c r="B74" s="3791"/>
      <c r="C74" s="3091" t="s">
        <v>2656</v>
      </c>
      <c r="D74" s="3091" t="s">
        <v>2657</v>
      </c>
      <c r="E74" s="3117">
        <v>0.2</v>
      </c>
      <c r="F74" s="3117">
        <v>25</v>
      </c>
    </row>
    <row r="75" spans="1:7" ht="24">
      <c r="A75" s="3117">
        <v>3</v>
      </c>
      <c r="B75" s="3791"/>
      <c r="C75" s="3091" t="s">
        <v>2658</v>
      </c>
      <c r="D75" s="3091" t="s">
        <v>2659</v>
      </c>
      <c r="E75" s="3117">
        <v>0.2</v>
      </c>
      <c r="F75" s="3117">
        <v>25</v>
      </c>
    </row>
    <row r="76" spans="1:7" ht="13.5">
      <c r="A76" s="3117">
        <v>4</v>
      </c>
      <c r="B76" s="3791"/>
      <c r="C76" s="3091" t="s">
        <v>2660</v>
      </c>
      <c r="D76" s="3091" t="s">
        <v>2661</v>
      </c>
      <c r="E76" s="3117">
        <v>0.15</v>
      </c>
      <c r="F76" s="3117">
        <v>20</v>
      </c>
    </row>
    <row r="77" spans="1:7" ht="24">
      <c r="A77" s="3117">
        <v>5</v>
      </c>
      <c r="B77" s="3791"/>
      <c r="C77" s="3091" t="s">
        <v>2662</v>
      </c>
      <c r="D77" s="3091" t="s">
        <v>2663</v>
      </c>
      <c r="E77" s="3117">
        <v>0.15</v>
      </c>
      <c r="F77" s="3117">
        <v>20</v>
      </c>
    </row>
    <row r="78" spans="1:7" ht="24">
      <c r="A78" s="3117">
        <v>6</v>
      </c>
      <c r="B78" s="3791"/>
      <c r="C78" s="3091" t="s">
        <v>2664</v>
      </c>
      <c r="D78" s="3091" t="s">
        <v>2665</v>
      </c>
      <c r="E78" s="3117">
        <v>0.15</v>
      </c>
      <c r="F78" s="3117">
        <v>20</v>
      </c>
    </row>
    <row r="79" spans="1:7" ht="24">
      <c r="A79" s="3117">
        <v>7</v>
      </c>
      <c r="B79" s="3791"/>
      <c r="C79" s="3091" t="s">
        <v>2666</v>
      </c>
      <c r="D79" s="3091" t="s">
        <v>2667</v>
      </c>
      <c r="E79" s="3117">
        <v>0.15</v>
      </c>
      <c r="F79" s="3117">
        <v>20</v>
      </c>
    </row>
    <row r="80" spans="1:7" ht="24">
      <c r="A80" s="3117">
        <v>8</v>
      </c>
      <c r="B80" s="3791"/>
      <c r="C80" s="3091" t="s">
        <v>2668</v>
      </c>
      <c r="D80" s="3091" t="s">
        <v>2669</v>
      </c>
      <c r="E80" s="3117">
        <v>0.1</v>
      </c>
      <c r="F80" s="3117">
        <v>15</v>
      </c>
    </row>
    <row r="81" spans="1:6" ht="24">
      <c r="A81" s="3117">
        <v>9</v>
      </c>
      <c r="B81" s="3791"/>
      <c r="C81" s="3091" t="s">
        <v>2670</v>
      </c>
      <c r="D81" s="3091" t="s">
        <v>2671</v>
      </c>
      <c r="E81" s="3117">
        <v>0.1</v>
      </c>
      <c r="F81" s="3117">
        <v>15</v>
      </c>
    </row>
    <row r="82" spans="1:6" ht="24">
      <c r="A82" s="3117">
        <v>10</v>
      </c>
      <c r="B82" s="3791"/>
      <c r="C82" s="3091" t="s">
        <v>2672</v>
      </c>
      <c r="D82" s="3091" t="s">
        <v>2673</v>
      </c>
      <c r="E82" s="3117">
        <v>0.1</v>
      </c>
      <c r="F82" s="3117">
        <v>15</v>
      </c>
    </row>
    <row r="83" spans="1:6" ht="24">
      <c r="A83" s="3117">
        <v>11</v>
      </c>
      <c r="B83" s="3791"/>
      <c r="C83" s="3091" t="s">
        <v>2674</v>
      </c>
      <c r="D83" s="3091" t="s">
        <v>2675</v>
      </c>
      <c r="E83" s="3117">
        <v>0.1</v>
      </c>
      <c r="F83" s="3117">
        <v>15</v>
      </c>
    </row>
    <row r="84" spans="1:6" ht="24">
      <c r="A84" s="3117">
        <v>12</v>
      </c>
      <c r="B84" s="3791"/>
      <c r="C84" s="3091" t="s">
        <v>2676</v>
      </c>
      <c r="D84" s="3091" t="s">
        <v>2677</v>
      </c>
      <c r="E84" s="3117">
        <v>0.1</v>
      </c>
      <c r="F84" s="3117">
        <v>15</v>
      </c>
    </row>
    <row r="85" spans="1:6" ht="13.5">
      <c r="A85" s="3117">
        <v>13</v>
      </c>
      <c r="B85" s="3791"/>
      <c r="C85" s="3091" t="s">
        <v>2678</v>
      </c>
      <c r="D85" s="3091" t="s">
        <v>2679</v>
      </c>
      <c r="E85" s="3117">
        <v>0.1</v>
      </c>
      <c r="F85" s="3117">
        <v>15</v>
      </c>
    </row>
    <row r="86" spans="1:6" ht="13.5">
      <c r="A86" s="3117">
        <v>14</v>
      </c>
      <c r="B86" s="3791"/>
      <c r="C86" s="3091" t="s">
        <v>2680</v>
      </c>
      <c r="D86" s="3091" t="s">
        <v>2681</v>
      </c>
      <c r="E86" s="3117">
        <v>0.1</v>
      </c>
      <c r="F86" s="3117">
        <v>15</v>
      </c>
    </row>
    <row r="87" spans="1:6" ht="13.5">
      <c r="A87" s="3117">
        <v>15</v>
      </c>
      <c r="B87" s="3791"/>
      <c r="C87" s="3091" t="s">
        <v>2682</v>
      </c>
      <c r="D87" s="3091" t="s">
        <v>2683</v>
      </c>
      <c r="E87" s="3117">
        <v>0.1</v>
      </c>
      <c r="F87" s="3117">
        <v>15</v>
      </c>
    </row>
    <row r="88" spans="1:6" ht="24">
      <c r="A88" s="3117">
        <v>16</v>
      </c>
      <c r="B88" s="3791"/>
      <c r="C88" s="3091" t="s">
        <v>2684</v>
      </c>
      <c r="D88" s="3091" t="s">
        <v>2685</v>
      </c>
      <c r="E88" s="3117">
        <v>0.1</v>
      </c>
      <c r="F88" s="3117">
        <v>15</v>
      </c>
    </row>
    <row r="89" spans="1:6" ht="24">
      <c r="A89" s="3117">
        <v>17</v>
      </c>
      <c r="B89" s="3790"/>
      <c r="C89" s="3091" t="s">
        <v>2686</v>
      </c>
      <c r="D89" s="3091" t="s">
        <v>2687</v>
      </c>
      <c r="E89" s="3117">
        <v>0.1</v>
      </c>
      <c r="F89" s="3117">
        <v>15</v>
      </c>
    </row>
    <row r="90" spans="1:6" ht="13.5">
      <c r="A90" s="3117">
        <v>18</v>
      </c>
      <c r="B90" s="3789" t="s">
        <v>2688</v>
      </c>
      <c r="C90" s="3091" t="s">
        <v>2689</v>
      </c>
      <c r="D90" s="3091" t="s">
        <v>2690</v>
      </c>
      <c r="E90" s="3117">
        <v>0.2</v>
      </c>
      <c r="F90" s="3117">
        <v>25</v>
      </c>
    </row>
    <row r="91" spans="1:6" ht="24">
      <c r="A91" s="3117">
        <v>19</v>
      </c>
      <c r="B91" s="3791"/>
      <c r="C91" s="3091" t="s">
        <v>2691</v>
      </c>
      <c r="D91" s="3091" t="s">
        <v>2692</v>
      </c>
      <c r="E91" s="3117">
        <v>0.2</v>
      </c>
      <c r="F91" s="3117">
        <v>25</v>
      </c>
    </row>
    <row r="92" spans="1:6" ht="13.5">
      <c r="A92" s="3117">
        <v>20</v>
      </c>
      <c r="B92" s="3791"/>
      <c r="C92" s="3091" t="s">
        <v>2693</v>
      </c>
      <c r="D92" s="3091" t="s">
        <v>2694</v>
      </c>
      <c r="E92" s="3117">
        <v>0.15</v>
      </c>
      <c r="F92" s="3117">
        <v>20</v>
      </c>
    </row>
    <row r="93" spans="1:6" ht="13.5">
      <c r="A93" s="3117">
        <v>21</v>
      </c>
      <c r="B93" s="3791"/>
      <c r="C93" s="3091" t="s">
        <v>2695</v>
      </c>
      <c r="D93" s="3091" t="s">
        <v>2696</v>
      </c>
      <c r="E93" s="3117">
        <v>0.15</v>
      </c>
      <c r="F93" s="3117">
        <v>20</v>
      </c>
    </row>
    <row r="94" spans="1:6" ht="13.5">
      <c r="A94" s="3117">
        <v>22</v>
      </c>
      <c r="B94" s="3791"/>
      <c r="C94" s="3091" t="s">
        <v>2697</v>
      </c>
      <c r="D94" s="3091" t="s">
        <v>2698</v>
      </c>
      <c r="E94" s="3117">
        <v>0.15</v>
      </c>
      <c r="F94" s="3117">
        <v>20</v>
      </c>
    </row>
    <row r="95" spans="1:6" ht="36">
      <c r="A95" s="3117">
        <v>23</v>
      </c>
      <c r="B95" s="3791"/>
      <c r="C95" s="3091" t="s">
        <v>2699</v>
      </c>
      <c r="D95" s="3091" t="s">
        <v>2700</v>
      </c>
      <c r="E95" s="3117">
        <v>0.15</v>
      </c>
      <c r="F95" s="3117">
        <v>20</v>
      </c>
    </row>
    <row r="96" spans="1:6" ht="13.5">
      <c r="A96" s="3117">
        <v>24</v>
      </c>
      <c r="B96" s="3791"/>
      <c r="C96" s="3091" t="s">
        <v>2701</v>
      </c>
      <c r="D96" s="3091" t="s">
        <v>2702</v>
      </c>
      <c r="E96" s="3117">
        <v>0.1</v>
      </c>
      <c r="F96" s="3117">
        <v>15</v>
      </c>
    </row>
    <row r="97" spans="1:6" ht="13.5">
      <c r="A97" s="3117">
        <v>25</v>
      </c>
      <c r="B97" s="3791"/>
      <c r="C97" s="3091" t="s">
        <v>2703</v>
      </c>
      <c r="D97" s="3091" t="s">
        <v>2704</v>
      </c>
      <c r="E97" s="3117">
        <v>0.1</v>
      </c>
      <c r="F97" s="3117">
        <v>15</v>
      </c>
    </row>
    <row r="98" spans="1:6" ht="24">
      <c r="A98" s="3117">
        <v>26</v>
      </c>
      <c r="B98" s="3791"/>
      <c r="C98" s="3091" t="s">
        <v>2705</v>
      </c>
      <c r="D98" s="3091" t="s">
        <v>2706</v>
      </c>
      <c r="E98" s="3117">
        <v>0.1</v>
      </c>
      <c r="F98" s="3117">
        <v>15</v>
      </c>
    </row>
    <row r="99" spans="1:6" ht="24">
      <c r="A99" s="3117">
        <v>27</v>
      </c>
      <c r="B99" s="3791"/>
      <c r="C99" s="3091" t="s">
        <v>2707</v>
      </c>
      <c r="D99" s="3091" t="s">
        <v>2708</v>
      </c>
      <c r="E99" s="3117">
        <v>0.1</v>
      </c>
      <c r="F99" s="3117">
        <v>15</v>
      </c>
    </row>
    <row r="100" spans="1:6" ht="13.5">
      <c r="A100" s="3117">
        <v>28</v>
      </c>
      <c r="B100" s="3791"/>
      <c r="C100" s="3091" t="s">
        <v>2709</v>
      </c>
      <c r="D100" s="3091" t="s">
        <v>2710</v>
      </c>
      <c r="E100" s="3117">
        <v>0.1</v>
      </c>
      <c r="F100" s="3117">
        <v>15</v>
      </c>
    </row>
    <row r="101" spans="1:6" ht="13.5">
      <c r="A101" s="3117">
        <v>29</v>
      </c>
      <c r="B101" s="3791"/>
      <c r="C101" s="3091" t="s">
        <v>2711</v>
      </c>
      <c r="D101" s="3091" t="s">
        <v>2712</v>
      </c>
      <c r="E101" s="3117">
        <v>0.1</v>
      </c>
      <c r="F101" s="3117">
        <v>15</v>
      </c>
    </row>
    <row r="102" spans="1:6" ht="13.5">
      <c r="A102" s="3117">
        <v>30</v>
      </c>
      <c r="B102" s="3791"/>
      <c r="C102" s="3091" t="s">
        <v>2713</v>
      </c>
      <c r="D102" s="3091" t="s">
        <v>2714</v>
      </c>
      <c r="E102" s="3117">
        <v>0.1</v>
      </c>
      <c r="F102" s="3117">
        <v>15</v>
      </c>
    </row>
    <row r="103" spans="1:6" ht="24">
      <c r="A103" s="3117">
        <v>31</v>
      </c>
      <c r="B103" s="3791"/>
      <c r="C103" s="3091" t="s">
        <v>2715</v>
      </c>
      <c r="D103" s="3091" t="s">
        <v>2716</v>
      </c>
      <c r="E103" s="3117">
        <v>0.1</v>
      </c>
      <c r="F103" s="3117">
        <v>15</v>
      </c>
    </row>
    <row r="104" spans="1:6" ht="24">
      <c r="A104" s="3117">
        <v>32</v>
      </c>
      <c r="B104" s="3791"/>
      <c r="C104" s="3091" t="s">
        <v>2717</v>
      </c>
      <c r="D104" s="3091" t="s">
        <v>2718</v>
      </c>
      <c r="E104" s="3117">
        <v>0.1</v>
      </c>
      <c r="F104" s="3117">
        <v>15</v>
      </c>
    </row>
    <row r="105" spans="1:6" ht="24">
      <c r="A105" s="3117">
        <v>33</v>
      </c>
      <c r="B105" s="3791"/>
      <c r="C105" s="3091" t="s">
        <v>2719</v>
      </c>
      <c r="D105" s="3091" t="s">
        <v>2720</v>
      </c>
      <c r="E105" s="3117">
        <v>0.1</v>
      </c>
      <c r="F105" s="3117">
        <v>15</v>
      </c>
    </row>
    <row r="106" spans="1:6" ht="24">
      <c r="A106" s="3117">
        <v>34</v>
      </c>
      <c r="B106" s="3790"/>
      <c r="C106" s="3091" t="s">
        <v>2721</v>
      </c>
      <c r="D106" s="3091" t="s">
        <v>2722</v>
      </c>
      <c r="E106" s="3117">
        <v>0.1</v>
      </c>
      <c r="F106" s="3117">
        <v>15</v>
      </c>
    </row>
    <row r="107" spans="1:6" ht="24">
      <c r="A107" s="3117">
        <v>35</v>
      </c>
      <c r="B107" s="3789" t="s">
        <v>2723</v>
      </c>
      <c r="C107" s="3117" t="s">
        <v>2724</v>
      </c>
      <c r="D107" s="3091" t="s">
        <v>2725</v>
      </c>
      <c r="E107" s="3117">
        <v>0.15</v>
      </c>
      <c r="F107" s="3117">
        <v>20</v>
      </c>
    </row>
    <row r="108" spans="1:6" ht="13.5">
      <c r="A108" s="3117">
        <v>36</v>
      </c>
      <c r="B108" s="3791"/>
      <c r="C108" s="3117" t="s">
        <v>2726</v>
      </c>
      <c r="D108" s="3091" t="s">
        <v>2727</v>
      </c>
      <c r="E108" s="3117">
        <v>0.15</v>
      </c>
      <c r="F108" s="3117">
        <v>20</v>
      </c>
    </row>
    <row r="109" spans="1:6" ht="13.5">
      <c r="A109" s="3117">
        <v>37</v>
      </c>
      <c r="B109" s="3791"/>
      <c r="C109" s="3117" t="s">
        <v>2728</v>
      </c>
      <c r="D109" s="3091" t="s">
        <v>2729</v>
      </c>
      <c r="E109" s="3117">
        <v>0.15</v>
      </c>
      <c r="F109" s="3117">
        <v>20</v>
      </c>
    </row>
    <row r="110" spans="1:6" ht="13.5">
      <c r="A110" s="3117">
        <v>38</v>
      </c>
      <c r="B110" s="3791"/>
      <c r="C110" s="3117" t="s">
        <v>2730</v>
      </c>
      <c r="D110" s="3091" t="s">
        <v>2731</v>
      </c>
      <c r="E110" s="3117">
        <v>0.1</v>
      </c>
      <c r="F110" s="3117">
        <v>15</v>
      </c>
    </row>
    <row r="111" spans="1:6" ht="24">
      <c r="A111" s="3117">
        <v>39</v>
      </c>
      <c r="B111" s="3791"/>
      <c r="C111" s="3117" t="s">
        <v>2732</v>
      </c>
      <c r="D111" s="3091" t="s">
        <v>2733</v>
      </c>
      <c r="E111" s="3117">
        <v>0.1</v>
      </c>
      <c r="F111" s="3117">
        <v>15</v>
      </c>
    </row>
    <row r="112" spans="1:6" ht="24">
      <c r="A112" s="3117">
        <v>40</v>
      </c>
      <c r="B112" s="3790"/>
      <c r="C112" s="3117" t="s">
        <v>2734</v>
      </c>
      <c r="D112" s="3091" t="s">
        <v>2735</v>
      </c>
      <c r="E112" s="3117">
        <v>0.1</v>
      </c>
      <c r="F112" s="3117">
        <v>15</v>
      </c>
    </row>
    <row r="113" spans="1:6" ht="13.5">
      <c r="A113" s="3117">
        <v>41</v>
      </c>
      <c r="B113" s="3788" t="s">
        <v>2736</v>
      </c>
      <c r="C113" s="3117" t="s">
        <v>2737</v>
      </c>
      <c r="D113" s="3091" t="s">
        <v>2738</v>
      </c>
      <c r="E113" s="3117">
        <v>0.1</v>
      </c>
      <c r="F113" s="3117">
        <v>15</v>
      </c>
    </row>
    <row r="114" spans="1:6" ht="13.5">
      <c r="A114" s="3117">
        <v>42</v>
      </c>
      <c r="B114" s="3788"/>
      <c r="C114" s="3117" t="s">
        <v>2739</v>
      </c>
      <c r="D114" s="3091" t="s">
        <v>2740</v>
      </c>
      <c r="E114" s="3117">
        <v>0.1</v>
      </c>
      <c r="F114" s="3117">
        <v>15</v>
      </c>
    </row>
    <row r="115" spans="1:6" ht="24">
      <c r="A115" s="3117">
        <v>43</v>
      </c>
      <c r="B115" s="3788"/>
      <c r="C115" s="3117" t="s">
        <v>2741</v>
      </c>
      <c r="D115" s="3091" t="s">
        <v>2742</v>
      </c>
      <c r="E115" s="3117">
        <v>0.1</v>
      </c>
      <c r="F115" s="3117">
        <v>15</v>
      </c>
    </row>
    <row r="116" spans="1:6" ht="13.5">
      <c r="A116" s="3117">
        <v>44</v>
      </c>
      <c r="B116" s="3789" t="s">
        <v>2743</v>
      </c>
      <c r="C116" s="3117" t="s">
        <v>2744</v>
      </c>
      <c r="D116" s="3091" t="s">
        <v>2745</v>
      </c>
      <c r="E116" s="3117">
        <v>0.1</v>
      </c>
      <c r="F116" s="3117">
        <v>15</v>
      </c>
    </row>
    <row r="117" spans="1:6" ht="24">
      <c r="A117" s="3117">
        <v>45</v>
      </c>
      <c r="B117" s="3790"/>
      <c r="C117" s="3091" t="s">
        <v>2746</v>
      </c>
      <c r="D117" s="3091" t="s">
        <v>2747</v>
      </c>
      <c r="E117" s="3117">
        <v>0.1</v>
      </c>
      <c r="F117" s="3117">
        <v>15</v>
      </c>
    </row>
    <row r="118" spans="1:6" ht="24">
      <c r="A118" s="3117">
        <v>46</v>
      </c>
      <c r="B118" s="3789" t="s">
        <v>2748</v>
      </c>
      <c r="C118" s="3117" t="s">
        <v>2749</v>
      </c>
      <c r="D118" s="3091" t="s">
        <v>2750</v>
      </c>
      <c r="E118" s="3117">
        <v>0.1</v>
      </c>
      <c r="F118" s="3117">
        <v>15</v>
      </c>
    </row>
    <row r="119" spans="1:6" ht="24">
      <c r="A119" s="3117">
        <v>47</v>
      </c>
      <c r="B119" s="3790"/>
      <c r="C119" s="3117" t="s">
        <v>2751</v>
      </c>
      <c r="D119" s="3091" t="s">
        <v>2752</v>
      </c>
      <c r="E119" s="3117">
        <v>0.1</v>
      </c>
      <c r="F119" s="3117">
        <v>15</v>
      </c>
    </row>
    <row r="120" spans="1:6" ht="13.5">
      <c r="A120" s="3117">
        <v>48</v>
      </c>
      <c r="B120" s="3789" t="s">
        <v>2753</v>
      </c>
      <c r="C120" s="3117" t="s">
        <v>2754</v>
      </c>
      <c r="D120" s="3091" t="s">
        <v>2755</v>
      </c>
      <c r="E120" s="3117">
        <v>0.1</v>
      </c>
      <c r="F120" s="3117">
        <v>15</v>
      </c>
    </row>
    <row r="121" spans="1:6" ht="13.5">
      <c r="A121" s="3117">
        <v>49</v>
      </c>
      <c r="B121" s="3790"/>
      <c r="C121" s="3117" t="s">
        <v>2756</v>
      </c>
      <c r="D121" s="3091" t="s">
        <v>2757</v>
      </c>
      <c r="E121" s="3117">
        <v>0.1</v>
      </c>
      <c r="F121" s="3117">
        <v>15</v>
      </c>
    </row>
    <row r="122" spans="1:6" ht="24">
      <c r="A122" s="3117">
        <v>50</v>
      </c>
      <c r="B122" s="3788" t="s">
        <v>2758</v>
      </c>
      <c r="C122" s="3117" t="s">
        <v>2759</v>
      </c>
      <c r="D122" s="3091" t="s">
        <v>2760</v>
      </c>
      <c r="E122" s="3117">
        <v>0.1</v>
      </c>
      <c r="F122" s="3117">
        <v>15</v>
      </c>
    </row>
    <row r="123" spans="1:6" ht="24">
      <c r="A123" s="3117">
        <v>51</v>
      </c>
      <c r="B123" s="3788"/>
      <c r="C123" s="3117" t="s">
        <v>2761</v>
      </c>
      <c r="D123" s="3091" t="s">
        <v>2762</v>
      </c>
      <c r="E123" s="3117">
        <v>0.1</v>
      </c>
      <c r="F123" s="3117">
        <v>15</v>
      </c>
    </row>
    <row r="124" spans="1:6" ht="24">
      <c r="A124" s="3117">
        <v>52</v>
      </c>
      <c r="B124" s="3788" t="s">
        <v>2763</v>
      </c>
      <c r="C124" s="3117" t="s">
        <v>2764</v>
      </c>
      <c r="D124" s="3091" t="s">
        <v>2765</v>
      </c>
      <c r="E124" s="3117">
        <v>0.1</v>
      </c>
      <c r="F124" s="3117">
        <v>15</v>
      </c>
    </row>
    <row r="125" spans="1:6" ht="24">
      <c r="A125" s="3117">
        <v>53</v>
      </c>
      <c r="B125" s="3788"/>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88" t="s">
        <v>2771</v>
      </c>
      <c r="C127" s="3117" t="s">
        <v>2772</v>
      </c>
      <c r="D127" s="3091" t="s">
        <v>2773</v>
      </c>
      <c r="E127" s="3117">
        <v>0.1</v>
      </c>
      <c r="F127" s="3117">
        <v>15</v>
      </c>
    </row>
    <row r="128" spans="1:6" ht="13.5">
      <c r="A128" s="3117">
        <v>56</v>
      </c>
      <c r="B128" s="3788"/>
      <c r="C128" s="3117" t="s">
        <v>2774</v>
      </c>
      <c r="D128" s="3091" t="s">
        <v>2775</v>
      </c>
      <c r="E128" s="3117">
        <v>0.1</v>
      </c>
      <c r="F128" s="3117">
        <v>15</v>
      </c>
    </row>
    <row r="129" spans="1:6" ht="24">
      <c r="A129" s="3117">
        <v>57</v>
      </c>
      <c r="B129" s="3788"/>
      <c r="C129" s="3117" t="s">
        <v>2776</v>
      </c>
      <c r="D129" s="3091" t="s">
        <v>2777</v>
      </c>
      <c r="E129" s="3117">
        <v>0.1</v>
      </c>
      <c r="F129" s="3117">
        <v>15</v>
      </c>
    </row>
    <row r="130" spans="1:6" ht="24">
      <c r="A130" s="3117">
        <v>58</v>
      </c>
      <c r="B130" s="3788" t="s">
        <v>2778</v>
      </c>
      <c r="C130" s="3117" t="s">
        <v>2779</v>
      </c>
      <c r="D130" s="3091" t="s">
        <v>2780</v>
      </c>
      <c r="E130" s="3117">
        <v>0.1</v>
      </c>
      <c r="F130" s="3117">
        <v>15</v>
      </c>
    </row>
    <row r="131" spans="1:6" ht="13.5">
      <c r="A131" s="3117">
        <v>59</v>
      </c>
      <c r="B131" s="3788"/>
      <c r="C131" s="3117" t="s">
        <v>2781</v>
      </c>
      <c r="D131" s="3091" t="s">
        <v>2782</v>
      </c>
      <c r="E131" s="3117">
        <v>0.1</v>
      </c>
      <c r="F131" s="3117">
        <v>15</v>
      </c>
    </row>
    <row r="132" spans="1:6" ht="13.5">
      <c r="A132" s="3117">
        <v>60</v>
      </c>
      <c r="B132" s="3789" t="s">
        <v>2783</v>
      </c>
      <c r="C132" s="3117" t="s">
        <v>2784</v>
      </c>
      <c r="D132" s="3091" t="s">
        <v>2785</v>
      </c>
      <c r="E132" s="3117">
        <v>0.1</v>
      </c>
      <c r="F132" s="3117">
        <v>15</v>
      </c>
    </row>
    <row r="133" spans="1:6" ht="13.5">
      <c r="A133" s="3117">
        <v>61</v>
      </c>
      <c r="B133" s="3790"/>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88" t="s">
        <v>2791</v>
      </c>
      <c r="C135" s="3117" t="s">
        <v>2792</v>
      </c>
      <c r="D135" s="3091" t="s">
        <v>2793</v>
      </c>
      <c r="E135" s="3117">
        <v>0.1</v>
      </c>
      <c r="F135" s="3117">
        <v>15</v>
      </c>
    </row>
    <row r="136" spans="1:6" ht="13.5">
      <c r="A136" s="3117">
        <v>64</v>
      </c>
      <c r="B136" s="3788"/>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28130</v>
      </c>
      <c r="C2" s="2" t="s">
        <v>106</v>
      </c>
      <c r="D2" s="199"/>
      <c r="E2" s="199"/>
      <c r="F2" s="199"/>
      <c r="G2" s="199"/>
    </row>
    <row r="3" spans="1:7" s="200" customFormat="1" ht="18" customHeight="1" thickBot="1">
      <c r="A3" s="203" t="s">
        <v>58</v>
      </c>
      <c r="B3" s="204">
        <f ca="1">ROUND(B2*10000/'数据-汇总表'!E3,0)</f>
        <v>3058606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2</v>
      </c>
      <c r="D10" s="844">
        <f>'数据-汇总表'!E6</f>
        <v>91.97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91.97</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41</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2</v>
      </c>
      <c r="D37" s="217">
        <f>'数据-汇总表'!E3</f>
        <v>91.97</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64" t="s">
        <v>94</v>
      </c>
    </row>
    <row r="43" spans="1:7" ht="13.5" customHeight="1">
      <c r="A43" s="779" t="s">
        <v>347</v>
      </c>
      <c r="B43" s="215" t="s">
        <v>426</v>
      </c>
      <c r="C43" s="238">
        <f ca="1">ROUND(IF('数据-取费表'!B22&lt;=1,C39*F22*'数据-取费表'!B21/2,C39*(POWER((1+F22),'数据-取费表'!B21/2)-1)),0)</f>
        <v>0</v>
      </c>
      <c r="D43" s="238"/>
      <c r="E43" s="238"/>
      <c r="F43" s="239"/>
      <c r="G43" s="3665"/>
    </row>
    <row r="44" spans="1:7" ht="13.5" customHeight="1">
      <c r="A44" s="779" t="s">
        <v>348</v>
      </c>
      <c r="B44" s="215" t="s">
        <v>428</v>
      </c>
      <c r="C44" s="238">
        <f ca="1">ROUND(IF('数据-取费表'!B22&lt;=1,C40*F22*'数据-取费表'!B21/2,C40*(POWER((1+F22),'数据-取费表'!B21/2)-1)),4)</f>
        <v>8.0000000000000004E-4</v>
      </c>
      <c r="D44" s="238"/>
      <c r="E44" s="238"/>
      <c r="F44" s="239"/>
      <c r="G44" s="3666"/>
    </row>
    <row r="45" spans="1:7" s="214" customFormat="1" ht="13.5" customHeight="1">
      <c r="A45" s="776" t="s">
        <v>341</v>
      </c>
      <c r="B45" s="244" t="s">
        <v>85</v>
      </c>
      <c r="C45" s="245">
        <f>C46</f>
        <v>7</v>
      </c>
      <c r="D45" s="235">
        <f>C47</f>
        <v>3.0000000000000001E-3</v>
      </c>
      <c r="E45" s="236" t="s">
        <v>102</v>
      </c>
      <c r="F45" s="246"/>
      <c r="G45" s="247" t="s">
        <v>434</v>
      </c>
    </row>
    <row r="46" spans="1:7" s="214" customFormat="1" ht="13.5" customHeight="1">
      <c r="A46" s="779" t="s">
        <v>349</v>
      </c>
      <c r="B46" s="248" t="s">
        <v>427</v>
      </c>
      <c r="C46" s="249">
        <f>ROUND((C33+C39)*F27,0)</f>
        <v>7</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60</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50</v>
      </c>
      <c r="D51" s="232"/>
      <c r="E51" s="232"/>
      <c r="F51" s="264"/>
      <c r="G51" s="234" t="s">
        <v>37</v>
      </c>
    </row>
    <row r="52" spans="1:7" s="208" customFormat="1" ht="16.5" thickBot="1">
      <c r="A52" s="265" t="s">
        <v>38</v>
      </c>
      <c r="B52" s="266"/>
      <c r="C52" s="267">
        <f ca="1">C31+C51</f>
        <v>28130</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v>
      </c>
      <c r="B3" s="3487"/>
      <c r="C3" s="3487"/>
      <c r="D3" s="3487"/>
      <c r="E3" s="3487"/>
    </row>
    <row r="4" spans="1:5" ht="19.5" thickBot="1">
      <c r="A4" s="1492"/>
      <c r="B4" s="3485" t="s">
        <v>917</v>
      </c>
      <c r="C4" s="3485"/>
      <c r="D4" s="3485"/>
      <c r="E4" s="1492"/>
    </row>
    <row r="5" spans="1:5" ht="16.5" thickTop="1">
      <c r="A5" s="1490"/>
      <c r="B5" s="3483" t="s">
        <v>909</v>
      </c>
      <c r="C5" s="1493" t="s">
        <v>910</v>
      </c>
      <c r="D5" s="849">
        <f ca="1">结果表!H101</f>
        <v>263</v>
      </c>
      <c r="E5" s="1490"/>
    </row>
    <row r="6" spans="1:5" ht="15.75">
      <c r="A6" s="1490"/>
      <c r="B6" s="3483"/>
      <c r="C6" s="1493" t="s">
        <v>911</v>
      </c>
      <c r="D6" s="849" t="str">
        <f ca="1">NUMBERSTRING(INT(D5*10000),2)&amp;"元整"</f>
        <v>贰佰陆拾叁万元整</v>
      </c>
      <c r="E6" s="1490"/>
    </row>
    <row r="7" spans="1:5" ht="15.75">
      <c r="A7" s="1490"/>
      <c r="B7" s="3488"/>
      <c r="C7" s="1494" t="s">
        <v>912</v>
      </c>
      <c r="D7" s="850">
        <f ca="1">结果表!H102</f>
        <v>28582</v>
      </c>
      <c r="E7" s="1490"/>
    </row>
    <row r="8" spans="1:5" ht="15.75">
      <c r="A8" s="1490"/>
      <c r="B8" s="3489" t="str">
        <f>结果表!E103</f>
        <v>2.估价师知悉的法定优先受偿款</v>
      </c>
      <c r="C8" s="1495" t="s">
        <v>913</v>
      </c>
      <c r="D8" s="850">
        <f>结果表!H103</f>
        <v>0</v>
      </c>
      <c r="E8" s="1490"/>
    </row>
    <row r="9" spans="1:5" ht="15.75">
      <c r="A9" s="1490"/>
      <c r="B9" s="3491"/>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2" t="str">
        <f>结果表!E107</f>
        <v>3.房地产抵押价值</v>
      </c>
      <c r="C13" s="1498" t="s">
        <v>910</v>
      </c>
      <c r="D13" s="852">
        <f ca="1">结果表!H107</f>
        <v>263</v>
      </c>
      <c r="E13" s="1490"/>
    </row>
    <row r="14" spans="1:5" ht="15.75">
      <c r="A14" s="1490"/>
      <c r="B14" s="3483"/>
      <c r="C14" s="1493" t="s">
        <v>911</v>
      </c>
      <c r="D14" s="849" t="str">
        <f ca="1">NUMBERSTRING(INT(D13*10000),2)&amp;"元整"</f>
        <v>贰佰陆拾叁万元整</v>
      </c>
      <c r="E14" s="1490"/>
    </row>
    <row r="15" spans="1:5" ht="15">
      <c r="A15" s="1490"/>
      <c r="B15" s="3488"/>
      <c r="C15" s="1494" t="s">
        <v>921</v>
      </c>
      <c r="D15" s="858">
        <f ca="1">结果表!H108</f>
        <v>28582</v>
      </c>
      <c r="E15" s="1490"/>
    </row>
    <row r="16" spans="1:5" ht="15">
      <c r="A16" s="1490"/>
      <c r="B16" s="3489" t="str">
        <f>结果表!E109</f>
        <v>——</v>
      </c>
      <c r="C16" s="1498" t="s">
        <v>922</v>
      </c>
      <c r="D16" s="1499" t="str">
        <f>结果表!H109</f>
        <v>——</v>
      </c>
      <c r="E16" s="1490"/>
    </row>
    <row r="17" spans="1:5" ht="15.75">
      <c r="A17" s="1490"/>
      <c r="B17" s="3490"/>
      <c r="C17" s="1493" t="s">
        <v>923</v>
      </c>
      <c r="D17" s="849" t="e">
        <f>NUMBERSTRING(INT(D16*10000),2)&amp;"元整"</f>
        <v>#VALUE!</v>
      </c>
      <c r="E17" s="1490"/>
    </row>
    <row r="18" spans="1:5" ht="15">
      <c r="A18" s="1490"/>
      <c r="B18" s="3491"/>
      <c r="C18" s="1494" t="s">
        <v>912</v>
      </c>
      <c r="D18" s="858" t="str">
        <f>结果表!H110</f>
        <v>——</v>
      </c>
      <c r="E18" s="1490"/>
    </row>
    <row r="19" spans="1:5" ht="15.75">
      <c r="A19" s="1490"/>
      <c r="B19" s="3482" t="str">
        <f>结果表!E111</f>
        <v>4.抵押净值</v>
      </c>
      <c r="C19" s="1498" t="s">
        <v>910</v>
      </c>
      <c r="D19" s="850">
        <f ca="1">结果表!H111</f>
        <v>111</v>
      </c>
      <c r="E19" s="1490"/>
    </row>
    <row r="20" spans="1:5" ht="15.75">
      <c r="A20" s="1490"/>
      <c r="B20" s="3483"/>
      <c r="C20" s="1493" t="s">
        <v>923</v>
      </c>
      <c r="D20" s="849" t="str">
        <f ca="1">NUMBERSTRING(INT(D19*10000),2)&amp;"元整"</f>
        <v>壹佰壹拾壹万元整</v>
      </c>
      <c r="E20" s="1490"/>
    </row>
    <row r="21" spans="1:5" ht="15.75" thickBot="1">
      <c r="A21" s="1490"/>
      <c r="B21" s="3484"/>
      <c r="C21" s="1500" t="s">
        <v>921</v>
      </c>
      <c r="D21" s="859">
        <f ca="1">结果表!H112</f>
        <v>12069</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2" t="s">
        <v>2847</v>
      </c>
      <c r="B1" s="3802"/>
      <c r="C1" s="3802"/>
      <c r="D1" s="3802"/>
      <c r="E1" s="3802"/>
      <c r="F1" s="3802"/>
      <c r="G1" s="3803"/>
      <c r="I1" s="3223" t="s">
        <v>2848</v>
      </c>
      <c r="J1" s="3224" t="s">
        <v>2849</v>
      </c>
      <c r="K1" s="3224" t="s">
        <v>2850</v>
      </c>
      <c r="L1" s="3224" t="s">
        <v>2851</v>
      </c>
      <c r="M1" s="3224" t="s">
        <v>2852</v>
      </c>
      <c r="N1" s="3224" t="s">
        <v>2853</v>
      </c>
      <c r="O1" s="3224" t="s">
        <v>2854</v>
      </c>
      <c r="P1" s="3224" t="s">
        <v>2855</v>
      </c>
      <c r="Q1" s="3224" t="s">
        <v>2856</v>
      </c>
      <c r="R1" s="3224" t="s">
        <v>2857</v>
      </c>
      <c r="S1" s="3224" t="s">
        <v>2858</v>
      </c>
      <c r="T1" s="3225" t="s">
        <v>2859</v>
      </c>
    </row>
    <row r="2" spans="1:20" ht="12" thickBot="1">
      <c r="A2" s="3227" t="s">
        <v>2860</v>
      </c>
      <c r="B2" s="3227"/>
      <c r="C2" s="3227"/>
      <c r="D2" s="3227"/>
      <c r="E2" s="3227"/>
      <c r="F2" s="3227"/>
      <c r="G2" s="3228" t="s">
        <v>2861</v>
      </c>
      <c r="I2" s="3229" t="s">
        <v>2862</v>
      </c>
      <c r="J2" s="3229" t="s">
        <v>2863</v>
      </c>
      <c r="K2" s="3229" t="s">
        <v>2864</v>
      </c>
      <c r="L2" s="3229" t="s">
        <v>2865</v>
      </c>
      <c r="M2" s="3229" t="s">
        <v>2866</v>
      </c>
      <c r="N2" s="3229" t="s">
        <v>2867</v>
      </c>
      <c r="O2" s="3229" t="s">
        <v>2868</v>
      </c>
      <c r="P2" s="3229" t="s">
        <v>2869</v>
      </c>
      <c r="Q2" s="3229" t="s">
        <v>2870</v>
      </c>
      <c r="R2" s="3229" t="s">
        <v>2871</v>
      </c>
      <c r="S2" s="3229" t="s">
        <v>2872</v>
      </c>
      <c r="T2" s="3229" t="s">
        <v>2873</v>
      </c>
    </row>
    <row r="3" spans="1:20" s="3235" customFormat="1">
      <c r="A3" s="3800" t="s">
        <v>2874</v>
      </c>
      <c r="B3" s="3230"/>
      <c r="C3" s="3231" t="s">
        <v>2813</v>
      </c>
      <c r="D3" s="3231" t="s">
        <v>2875</v>
      </c>
      <c r="E3" s="3231" t="s">
        <v>2815</v>
      </c>
      <c r="F3" s="3231" t="s">
        <v>2876</v>
      </c>
      <c r="G3" s="3231" t="s">
        <v>2633</v>
      </c>
      <c r="H3" s="3232"/>
      <c r="I3" s="3233" t="s">
        <v>2877</v>
      </c>
      <c r="J3" s="3234" t="s">
        <v>128</v>
      </c>
      <c r="K3" s="3234" t="s">
        <v>129</v>
      </c>
      <c r="L3" s="3233" t="s">
        <v>130</v>
      </c>
      <c r="M3" s="3233" t="s">
        <v>131</v>
      </c>
      <c r="N3" s="3233" t="s">
        <v>132</v>
      </c>
      <c r="O3" s="3233" t="s">
        <v>133</v>
      </c>
      <c r="P3" s="3233" t="s">
        <v>134</v>
      </c>
      <c r="Q3" s="3233" t="s">
        <v>135</v>
      </c>
      <c r="R3" s="3233" t="s">
        <v>136</v>
      </c>
      <c r="S3" s="3233" t="s">
        <v>2878</v>
      </c>
      <c r="T3" s="3233" t="s">
        <v>2879</v>
      </c>
    </row>
    <row r="4" spans="1:20" s="3235" customFormat="1" ht="12" thickBot="1">
      <c r="A4" s="3801"/>
      <c r="B4" s="3236" t="s">
        <v>2880</v>
      </c>
      <c r="C4" s="3236" t="s">
        <v>2881</v>
      </c>
      <c r="D4" s="3236" t="s">
        <v>2881</v>
      </c>
      <c r="E4" s="3236" t="s">
        <v>2881</v>
      </c>
      <c r="F4" s="3237" t="s">
        <v>2881</v>
      </c>
      <c r="G4" s="3237" t="s">
        <v>2881</v>
      </c>
      <c r="H4" s="3232"/>
      <c r="I4" s="3234" t="s">
        <v>137</v>
      </c>
      <c r="J4" s="3234" t="s">
        <v>111</v>
      </c>
      <c r="K4" s="3234" t="s">
        <v>138</v>
      </c>
      <c r="L4" s="3233" t="s">
        <v>139</v>
      </c>
      <c r="M4" s="3233" t="s">
        <v>140</v>
      </c>
      <c r="N4" s="3233" t="s">
        <v>141</v>
      </c>
      <c r="O4" s="3233" t="s">
        <v>142</v>
      </c>
      <c r="P4" s="3233" t="s">
        <v>143</v>
      </c>
      <c r="Q4" s="3233" t="s">
        <v>2882</v>
      </c>
      <c r="R4" s="3233" t="s">
        <v>2883</v>
      </c>
      <c r="S4" s="3233" t="s">
        <v>2884</v>
      </c>
      <c r="T4" s="3233" t="s">
        <v>2885</v>
      </c>
    </row>
    <row r="5" spans="1:20">
      <c r="A5" s="3238" t="s">
        <v>2848</v>
      </c>
      <c r="B5" s="3229" t="s">
        <v>2862</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2886</v>
      </c>
      <c r="R5" s="3233" t="s">
        <v>2887</v>
      </c>
      <c r="S5" s="3233" t="s">
        <v>153</v>
      </c>
      <c r="T5" s="3233" t="s">
        <v>2888</v>
      </c>
    </row>
    <row r="6" spans="1:20" ht="12" thickBot="1">
      <c r="A6" s="3233" t="s">
        <v>144</v>
      </c>
      <c r="B6" s="3233" t="s">
        <v>2877</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2889</v>
      </c>
      <c r="Q6" s="3233" t="s">
        <v>2890</v>
      </c>
      <c r="R6" s="3233" t="s">
        <v>161</v>
      </c>
      <c r="S6" s="3233" t="s">
        <v>2891</v>
      </c>
      <c r="T6" s="3233" t="s">
        <v>2892</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2893</v>
      </c>
      <c r="Q7" s="3233" t="s">
        <v>2894</v>
      </c>
      <c r="R7" s="3233" t="s">
        <v>2895</v>
      </c>
      <c r="S7" s="3233" t="s">
        <v>2896</v>
      </c>
      <c r="T7" s="3233" t="s">
        <v>2897</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2898</v>
      </c>
      <c r="Q8" s="3233" t="s">
        <v>174</v>
      </c>
      <c r="R8" s="3233" t="s">
        <v>2899</v>
      </c>
      <c r="S8" s="3233" t="s">
        <v>2900</v>
      </c>
      <c r="T8" s="3240" t="s">
        <v>2901</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2902</v>
      </c>
      <c r="Q9" s="3233" t="s">
        <v>182</v>
      </c>
      <c r="R9" s="3233" t="s">
        <v>183</v>
      </c>
      <c r="S9" s="3233" t="s">
        <v>200</v>
      </c>
    </row>
    <row r="10" spans="1:20">
      <c r="A10" s="3238" t="s">
        <v>184</v>
      </c>
      <c r="B10" s="3229" t="s">
        <v>2863</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2903</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2904</v>
      </c>
      <c r="P11" s="3233" t="s">
        <v>191</v>
      </c>
      <c r="Q11" s="3233" t="s">
        <v>199</v>
      </c>
      <c r="R11" s="3233" t="s">
        <v>2905</v>
      </c>
      <c r="S11" s="3233" t="s">
        <v>2906</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2907</v>
      </c>
      <c r="P12" s="3233" t="s">
        <v>2908</v>
      </c>
      <c r="Q12" s="3233" t="s">
        <v>2909</v>
      </c>
      <c r="R12" s="3233" t="s">
        <v>2910</v>
      </c>
      <c r="S12" s="3233" t="s">
        <v>2911</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2912</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2913</v>
      </c>
      <c r="K14" s="3234" t="s">
        <v>215</v>
      </c>
      <c r="L14" s="3233" t="s">
        <v>216</v>
      </c>
      <c r="M14" s="3233" t="s">
        <v>217</v>
      </c>
      <c r="N14" s="3233" t="s">
        <v>218</v>
      </c>
      <c r="O14" s="3233" t="s">
        <v>240</v>
      </c>
      <c r="P14" s="3233" t="s">
        <v>213</v>
      </c>
      <c r="Q14" s="3233" t="s">
        <v>2914</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2915</v>
      </c>
      <c r="P15" s="3233" t="s">
        <v>2916</v>
      </c>
      <c r="Q15" s="3233" t="s">
        <v>242</v>
      </c>
      <c r="R15" s="3233" t="s">
        <v>2917</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2918</v>
      </c>
      <c r="P16" s="3233" t="s">
        <v>227</v>
      </c>
      <c r="Q16" s="3233" t="s">
        <v>250</v>
      </c>
      <c r="R16" s="3233" t="s">
        <v>207</v>
      </c>
      <c r="S16" s="3233" t="s">
        <v>2919</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2920</v>
      </c>
      <c r="P17" s="3233" t="s">
        <v>2921</v>
      </c>
      <c r="Q17" s="3233" t="s">
        <v>256</v>
      </c>
      <c r="R17" s="3233" t="s">
        <v>2922</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2923</v>
      </c>
      <c r="P18" s="3233" t="s">
        <v>241</v>
      </c>
      <c r="Q18" s="3233" t="s">
        <v>2924</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2925</v>
      </c>
      <c r="P19" s="3233" t="s">
        <v>249</v>
      </c>
      <c r="Q19" s="3233" t="s">
        <v>2926</v>
      </c>
      <c r="R19" s="3233" t="s">
        <v>265</v>
      </c>
      <c r="S19" s="3233" t="s">
        <v>2927</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2928</v>
      </c>
      <c r="P20" s="3233" t="s">
        <v>2929</v>
      </c>
      <c r="Q20" s="3233" t="s">
        <v>290</v>
      </c>
      <c r="R20" s="3233" t="s">
        <v>2930</v>
      </c>
      <c r="S20" s="3233" t="s">
        <v>277</v>
      </c>
    </row>
    <row r="21" spans="1:19" ht="14.25" customHeight="1" thickBot="1">
      <c r="A21" s="3233" t="s">
        <v>184</v>
      </c>
      <c r="B21" s="3234" t="s">
        <v>208</v>
      </c>
      <c r="C21" s="3233">
        <v>32370</v>
      </c>
      <c r="D21" s="3233">
        <v>26730</v>
      </c>
      <c r="E21" s="3233">
        <v>26640</v>
      </c>
      <c r="F21" s="3233"/>
      <c r="G21" s="3233">
        <v>19440</v>
      </c>
      <c r="J21" s="3240" t="s">
        <v>2931</v>
      </c>
      <c r="K21" s="3234" t="s">
        <v>267</v>
      </c>
      <c r="L21" s="3233" t="s">
        <v>268</v>
      </c>
      <c r="M21" s="3233" t="s">
        <v>269</v>
      </c>
      <c r="N21" s="3233" t="s">
        <v>270</v>
      </c>
      <c r="O21" s="3233" t="s">
        <v>264</v>
      </c>
      <c r="P21" s="3233" t="s">
        <v>283</v>
      </c>
      <c r="Q21" s="3233" t="s">
        <v>293</v>
      </c>
      <c r="R21" s="3233" t="s">
        <v>2932</v>
      </c>
      <c r="S21" s="3240" t="s">
        <v>2933</v>
      </c>
    </row>
    <row r="22" spans="1:19" ht="14.25" customHeight="1">
      <c r="A22" s="3233" t="s">
        <v>184</v>
      </c>
      <c r="B22" s="3234" t="s">
        <v>2913</v>
      </c>
      <c r="C22" s="3233">
        <v>29830</v>
      </c>
      <c r="D22" s="3233">
        <v>27600</v>
      </c>
      <c r="E22" s="3233">
        <v>28150</v>
      </c>
      <c r="F22" s="3233"/>
      <c r="G22" s="3233">
        <v>20080</v>
      </c>
      <c r="K22" s="3234" t="s">
        <v>2934</v>
      </c>
      <c r="L22" s="3233" t="s">
        <v>272</v>
      </c>
      <c r="M22" s="3233" t="s">
        <v>273</v>
      </c>
      <c r="N22" s="3233" t="s">
        <v>274</v>
      </c>
      <c r="O22" s="3233" t="s">
        <v>2935</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2936</v>
      </c>
      <c r="L23" s="3233" t="s">
        <v>278</v>
      </c>
      <c r="M23" s="3233" t="s">
        <v>279</v>
      </c>
      <c r="N23" s="3233" t="s">
        <v>2937</v>
      </c>
      <c r="O23" s="3233" t="s">
        <v>2938</v>
      </c>
      <c r="P23" s="3233" t="s">
        <v>289</v>
      </c>
      <c r="Q23" s="3233" t="s">
        <v>298</v>
      </c>
      <c r="R23" s="3233" t="s">
        <v>2939</v>
      </c>
    </row>
    <row r="24" spans="1:19" ht="14.25" customHeight="1">
      <c r="A24" s="3233" t="s">
        <v>184</v>
      </c>
      <c r="B24" s="3234" t="s">
        <v>230</v>
      </c>
      <c r="C24" s="3233">
        <v>27930</v>
      </c>
      <c r="D24" s="3233">
        <v>32260</v>
      </c>
      <c r="E24" s="3233">
        <v>32120</v>
      </c>
      <c r="F24" s="3233"/>
      <c r="G24" s="3233">
        <v>23470</v>
      </c>
      <c r="K24" s="3234" t="s">
        <v>2940</v>
      </c>
      <c r="L24" s="3233" t="s">
        <v>281</v>
      </c>
      <c r="M24" s="3233" t="s">
        <v>282</v>
      </c>
      <c r="N24" s="3233" t="s">
        <v>2941</v>
      </c>
      <c r="O24" s="3233" t="s">
        <v>285</v>
      </c>
      <c r="P24" s="3233" t="s">
        <v>2942</v>
      </c>
      <c r="Q24" s="3242" t="s">
        <v>2943</v>
      </c>
      <c r="R24" s="3233" t="s">
        <v>2944</v>
      </c>
    </row>
    <row r="25" spans="1:19" ht="14.25" customHeight="1">
      <c r="A25" s="3233" t="s">
        <v>184</v>
      </c>
      <c r="B25" s="3234" t="s">
        <v>235</v>
      </c>
      <c r="C25" s="3233">
        <v>32230</v>
      </c>
      <c r="D25" s="3233">
        <v>29640</v>
      </c>
      <c r="E25" s="3233">
        <v>29510</v>
      </c>
      <c r="F25" s="3233"/>
      <c r="G25" s="3233">
        <v>21560</v>
      </c>
      <c r="K25" s="3234" t="s">
        <v>2945</v>
      </c>
      <c r="L25" s="3233" t="s">
        <v>2946</v>
      </c>
      <c r="M25" s="3233" t="s">
        <v>284</v>
      </c>
      <c r="N25" s="3233" t="s">
        <v>292</v>
      </c>
      <c r="O25" s="3233" t="s">
        <v>288</v>
      </c>
      <c r="P25" s="3233" t="s">
        <v>275</v>
      </c>
      <c r="Q25" s="3242" t="s">
        <v>271</v>
      </c>
      <c r="R25" s="3233" t="s">
        <v>2947</v>
      </c>
    </row>
    <row r="26" spans="1:19" ht="14.25" customHeight="1" thickBot="1">
      <c r="A26" s="3233" t="s">
        <v>184</v>
      </c>
      <c r="B26" s="3234" t="s">
        <v>244</v>
      </c>
      <c r="C26" s="3233">
        <v>31690</v>
      </c>
      <c r="D26" s="3233">
        <v>27650</v>
      </c>
      <c r="E26" s="3233">
        <v>28200</v>
      </c>
      <c r="F26" s="3233"/>
      <c r="G26" s="3233">
        <v>20110</v>
      </c>
      <c r="K26" s="3239" t="s">
        <v>2948</v>
      </c>
      <c r="L26" s="3233" t="s">
        <v>2949</v>
      </c>
      <c r="M26" s="3233" t="s">
        <v>287</v>
      </c>
      <c r="N26" s="3233" t="s">
        <v>294</v>
      </c>
      <c r="O26" s="3233" t="s">
        <v>2950</v>
      </c>
      <c r="P26" s="3233" t="s">
        <v>2951</v>
      </c>
      <c r="Q26" s="3242" t="s">
        <v>276</v>
      </c>
      <c r="R26" s="3233" t="s">
        <v>2952</v>
      </c>
    </row>
    <row r="27" spans="1:19" ht="14.25" customHeight="1">
      <c r="A27" s="3233" t="s">
        <v>184</v>
      </c>
      <c r="B27" s="3234" t="s">
        <v>251</v>
      </c>
      <c r="C27" s="3233">
        <v>29610</v>
      </c>
      <c r="D27" s="3233">
        <v>27770</v>
      </c>
      <c r="E27" s="3233">
        <v>28300</v>
      </c>
      <c r="F27" s="3233"/>
      <c r="G27" s="3233">
        <v>20210</v>
      </c>
      <c r="L27" s="3233" t="s">
        <v>2953</v>
      </c>
      <c r="M27" s="3233" t="s">
        <v>291</v>
      </c>
      <c r="N27" s="3233" t="s">
        <v>297</v>
      </c>
      <c r="O27" s="3233" t="s">
        <v>2954</v>
      </c>
      <c r="P27" s="3233" t="s">
        <v>2955</v>
      </c>
      <c r="Q27" s="3233" t="s">
        <v>2956</v>
      </c>
      <c r="R27" s="3233" t="s">
        <v>2957</v>
      </c>
    </row>
    <row r="28" spans="1:19" ht="14.25" customHeight="1">
      <c r="A28" s="3233" t="s">
        <v>184</v>
      </c>
      <c r="B28" s="3234" t="s">
        <v>259</v>
      </c>
      <c r="C28" s="3233"/>
      <c r="D28" s="3233">
        <v>31520</v>
      </c>
      <c r="E28" s="3233">
        <v>31410</v>
      </c>
      <c r="F28" s="3233"/>
      <c r="G28" s="3233">
        <v>22940</v>
      </c>
      <c r="L28" s="3233" t="s">
        <v>2958</v>
      </c>
      <c r="M28" s="3233" t="s">
        <v>2959</v>
      </c>
      <c r="N28" s="3233" t="s">
        <v>2960</v>
      </c>
      <c r="O28" s="3233" t="s">
        <v>2961</v>
      </c>
      <c r="P28" s="3233" t="s">
        <v>2962</v>
      </c>
      <c r="Q28" s="3233" t="s">
        <v>2963</v>
      </c>
      <c r="R28" s="3233" t="s">
        <v>2964</v>
      </c>
    </row>
    <row r="29" spans="1:19" ht="14.25" customHeight="1" thickBot="1">
      <c r="A29" s="3241" t="s">
        <v>184</v>
      </c>
      <c r="B29" s="3243" t="s">
        <v>2931</v>
      </c>
      <c r="C29" s="3244"/>
      <c r="D29" s="3244">
        <v>29460</v>
      </c>
      <c r="E29" s="3244">
        <v>28640</v>
      </c>
      <c r="F29" s="3244"/>
      <c r="G29" s="3244">
        <v>21430</v>
      </c>
      <c r="L29" s="3233" t="s">
        <v>2965</v>
      </c>
      <c r="M29" s="3233" t="s">
        <v>2966</v>
      </c>
      <c r="N29" s="3233" t="s">
        <v>2967</v>
      </c>
      <c r="O29" s="3233" t="s">
        <v>2968</v>
      </c>
      <c r="P29" s="3233" t="s">
        <v>2969</v>
      </c>
      <c r="Q29" s="3233" t="s">
        <v>2970</v>
      </c>
      <c r="R29" s="3233" t="s">
        <v>280</v>
      </c>
    </row>
    <row r="30" spans="1:19" ht="14.25" customHeight="1">
      <c r="A30" s="3238" t="s">
        <v>296</v>
      </c>
      <c r="B30" s="3229" t="s">
        <v>2864</v>
      </c>
      <c r="C30" s="3229">
        <v>26890</v>
      </c>
      <c r="D30" s="3229">
        <v>26770</v>
      </c>
      <c r="E30" s="3229">
        <v>25700</v>
      </c>
      <c r="F30" s="3229">
        <v>8180</v>
      </c>
      <c r="G30" s="3245">
        <v>18740</v>
      </c>
      <c r="L30" s="3233" t="s">
        <v>2971</v>
      </c>
      <c r="M30" s="3233" t="s">
        <v>2972</v>
      </c>
      <c r="N30" s="3233" t="s">
        <v>2973</v>
      </c>
      <c r="O30" s="3233" t="s">
        <v>2974</v>
      </c>
      <c r="P30" s="3233" t="s">
        <v>2975</v>
      </c>
      <c r="Q30" s="3233" t="s">
        <v>2976</v>
      </c>
      <c r="R30" s="3233" t="s">
        <v>2977</v>
      </c>
    </row>
    <row r="31" spans="1:19" ht="14.25" customHeight="1">
      <c r="A31" s="3233" t="s">
        <v>296</v>
      </c>
      <c r="B31" s="3234" t="s">
        <v>129</v>
      </c>
      <c r="C31" s="3233">
        <v>24550</v>
      </c>
      <c r="D31" s="3233">
        <v>23990</v>
      </c>
      <c r="E31" s="3233">
        <v>22930</v>
      </c>
      <c r="F31" s="3233">
        <v>7470</v>
      </c>
      <c r="G31" s="3246">
        <v>16790</v>
      </c>
      <c r="L31" s="3233" t="s">
        <v>2978</v>
      </c>
      <c r="M31" s="3233" t="s">
        <v>2979</v>
      </c>
      <c r="N31" s="3233" t="s">
        <v>2980</v>
      </c>
      <c r="O31" s="3233" t="s">
        <v>2981</v>
      </c>
      <c r="P31" s="3233" t="s">
        <v>2982</v>
      </c>
      <c r="Q31" s="3233" t="s">
        <v>2983</v>
      </c>
      <c r="R31" s="3233" t="s">
        <v>2984</v>
      </c>
    </row>
    <row r="32" spans="1:19" ht="14.25" customHeight="1" thickBot="1">
      <c r="A32" s="3233" t="s">
        <v>296</v>
      </c>
      <c r="B32" s="3234" t="s">
        <v>138</v>
      </c>
      <c r="C32" s="3233">
        <v>27210</v>
      </c>
      <c r="D32" s="3233">
        <v>23240</v>
      </c>
      <c r="E32" s="3233">
        <v>23260</v>
      </c>
      <c r="F32" s="3233">
        <v>7130</v>
      </c>
      <c r="G32" s="3246">
        <v>16270</v>
      </c>
      <c r="L32" s="3233" t="s">
        <v>2985</v>
      </c>
      <c r="M32" s="3233" t="s">
        <v>2986</v>
      </c>
      <c r="N32" s="3233" t="s">
        <v>300</v>
      </c>
      <c r="O32" s="3233" t="s">
        <v>2987</v>
      </c>
      <c r="P32" s="3233" t="s">
        <v>299</v>
      </c>
      <c r="Q32" s="3233" t="s">
        <v>2988</v>
      </c>
      <c r="R32" s="3240" t="s">
        <v>2989</v>
      </c>
    </row>
    <row r="33" spans="1:17" ht="14.25" customHeight="1" thickBot="1">
      <c r="A33" s="3233" t="s">
        <v>296</v>
      </c>
      <c r="B33" s="3234" t="s">
        <v>147</v>
      </c>
      <c r="C33" s="3233">
        <v>27300</v>
      </c>
      <c r="D33" s="3233">
        <v>22980</v>
      </c>
      <c r="E33" s="3233">
        <v>24260</v>
      </c>
      <c r="F33" s="3233">
        <v>5860</v>
      </c>
      <c r="G33" s="3246">
        <v>16090</v>
      </c>
      <c r="L33" s="3240" t="s">
        <v>2990</v>
      </c>
      <c r="M33" s="3233" t="s">
        <v>2991</v>
      </c>
      <c r="N33" s="3233" t="s">
        <v>301</v>
      </c>
      <c r="O33" s="3233" t="s">
        <v>2992</v>
      </c>
      <c r="P33" s="3233" t="s">
        <v>2993</v>
      </c>
      <c r="Q33" s="3233" t="s">
        <v>2994</v>
      </c>
    </row>
    <row r="34" spans="1:17" ht="14.25" customHeight="1">
      <c r="A34" s="3233" t="s">
        <v>296</v>
      </c>
      <c r="B34" s="3234" t="s">
        <v>156</v>
      </c>
      <c r="C34" s="3233">
        <v>23090</v>
      </c>
      <c r="D34" s="3233">
        <v>23390</v>
      </c>
      <c r="E34" s="3233">
        <v>23510</v>
      </c>
      <c r="F34" s="3233">
        <v>6700</v>
      </c>
      <c r="G34" s="3246">
        <v>16370</v>
      </c>
      <c r="M34" s="3233" t="s">
        <v>2995</v>
      </c>
      <c r="N34" s="3233" t="s">
        <v>302</v>
      </c>
      <c r="O34" s="3233" t="s">
        <v>2996</v>
      </c>
      <c r="P34" s="3233" t="s">
        <v>2997</v>
      </c>
      <c r="Q34" s="3233" t="s">
        <v>2998</v>
      </c>
    </row>
    <row r="35" spans="1:17" ht="14.25" customHeight="1">
      <c r="A35" s="3233" t="s">
        <v>296</v>
      </c>
      <c r="B35" s="3234" t="s">
        <v>163</v>
      </c>
      <c r="C35" s="3233">
        <v>27270</v>
      </c>
      <c r="D35" s="3233">
        <v>24270</v>
      </c>
      <c r="E35" s="3233">
        <v>24950</v>
      </c>
      <c r="F35" s="3233">
        <v>6600</v>
      </c>
      <c r="G35" s="3246">
        <v>16990</v>
      </c>
      <c r="M35" s="3233" t="s">
        <v>2999</v>
      </c>
      <c r="N35" s="3233" t="s">
        <v>3000</v>
      </c>
      <c r="O35" s="3233" t="s">
        <v>3001</v>
      </c>
      <c r="P35" s="3233" t="s">
        <v>3002</v>
      </c>
      <c r="Q35" s="3233" t="s">
        <v>3003</v>
      </c>
    </row>
    <row r="36" spans="1:17" ht="14.25" customHeight="1">
      <c r="A36" s="3233" t="s">
        <v>296</v>
      </c>
      <c r="B36" s="3234" t="s">
        <v>169</v>
      </c>
      <c r="C36" s="3233">
        <v>23490</v>
      </c>
      <c r="D36" s="3233">
        <v>23020</v>
      </c>
      <c r="E36" s="3233">
        <v>25230</v>
      </c>
      <c r="F36" s="3233">
        <v>6780</v>
      </c>
      <c r="G36" s="3246">
        <v>16120</v>
      </c>
      <c r="M36" s="3233" t="s">
        <v>3004</v>
      </c>
      <c r="N36" s="3233" t="s">
        <v>3005</v>
      </c>
      <c r="O36" s="3233" t="s">
        <v>3006</v>
      </c>
      <c r="P36" s="3233" t="s">
        <v>3007</v>
      </c>
      <c r="Q36" s="3233" t="s">
        <v>3008</v>
      </c>
    </row>
    <row r="37" spans="1:17" ht="14.25" customHeight="1">
      <c r="A37" s="3233" t="s">
        <v>296</v>
      </c>
      <c r="B37" s="3234" t="s">
        <v>176</v>
      </c>
      <c r="C37" s="3233">
        <v>24380</v>
      </c>
      <c r="D37" s="3233">
        <v>22240</v>
      </c>
      <c r="E37" s="3233">
        <v>25980</v>
      </c>
      <c r="F37" s="3233">
        <v>8160</v>
      </c>
      <c r="G37" s="3246">
        <v>15570</v>
      </c>
      <c r="M37" s="3233" t="s">
        <v>3009</v>
      </c>
      <c r="N37" s="3233" t="s">
        <v>3010</v>
      </c>
      <c r="O37" s="3233" t="s">
        <v>3011</v>
      </c>
      <c r="P37" s="3233" t="s">
        <v>3012</v>
      </c>
      <c r="Q37" s="3233" t="s">
        <v>3013</v>
      </c>
    </row>
    <row r="38" spans="1:17" ht="14.25" customHeight="1">
      <c r="A38" s="3233" t="s">
        <v>296</v>
      </c>
      <c r="B38" s="3234" t="s">
        <v>186</v>
      </c>
      <c r="C38" s="3233">
        <v>23120</v>
      </c>
      <c r="D38" s="3233">
        <v>24630</v>
      </c>
      <c r="E38" s="3233">
        <v>25030</v>
      </c>
      <c r="F38" s="3233">
        <v>7710</v>
      </c>
      <c r="G38" s="3246">
        <v>17240</v>
      </c>
      <c r="M38" s="3233" t="s">
        <v>3014</v>
      </c>
      <c r="N38" s="3233" t="s">
        <v>3015</v>
      </c>
      <c r="O38" s="3233" t="s">
        <v>3016</v>
      </c>
      <c r="P38" s="3233" t="s">
        <v>3017</v>
      </c>
      <c r="Q38" s="3233" t="s">
        <v>3018</v>
      </c>
    </row>
    <row r="39" spans="1:17" ht="14.25" customHeight="1">
      <c r="A39" s="3233" t="s">
        <v>296</v>
      </c>
      <c r="B39" s="3234" t="s">
        <v>195</v>
      </c>
      <c r="C39" s="3233">
        <v>22330</v>
      </c>
      <c r="D39" s="3233">
        <v>21140</v>
      </c>
      <c r="E39" s="3233">
        <v>23970</v>
      </c>
      <c r="F39" s="3233">
        <v>7940</v>
      </c>
      <c r="G39" s="3246">
        <v>14790</v>
      </c>
      <c r="M39" s="3233" t="s">
        <v>3019</v>
      </c>
      <c r="N39" s="3233" t="s">
        <v>3020</v>
      </c>
      <c r="O39" s="3233" t="s">
        <v>3021</v>
      </c>
      <c r="P39" s="3233" t="s">
        <v>3022</v>
      </c>
      <c r="Q39" s="3233" t="s">
        <v>3023</v>
      </c>
    </row>
    <row r="40" spans="1:17" ht="14.25" customHeight="1">
      <c r="A40" s="3233" t="s">
        <v>296</v>
      </c>
      <c r="B40" s="3234" t="s">
        <v>202</v>
      </c>
      <c r="C40" s="3233">
        <v>24740</v>
      </c>
      <c r="D40" s="3233">
        <v>24690</v>
      </c>
      <c r="E40" s="3233">
        <v>22610</v>
      </c>
      <c r="F40" s="3233"/>
      <c r="G40" s="3246">
        <v>17280</v>
      </c>
      <c r="M40" s="3233" t="s">
        <v>3024</v>
      </c>
      <c r="N40" s="3233" t="s">
        <v>3025</v>
      </c>
      <c r="O40" s="3233" t="s">
        <v>3026</v>
      </c>
      <c r="P40" s="3233" t="s">
        <v>3027</v>
      </c>
      <c r="Q40" s="3233" t="s">
        <v>3028</v>
      </c>
    </row>
    <row r="41" spans="1:17" ht="14.25" customHeight="1" thickBot="1">
      <c r="A41" s="3233" t="s">
        <v>296</v>
      </c>
      <c r="B41" s="3234" t="s">
        <v>209</v>
      </c>
      <c r="C41" s="3233">
        <v>21220</v>
      </c>
      <c r="D41" s="3233">
        <v>21120</v>
      </c>
      <c r="E41" s="3233">
        <v>22590</v>
      </c>
      <c r="F41" s="3233"/>
      <c r="G41" s="3246">
        <v>14780</v>
      </c>
      <c r="M41" s="3240" t="s">
        <v>3029</v>
      </c>
      <c r="N41" s="3233" t="s">
        <v>3030</v>
      </c>
      <c r="O41" s="3233" t="s">
        <v>3031</v>
      </c>
      <c r="P41" s="3233" t="s">
        <v>3032</v>
      </c>
      <c r="Q41" s="3233" t="s">
        <v>3033</v>
      </c>
    </row>
    <row r="42" spans="1:17" ht="14.25" customHeight="1">
      <c r="A42" s="3233" t="s">
        <v>296</v>
      </c>
      <c r="B42" s="3234" t="s">
        <v>215</v>
      </c>
      <c r="C42" s="3233">
        <v>24800</v>
      </c>
      <c r="D42" s="3233">
        <v>22280</v>
      </c>
      <c r="E42" s="3233">
        <v>24350</v>
      </c>
      <c r="F42" s="3233"/>
      <c r="G42" s="3246">
        <v>15590</v>
      </c>
      <c r="N42" s="3233" t="s">
        <v>3034</v>
      </c>
      <c r="O42" s="3233" t="s">
        <v>3035</v>
      </c>
      <c r="P42" s="3233" t="s">
        <v>3036</v>
      </c>
      <c r="Q42" s="3233" t="s">
        <v>3037</v>
      </c>
    </row>
    <row r="43" spans="1:17" ht="14.25" customHeight="1">
      <c r="A43" s="3233" t="s">
        <v>3038</v>
      </c>
      <c r="B43" s="3234" t="s">
        <v>223</v>
      </c>
      <c r="C43" s="3233">
        <v>21210</v>
      </c>
      <c r="D43" s="3233">
        <v>21160</v>
      </c>
      <c r="E43" s="3233">
        <v>22650</v>
      </c>
      <c r="F43" s="3233"/>
      <c r="G43" s="3246">
        <v>14800</v>
      </c>
      <c r="N43" s="3233" t="s">
        <v>3039</v>
      </c>
      <c r="O43" s="3233" t="s">
        <v>3040</v>
      </c>
      <c r="P43" s="3233" t="s">
        <v>3041</v>
      </c>
      <c r="Q43" s="3233" t="s">
        <v>3042</v>
      </c>
    </row>
    <row r="44" spans="1:17" ht="14.25" customHeight="1" thickBot="1">
      <c r="A44" s="3233" t="s">
        <v>296</v>
      </c>
      <c r="B44" s="3234" t="s">
        <v>231</v>
      </c>
      <c r="C44" s="3233">
        <v>22370</v>
      </c>
      <c r="D44" s="3233">
        <v>23140</v>
      </c>
      <c r="E44" s="3233">
        <v>25090</v>
      </c>
      <c r="F44" s="3233"/>
      <c r="G44" s="3246">
        <v>16190</v>
      </c>
      <c r="N44" s="3233" t="s">
        <v>3043</v>
      </c>
      <c r="O44" s="3233" t="s">
        <v>3044</v>
      </c>
      <c r="P44" s="3240" t="s">
        <v>3045</v>
      </c>
      <c r="Q44" s="3233" t="s">
        <v>3046</v>
      </c>
    </row>
    <row r="45" spans="1:17" ht="14.25" customHeight="1" thickBot="1">
      <c r="A45" s="3233" t="s">
        <v>296</v>
      </c>
      <c r="B45" s="3234" t="s">
        <v>236</v>
      </c>
      <c r="C45" s="3233">
        <v>21240</v>
      </c>
      <c r="D45" s="3233">
        <v>27050</v>
      </c>
      <c r="E45" s="3233">
        <v>28000</v>
      </c>
      <c r="F45" s="3233"/>
      <c r="G45" s="3246">
        <v>18940</v>
      </c>
      <c r="N45" s="3233" t="s">
        <v>3047</v>
      </c>
      <c r="O45" s="3240" t="s">
        <v>3048</v>
      </c>
      <c r="Q45" s="3233" t="s">
        <v>3049</v>
      </c>
    </row>
    <row r="46" spans="1:17" ht="14.25" customHeight="1">
      <c r="A46" s="3233" t="s">
        <v>296</v>
      </c>
      <c r="B46" s="3234" t="s">
        <v>245</v>
      </c>
      <c r="C46" s="3233">
        <v>23240</v>
      </c>
      <c r="D46" s="3233">
        <v>23000</v>
      </c>
      <c r="E46" s="3233">
        <v>24980</v>
      </c>
      <c r="F46" s="3233"/>
      <c r="G46" s="3246">
        <v>16100</v>
      </c>
      <c r="N46" s="3233" t="s">
        <v>3050</v>
      </c>
      <c r="Q46" s="3233" t="s">
        <v>3051</v>
      </c>
    </row>
    <row r="47" spans="1:17" ht="14.25" customHeight="1">
      <c r="A47" s="3233" t="s">
        <v>296</v>
      </c>
      <c r="B47" s="3234" t="s">
        <v>252</v>
      </c>
      <c r="C47" s="3233">
        <v>27150</v>
      </c>
      <c r="D47" s="3233">
        <v>23310</v>
      </c>
      <c r="E47" s="3233">
        <v>25150</v>
      </c>
      <c r="F47" s="3233"/>
      <c r="G47" s="3246">
        <v>16310</v>
      </c>
      <c r="N47" s="3233" t="s">
        <v>3052</v>
      </c>
      <c r="Q47" s="3233" t="s">
        <v>3053</v>
      </c>
    </row>
    <row r="48" spans="1:17" ht="14.25" customHeight="1">
      <c r="A48" s="3233" t="s">
        <v>296</v>
      </c>
      <c r="B48" s="3234" t="s">
        <v>260</v>
      </c>
      <c r="C48" s="3233">
        <v>23100</v>
      </c>
      <c r="D48" s="3233">
        <v>21110</v>
      </c>
      <c r="E48" s="3233">
        <v>23080</v>
      </c>
      <c r="F48" s="3233"/>
      <c r="G48" s="3246">
        <v>14780</v>
      </c>
      <c r="N48" s="3233" t="s">
        <v>3054</v>
      </c>
      <c r="Q48" s="3233" t="s">
        <v>3055</v>
      </c>
    </row>
    <row r="49" spans="1:17" ht="14.25" customHeight="1">
      <c r="A49" s="3233" t="s">
        <v>296</v>
      </c>
      <c r="B49" s="3234" t="s">
        <v>267</v>
      </c>
      <c r="C49" s="3233">
        <v>23400</v>
      </c>
      <c r="D49" s="3233">
        <v>22920</v>
      </c>
      <c r="E49" s="3233">
        <v>24900</v>
      </c>
      <c r="F49" s="3233"/>
      <c r="G49" s="3246">
        <v>16040</v>
      </c>
      <c r="N49" s="3233" t="s">
        <v>3056</v>
      </c>
      <c r="Q49" s="3233" t="s">
        <v>3057</v>
      </c>
    </row>
    <row r="50" spans="1:17" ht="14.25" customHeight="1">
      <c r="A50" s="3233" t="s">
        <v>296</v>
      </c>
      <c r="B50" s="3234" t="s">
        <v>2934</v>
      </c>
      <c r="C50" s="3233">
        <v>21200</v>
      </c>
      <c r="D50" s="3233">
        <v>26540</v>
      </c>
      <c r="E50" s="3233">
        <v>23200</v>
      </c>
      <c r="F50" s="3233"/>
      <c r="G50" s="3246">
        <v>18580</v>
      </c>
      <c r="N50" s="3233" t="s">
        <v>3058</v>
      </c>
      <c r="Q50" s="3234" t="s">
        <v>3059</v>
      </c>
    </row>
    <row r="51" spans="1:17" ht="14.25" customHeight="1" thickBot="1">
      <c r="A51" s="3233" t="s">
        <v>296</v>
      </c>
      <c r="B51" s="3234" t="s">
        <v>2936</v>
      </c>
      <c r="C51" s="3233">
        <v>23000</v>
      </c>
      <c r="D51" s="3233">
        <v>23460</v>
      </c>
      <c r="E51" s="3233">
        <v>25290</v>
      </c>
      <c r="F51" s="3233"/>
      <c r="G51" s="3246">
        <v>16420</v>
      </c>
      <c r="N51" s="3233" t="s">
        <v>3060</v>
      </c>
      <c r="Q51" s="3240" t="s">
        <v>3061</v>
      </c>
    </row>
    <row r="52" spans="1:17" ht="14.25" customHeight="1">
      <c r="A52" s="3233" t="s">
        <v>296</v>
      </c>
      <c r="B52" s="3234" t="s">
        <v>2940</v>
      </c>
      <c r="C52" s="3233">
        <v>26660</v>
      </c>
      <c r="D52" s="3233">
        <v>22350</v>
      </c>
      <c r="E52" s="3233">
        <v>22920</v>
      </c>
      <c r="F52" s="3233"/>
      <c r="G52" s="3246">
        <v>15640</v>
      </c>
      <c r="N52" s="3233" t="s">
        <v>3062</v>
      </c>
    </row>
    <row r="53" spans="1:17" ht="14.25" customHeight="1">
      <c r="A53" s="3233" t="s">
        <v>296</v>
      </c>
      <c r="B53" s="3234" t="s">
        <v>2945</v>
      </c>
      <c r="C53" s="3233">
        <v>23580</v>
      </c>
      <c r="D53" s="3233"/>
      <c r="E53" s="3233">
        <v>24280</v>
      </c>
      <c r="F53" s="3233"/>
      <c r="G53" s="3246"/>
      <c r="N53" s="3233" t="s">
        <v>3063</v>
      </c>
    </row>
    <row r="54" spans="1:17" ht="14.25" customHeight="1" thickBot="1">
      <c r="A54" s="3247" t="s">
        <v>296</v>
      </c>
      <c r="B54" s="3239" t="s">
        <v>2948</v>
      </c>
      <c r="C54" s="3240">
        <v>22460</v>
      </c>
      <c r="D54" s="3240"/>
      <c r="E54" s="3240"/>
      <c r="F54" s="3240"/>
      <c r="G54" s="3248"/>
      <c r="N54" s="3233" t="s">
        <v>3064</v>
      </c>
    </row>
    <row r="55" spans="1:17" ht="14.25" customHeight="1">
      <c r="A55" s="3238" t="s">
        <v>110</v>
      </c>
      <c r="B55" s="3229" t="s">
        <v>3065</v>
      </c>
      <c r="C55" s="3233">
        <v>21970</v>
      </c>
      <c r="D55" s="3233">
        <v>20370</v>
      </c>
      <c r="E55" s="3233">
        <v>20180</v>
      </c>
      <c r="F55" s="3233">
        <v>5730</v>
      </c>
      <c r="G55" s="3233">
        <v>13820</v>
      </c>
      <c r="N55" s="3233" t="s">
        <v>3066</v>
      </c>
    </row>
    <row r="56" spans="1:17" ht="14.25" customHeight="1">
      <c r="A56" s="3233" t="s">
        <v>110</v>
      </c>
      <c r="B56" s="3233" t="s">
        <v>130</v>
      </c>
      <c r="C56" s="3233">
        <v>20470</v>
      </c>
      <c r="D56" s="3233">
        <v>20700</v>
      </c>
      <c r="E56" s="3233">
        <v>20380</v>
      </c>
      <c r="F56" s="3233">
        <v>4760</v>
      </c>
      <c r="G56" s="3233">
        <v>14050</v>
      </c>
      <c r="N56" s="3233" t="s">
        <v>3067</v>
      </c>
    </row>
    <row r="57" spans="1:17" ht="14.25" customHeight="1">
      <c r="A57" s="3233" t="s">
        <v>110</v>
      </c>
      <c r="B57" s="3233" t="s">
        <v>139</v>
      </c>
      <c r="C57" s="3233">
        <v>20790</v>
      </c>
      <c r="D57" s="3233">
        <v>21370</v>
      </c>
      <c r="E57" s="3233">
        <v>20890</v>
      </c>
      <c r="F57" s="3233">
        <v>4910</v>
      </c>
      <c r="G57" s="3233">
        <v>14510</v>
      </c>
      <c r="N57" s="3233" t="s">
        <v>3068</v>
      </c>
    </row>
    <row r="58" spans="1:17" ht="14.25" customHeight="1">
      <c r="A58" s="3233" t="s">
        <v>110</v>
      </c>
      <c r="B58" s="3233" t="s">
        <v>148</v>
      </c>
      <c r="C58" s="3233">
        <v>21460</v>
      </c>
      <c r="D58" s="3233">
        <v>20920</v>
      </c>
      <c r="E58" s="3233">
        <v>23410</v>
      </c>
      <c r="F58" s="3233">
        <v>5100</v>
      </c>
      <c r="G58" s="3233">
        <v>14200</v>
      </c>
      <c r="N58" s="3233" t="s">
        <v>3069</v>
      </c>
    </row>
    <row r="59" spans="1:17" ht="14.25" customHeight="1">
      <c r="A59" s="3233" t="s">
        <v>110</v>
      </c>
      <c r="B59" s="3233" t="s">
        <v>157</v>
      </c>
      <c r="C59" s="3233">
        <v>21000</v>
      </c>
      <c r="D59" s="3233">
        <v>21550</v>
      </c>
      <c r="E59" s="3233">
        <v>21150</v>
      </c>
      <c r="F59" s="3233">
        <v>5250</v>
      </c>
      <c r="G59" s="3233">
        <v>14630</v>
      </c>
      <c r="N59" s="3233" t="s">
        <v>3070</v>
      </c>
    </row>
    <row r="60" spans="1:17" ht="14.25" customHeight="1">
      <c r="A60" s="3233" t="s">
        <v>110</v>
      </c>
      <c r="B60" s="3233" t="s">
        <v>164</v>
      </c>
      <c r="C60" s="3233">
        <v>21640</v>
      </c>
      <c r="D60" s="3233">
        <v>21260</v>
      </c>
      <c r="E60" s="3233">
        <v>24040</v>
      </c>
      <c r="F60" s="3233">
        <v>4470</v>
      </c>
      <c r="G60" s="3233">
        <v>14430</v>
      </c>
      <c r="N60" s="3233" t="s">
        <v>3071</v>
      </c>
    </row>
    <row r="61" spans="1:17" ht="14.25" customHeight="1">
      <c r="A61" s="3233" t="s">
        <v>110</v>
      </c>
      <c r="B61" s="3233" t="s">
        <v>170</v>
      </c>
      <c r="C61" s="3233">
        <v>21330</v>
      </c>
      <c r="D61" s="3233">
        <v>18640</v>
      </c>
      <c r="E61" s="3233">
        <v>21190</v>
      </c>
      <c r="F61" s="3233">
        <v>4180</v>
      </c>
      <c r="G61" s="3233">
        <v>12650</v>
      </c>
      <c r="N61" s="3233" t="s">
        <v>3072</v>
      </c>
    </row>
    <row r="62" spans="1:17" ht="14.25" customHeight="1">
      <c r="A62" s="3233" t="s">
        <v>110</v>
      </c>
      <c r="B62" s="3233" t="s">
        <v>177</v>
      </c>
      <c r="C62" s="3233">
        <v>18710</v>
      </c>
      <c r="D62" s="3233">
        <v>19400</v>
      </c>
      <c r="E62" s="3233">
        <v>23750</v>
      </c>
      <c r="F62" s="3233">
        <v>4860</v>
      </c>
      <c r="G62" s="3233">
        <v>13170</v>
      </c>
      <c r="N62" s="3233" t="s">
        <v>3073</v>
      </c>
    </row>
    <row r="63" spans="1:17" ht="14.25" customHeight="1">
      <c r="A63" s="3233" t="s">
        <v>110</v>
      </c>
      <c r="B63" s="3233" t="s">
        <v>187</v>
      </c>
      <c r="C63" s="3233">
        <v>19480</v>
      </c>
      <c r="D63" s="3233">
        <v>16830</v>
      </c>
      <c r="E63" s="3233">
        <v>21590</v>
      </c>
      <c r="F63" s="3233">
        <v>4560</v>
      </c>
      <c r="G63" s="3233">
        <v>11420</v>
      </c>
      <c r="N63" s="3233" t="s">
        <v>3074</v>
      </c>
    </row>
    <row r="64" spans="1:17" ht="14.25" customHeight="1" thickBot="1">
      <c r="A64" s="3233" t="s">
        <v>110</v>
      </c>
      <c r="B64" s="3233" t="s">
        <v>196</v>
      </c>
      <c r="C64" s="3233">
        <v>16920</v>
      </c>
      <c r="D64" s="3233">
        <v>19190</v>
      </c>
      <c r="E64" s="3233">
        <v>22200</v>
      </c>
      <c r="F64" s="3233">
        <v>4390</v>
      </c>
      <c r="G64" s="3233">
        <v>13030</v>
      </c>
      <c r="N64" s="3240" t="s">
        <v>3075</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2946</v>
      </c>
      <c r="C78" s="3233">
        <v>19820</v>
      </c>
      <c r="D78" s="3233">
        <v>19780</v>
      </c>
      <c r="E78" s="3233">
        <v>18560</v>
      </c>
      <c r="F78" s="3233"/>
      <c r="G78" s="3233">
        <v>13430</v>
      </c>
    </row>
    <row r="79" spans="1:7" s="3222" customFormat="1" ht="14.25" customHeight="1">
      <c r="A79" s="3233" t="s">
        <v>110</v>
      </c>
      <c r="B79" s="3233" t="s">
        <v>2949</v>
      </c>
      <c r="C79" s="3233">
        <v>21660</v>
      </c>
      <c r="D79" s="3233">
        <v>18000</v>
      </c>
      <c r="E79" s="3233">
        <v>22570</v>
      </c>
      <c r="F79" s="3233"/>
      <c r="G79" s="3233">
        <v>12220</v>
      </c>
    </row>
    <row r="80" spans="1:7" s="3222" customFormat="1" ht="14.25" customHeight="1">
      <c r="A80" s="3233" t="s">
        <v>110</v>
      </c>
      <c r="B80" s="3233" t="s">
        <v>2953</v>
      </c>
      <c r="C80" s="3233">
        <v>19850</v>
      </c>
      <c r="D80" s="3233"/>
      <c r="E80" s="3233">
        <v>21700</v>
      </c>
      <c r="F80" s="3233"/>
      <c r="G80" s="3233"/>
    </row>
    <row r="81" spans="1:7" s="3222" customFormat="1" ht="14.25" customHeight="1">
      <c r="A81" s="3233" t="s">
        <v>110</v>
      </c>
      <c r="B81" s="3233" t="s">
        <v>2958</v>
      </c>
      <c r="C81" s="3233">
        <v>18080</v>
      </c>
      <c r="D81" s="3233"/>
      <c r="E81" s="3233">
        <v>20900</v>
      </c>
      <c r="F81" s="3233"/>
      <c r="G81" s="3233"/>
    </row>
    <row r="82" spans="1:7" s="3222" customFormat="1" ht="14.25" customHeight="1">
      <c r="A82" s="3233" t="s">
        <v>110</v>
      </c>
      <c r="B82" s="3233" t="s">
        <v>2965</v>
      </c>
      <c r="C82" s="3233"/>
      <c r="D82" s="3233"/>
      <c r="E82" s="3233">
        <v>20840</v>
      </c>
      <c r="F82" s="3233"/>
      <c r="G82" s="3233"/>
    </row>
    <row r="83" spans="1:7" s="3222" customFormat="1" ht="14.25" customHeight="1">
      <c r="A83" s="3233" t="s">
        <v>110</v>
      </c>
      <c r="B83" s="3233" t="s">
        <v>3076</v>
      </c>
      <c r="C83" s="3233"/>
      <c r="D83" s="3233"/>
      <c r="E83" s="3233"/>
      <c r="F83" s="3233">
        <v>4770</v>
      </c>
      <c r="G83" s="3233"/>
    </row>
    <row r="84" spans="1:7" s="3222" customFormat="1" ht="14.25" customHeight="1">
      <c r="A84" s="3233" t="s">
        <v>110</v>
      </c>
      <c r="B84" s="3233" t="s">
        <v>3077</v>
      </c>
      <c r="C84" s="3233"/>
      <c r="D84" s="3233"/>
      <c r="E84" s="3233"/>
      <c r="F84" s="3233">
        <v>4600</v>
      </c>
      <c r="G84" s="3233"/>
    </row>
    <row r="85" spans="1:7" s="3222" customFormat="1" ht="14.25" customHeight="1">
      <c r="A85" s="3233" t="s">
        <v>110</v>
      </c>
      <c r="B85" s="3233" t="s">
        <v>3078</v>
      </c>
      <c r="C85" s="3233"/>
      <c r="D85" s="3233"/>
      <c r="E85" s="3233"/>
      <c r="F85" s="3233">
        <v>4680</v>
      </c>
      <c r="G85" s="3233"/>
    </row>
    <row r="86" spans="1:7" s="3222" customFormat="1" ht="14.25" customHeight="1" thickBot="1">
      <c r="A86" s="3241" t="s">
        <v>110</v>
      </c>
      <c r="B86" s="3243" t="s">
        <v>3079</v>
      </c>
      <c r="C86" s="3244">
        <v>16610</v>
      </c>
      <c r="D86" s="3244">
        <v>16540</v>
      </c>
      <c r="E86" s="3244">
        <v>18850</v>
      </c>
      <c r="F86" s="3244"/>
      <c r="G86" s="3244">
        <v>11220</v>
      </c>
    </row>
    <row r="87" spans="1:7" s="3222" customFormat="1" ht="14.25" customHeight="1">
      <c r="A87" s="3238" t="s">
        <v>303</v>
      </c>
      <c r="B87" s="3229" t="s">
        <v>3080</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2959</v>
      </c>
      <c r="C113" s="3233">
        <v>15520</v>
      </c>
      <c r="D113" s="3233">
        <v>15450</v>
      </c>
      <c r="E113" s="3233"/>
      <c r="F113" s="3233"/>
      <c r="G113" s="3246">
        <v>10210</v>
      </c>
    </row>
    <row r="114" spans="1:7" s="3222" customFormat="1" ht="14.25" customHeight="1">
      <c r="A114" s="3233" t="s">
        <v>303</v>
      </c>
      <c r="B114" s="3233" t="s">
        <v>2966</v>
      </c>
      <c r="C114" s="3233">
        <v>13110</v>
      </c>
      <c r="D114" s="3233">
        <v>13050</v>
      </c>
      <c r="E114" s="3233"/>
      <c r="F114" s="3233"/>
      <c r="G114" s="3246">
        <v>8620</v>
      </c>
    </row>
    <row r="115" spans="1:7" s="3222" customFormat="1" ht="14.25" customHeight="1">
      <c r="A115" s="3233" t="s">
        <v>303</v>
      </c>
      <c r="B115" s="3233" t="s">
        <v>2972</v>
      </c>
      <c r="C115" s="3233">
        <v>12460</v>
      </c>
      <c r="D115" s="3233">
        <v>12390</v>
      </c>
      <c r="E115" s="3233"/>
      <c r="F115" s="3233"/>
      <c r="G115" s="3246">
        <v>8190</v>
      </c>
    </row>
    <row r="116" spans="1:7" s="3222" customFormat="1" ht="14.25" customHeight="1">
      <c r="A116" s="3233" t="s">
        <v>303</v>
      </c>
      <c r="B116" s="3233" t="s">
        <v>2979</v>
      </c>
      <c r="C116" s="3233">
        <v>13580</v>
      </c>
      <c r="D116" s="3233">
        <v>13520</v>
      </c>
      <c r="E116" s="3233"/>
      <c r="F116" s="3233"/>
      <c r="G116" s="3246">
        <v>8930</v>
      </c>
    </row>
    <row r="117" spans="1:7" s="3222" customFormat="1" ht="14.25" customHeight="1">
      <c r="A117" s="3233" t="s">
        <v>303</v>
      </c>
      <c r="B117" s="3233" t="s">
        <v>2986</v>
      </c>
      <c r="C117" s="3233">
        <v>17120</v>
      </c>
      <c r="D117" s="3233">
        <v>17040</v>
      </c>
      <c r="E117" s="3233"/>
      <c r="F117" s="3233"/>
      <c r="G117" s="3246">
        <v>11260</v>
      </c>
    </row>
    <row r="118" spans="1:7" s="3222" customFormat="1" ht="14.25" customHeight="1">
      <c r="A118" s="3233" t="s">
        <v>303</v>
      </c>
      <c r="B118" s="3233" t="s">
        <v>2991</v>
      </c>
      <c r="C118" s="3233">
        <v>14860</v>
      </c>
      <c r="D118" s="3233">
        <v>14790</v>
      </c>
      <c r="E118" s="3233"/>
      <c r="F118" s="3233"/>
      <c r="G118" s="3246">
        <v>9780</v>
      </c>
    </row>
    <row r="119" spans="1:7" s="3222" customFormat="1" ht="14.25" customHeight="1">
      <c r="A119" s="3233" t="s">
        <v>303</v>
      </c>
      <c r="B119" s="3233" t="s">
        <v>2995</v>
      </c>
      <c r="C119" s="3233">
        <v>16470</v>
      </c>
      <c r="D119" s="3233">
        <v>16400</v>
      </c>
      <c r="E119" s="3233"/>
      <c r="F119" s="3233"/>
      <c r="G119" s="3246">
        <v>10840</v>
      </c>
    </row>
    <row r="120" spans="1:7" s="3222" customFormat="1" ht="14.25" customHeight="1">
      <c r="A120" s="3233" t="s">
        <v>303</v>
      </c>
      <c r="B120" s="3233" t="s">
        <v>3081</v>
      </c>
      <c r="C120" s="3233"/>
      <c r="D120" s="3233"/>
      <c r="E120" s="3233"/>
      <c r="F120" s="3233">
        <v>4160</v>
      </c>
      <c r="G120" s="3246"/>
    </row>
    <row r="121" spans="1:7" s="3222" customFormat="1" ht="14.25" customHeight="1">
      <c r="A121" s="3233" t="s">
        <v>303</v>
      </c>
      <c r="B121" s="3233" t="s">
        <v>3082</v>
      </c>
      <c r="C121" s="3233"/>
      <c r="D121" s="3233"/>
      <c r="E121" s="3233"/>
      <c r="F121" s="3233">
        <v>3880</v>
      </c>
      <c r="G121" s="3246"/>
    </row>
    <row r="122" spans="1:7" s="3222" customFormat="1" ht="14.25" customHeight="1">
      <c r="A122" s="3233" t="s">
        <v>303</v>
      </c>
      <c r="B122" s="3233" t="s">
        <v>3083</v>
      </c>
      <c r="C122" s="3233">
        <v>13750</v>
      </c>
      <c r="D122" s="3233">
        <v>13680</v>
      </c>
      <c r="E122" s="3233">
        <v>16460</v>
      </c>
      <c r="F122" s="3233">
        <v>2880</v>
      </c>
      <c r="G122" s="3246">
        <v>9040</v>
      </c>
    </row>
    <row r="123" spans="1:7" s="3222" customFormat="1" ht="14.25" customHeight="1">
      <c r="A123" s="3233" t="s">
        <v>303</v>
      </c>
      <c r="B123" s="3233" t="s">
        <v>3014</v>
      </c>
      <c r="C123" s="3233">
        <v>13590</v>
      </c>
      <c r="D123" s="3233">
        <v>13520</v>
      </c>
      <c r="E123" s="3233">
        <v>16290</v>
      </c>
      <c r="F123" s="3233">
        <v>2790</v>
      </c>
      <c r="G123" s="3246">
        <v>8930</v>
      </c>
    </row>
    <row r="124" spans="1:7" s="3222" customFormat="1" ht="14.25" customHeight="1">
      <c r="A124" s="3233" t="s">
        <v>303</v>
      </c>
      <c r="B124" s="3233" t="s">
        <v>3019</v>
      </c>
      <c r="C124" s="3233">
        <v>13400</v>
      </c>
      <c r="D124" s="3233">
        <v>13320</v>
      </c>
      <c r="E124" s="3233">
        <v>16100</v>
      </c>
      <c r="F124" s="3233">
        <v>2320</v>
      </c>
      <c r="G124" s="3246">
        <v>8800</v>
      </c>
    </row>
    <row r="125" spans="1:7" s="3222" customFormat="1" ht="14.25" customHeight="1">
      <c r="A125" s="3233" t="s">
        <v>303</v>
      </c>
      <c r="B125" s="3233" t="s">
        <v>3024</v>
      </c>
      <c r="C125" s="3233">
        <v>12860</v>
      </c>
      <c r="D125" s="3233">
        <v>12790</v>
      </c>
      <c r="E125" s="3233">
        <v>15370</v>
      </c>
      <c r="F125" s="3233">
        <v>2280</v>
      </c>
      <c r="G125" s="3246">
        <v>8450</v>
      </c>
    </row>
    <row r="126" spans="1:7" s="3222" customFormat="1" ht="14.25" customHeight="1" thickBot="1">
      <c r="A126" s="3247" t="s">
        <v>303</v>
      </c>
      <c r="B126" s="3240" t="s">
        <v>3029</v>
      </c>
      <c r="C126" s="3240">
        <v>12960</v>
      </c>
      <c r="D126" s="3240">
        <v>12890</v>
      </c>
      <c r="E126" s="3240">
        <v>15530</v>
      </c>
      <c r="F126" s="3240">
        <v>2910</v>
      </c>
      <c r="G126" s="3248">
        <v>8520</v>
      </c>
    </row>
    <row r="127" spans="1:7" s="3222" customFormat="1" ht="14.25" customHeight="1">
      <c r="A127" s="3238" t="s">
        <v>29</v>
      </c>
      <c r="B127" s="3229" t="s">
        <v>3084</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3085</v>
      </c>
      <c r="C148" s="3233">
        <v>10370</v>
      </c>
      <c r="D148" s="3233">
        <v>10310</v>
      </c>
      <c r="E148" s="3233">
        <v>12970</v>
      </c>
      <c r="F148" s="3233"/>
      <c r="G148" s="3233">
        <v>6630</v>
      </c>
    </row>
    <row r="149" spans="1:7" s="3222" customFormat="1" ht="14.25" customHeight="1">
      <c r="A149" s="3233" t="s">
        <v>29</v>
      </c>
      <c r="B149" s="3233" t="s">
        <v>3086</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2960</v>
      </c>
      <c r="C153" s="3233">
        <v>10880</v>
      </c>
      <c r="D153" s="3233">
        <v>10820</v>
      </c>
      <c r="E153" s="3233">
        <v>13660</v>
      </c>
      <c r="F153" s="3233">
        <v>2260</v>
      </c>
      <c r="G153" s="3233">
        <v>6970</v>
      </c>
    </row>
    <row r="154" spans="1:7" s="3222" customFormat="1" ht="14.25" customHeight="1">
      <c r="A154" s="3233" t="s">
        <v>29</v>
      </c>
      <c r="B154" s="3233" t="s">
        <v>3087</v>
      </c>
      <c r="C154" s="3233">
        <v>11220</v>
      </c>
      <c r="D154" s="3233">
        <v>11160</v>
      </c>
      <c r="E154" s="3233">
        <v>14130</v>
      </c>
      <c r="F154" s="3233">
        <v>2230</v>
      </c>
      <c r="G154" s="3233">
        <v>7180</v>
      </c>
    </row>
    <row r="155" spans="1:7" s="3222" customFormat="1" ht="14.25" customHeight="1">
      <c r="A155" s="3233" t="s">
        <v>29</v>
      </c>
      <c r="B155" s="3233" t="s">
        <v>2973</v>
      </c>
      <c r="C155" s="3233">
        <v>10430</v>
      </c>
      <c r="D155" s="3233">
        <v>10380</v>
      </c>
      <c r="E155" s="3233">
        <v>13140</v>
      </c>
      <c r="F155" s="3233">
        <v>2080</v>
      </c>
      <c r="G155" s="3233">
        <v>6650</v>
      </c>
    </row>
    <row r="156" spans="1:7" s="3222" customFormat="1" ht="14.25" customHeight="1">
      <c r="A156" s="3233" t="s">
        <v>29</v>
      </c>
      <c r="B156" s="3233" t="s">
        <v>3088</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3089</v>
      </c>
      <c r="C160" s="3233">
        <v>11180</v>
      </c>
      <c r="D160" s="3233">
        <v>11140</v>
      </c>
      <c r="E160" s="3233">
        <v>14050</v>
      </c>
      <c r="F160" s="3233">
        <v>2270</v>
      </c>
      <c r="G160" s="3233">
        <v>7170</v>
      </c>
    </row>
    <row r="161" spans="1:7" s="3222" customFormat="1" ht="14.25" customHeight="1">
      <c r="A161" s="3233" t="s">
        <v>29</v>
      </c>
      <c r="B161" s="3233" t="s">
        <v>3005</v>
      </c>
      <c r="C161" s="3233">
        <v>11160</v>
      </c>
      <c r="D161" s="3233">
        <v>11120</v>
      </c>
      <c r="E161" s="3233">
        <v>14020</v>
      </c>
      <c r="F161" s="3233">
        <v>2150</v>
      </c>
      <c r="G161" s="3233">
        <v>7160</v>
      </c>
    </row>
    <row r="162" spans="1:7" s="3222" customFormat="1" ht="14.25" customHeight="1">
      <c r="A162" s="3233" t="s">
        <v>29</v>
      </c>
      <c r="B162" s="3233" t="s">
        <v>3010</v>
      </c>
      <c r="C162" s="3233">
        <v>9620</v>
      </c>
      <c r="D162" s="3233">
        <v>9570</v>
      </c>
      <c r="E162" s="3233">
        <v>12320</v>
      </c>
      <c r="F162" s="3233">
        <v>2010</v>
      </c>
      <c r="G162" s="3233">
        <v>6160</v>
      </c>
    </row>
    <row r="163" spans="1:7" s="3222" customFormat="1" ht="14.25" customHeight="1">
      <c r="A163" s="3233" t="s">
        <v>29</v>
      </c>
      <c r="B163" s="3233" t="s">
        <v>3015</v>
      </c>
      <c r="C163" s="3233">
        <v>9320</v>
      </c>
      <c r="D163" s="3233">
        <v>9270</v>
      </c>
      <c r="E163" s="3233">
        <v>11790</v>
      </c>
      <c r="F163" s="3233">
        <v>1920</v>
      </c>
      <c r="G163" s="3233">
        <v>5960</v>
      </c>
    </row>
    <row r="164" spans="1:7" s="3222" customFormat="1" ht="14.25" customHeight="1">
      <c r="A164" s="3233" t="s">
        <v>29</v>
      </c>
      <c r="B164" s="3233" t="s">
        <v>3020</v>
      </c>
      <c r="C164" s="3233"/>
      <c r="D164" s="3233"/>
      <c r="E164" s="3233"/>
      <c r="F164" s="3233">
        <v>1980</v>
      </c>
      <c r="G164" s="3233"/>
    </row>
    <row r="165" spans="1:7" s="3222" customFormat="1" ht="14.25" customHeight="1">
      <c r="A165" s="3233" t="s">
        <v>29</v>
      </c>
      <c r="B165" s="3233" t="s">
        <v>3090</v>
      </c>
      <c r="C165" s="3233">
        <v>11060</v>
      </c>
      <c r="D165" s="3233">
        <v>11030</v>
      </c>
      <c r="E165" s="3233">
        <v>13850</v>
      </c>
      <c r="F165" s="3233">
        <v>2170</v>
      </c>
      <c r="G165" s="3233">
        <v>7090</v>
      </c>
    </row>
    <row r="166" spans="1:7" s="3222" customFormat="1" ht="14.25" customHeight="1">
      <c r="A166" s="3233" t="s">
        <v>29</v>
      </c>
      <c r="B166" s="3233" t="s">
        <v>3030</v>
      </c>
      <c r="C166" s="3233">
        <v>11050</v>
      </c>
      <c r="D166" s="3233">
        <v>11010</v>
      </c>
      <c r="E166" s="3233">
        <v>13920</v>
      </c>
      <c r="F166" s="3233">
        <v>2140</v>
      </c>
      <c r="G166" s="3233">
        <v>7080</v>
      </c>
    </row>
    <row r="167" spans="1:7" s="3222" customFormat="1" ht="14.25" customHeight="1">
      <c r="A167" s="3233" t="s">
        <v>29</v>
      </c>
      <c r="B167" s="3233" t="s">
        <v>3034</v>
      </c>
      <c r="C167" s="3233">
        <v>10930</v>
      </c>
      <c r="D167" s="3233">
        <v>10890</v>
      </c>
      <c r="E167" s="3233">
        <v>13790</v>
      </c>
      <c r="F167" s="3233">
        <v>2010</v>
      </c>
      <c r="G167" s="3233">
        <v>7000</v>
      </c>
    </row>
    <row r="168" spans="1:7" s="3222" customFormat="1" ht="14.25" customHeight="1">
      <c r="A168" s="3233" t="s">
        <v>29</v>
      </c>
      <c r="B168" s="3233" t="s">
        <v>3039</v>
      </c>
      <c r="C168" s="3233">
        <v>9420</v>
      </c>
      <c r="D168" s="3233">
        <v>9380</v>
      </c>
      <c r="E168" s="3233">
        <v>11970</v>
      </c>
      <c r="F168" s="3233"/>
      <c r="G168" s="3233">
        <v>6040</v>
      </c>
    </row>
    <row r="169" spans="1:7" s="3222" customFormat="1" ht="14.25" customHeight="1">
      <c r="A169" s="3233" t="s">
        <v>29</v>
      </c>
      <c r="B169" s="3233" t="s">
        <v>3091</v>
      </c>
      <c r="C169" s="3233"/>
      <c r="D169" s="3233"/>
      <c r="E169" s="3233"/>
      <c r="F169" s="3233">
        <v>2880</v>
      </c>
      <c r="G169" s="3233"/>
    </row>
    <row r="170" spans="1:7" s="3222" customFormat="1" ht="14.25" customHeight="1">
      <c r="A170" s="3233" t="s">
        <v>29</v>
      </c>
      <c r="B170" s="3233" t="s">
        <v>3047</v>
      </c>
      <c r="C170" s="3233"/>
      <c r="D170" s="3233"/>
      <c r="E170" s="3233"/>
      <c r="F170" s="3233">
        <v>2880</v>
      </c>
      <c r="G170" s="3233"/>
    </row>
    <row r="171" spans="1:7" s="3222" customFormat="1" ht="14.25" customHeight="1">
      <c r="A171" s="3233" t="s">
        <v>29</v>
      </c>
      <c r="B171" s="3233" t="s">
        <v>3050</v>
      </c>
      <c r="C171" s="3233"/>
      <c r="D171" s="3233"/>
      <c r="E171" s="3233"/>
      <c r="F171" s="3233">
        <v>2880</v>
      </c>
      <c r="G171" s="3233"/>
    </row>
    <row r="172" spans="1:7" s="3222" customFormat="1" ht="14.25" customHeight="1">
      <c r="A172" s="3233" t="s">
        <v>29</v>
      </c>
      <c r="B172" s="3233" t="s">
        <v>3052</v>
      </c>
      <c r="C172" s="3233"/>
      <c r="D172" s="3233"/>
      <c r="E172" s="3233"/>
      <c r="F172" s="3233">
        <v>2880</v>
      </c>
      <c r="G172" s="3233"/>
    </row>
    <row r="173" spans="1:7" s="3222" customFormat="1" ht="14.25" customHeight="1">
      <c r="A173" s="3233" t="s">
        <v>29</v>
      </c>
      <c r="B173" s="3233" t="s">
        <v>3054</v>
      </c>
      <c r="C173" s="3233"/>
      <c r="D173" s="3233"/>
      <c r="E173" s="3233"/>
      <c r="F173" s="3233">
        <v>2150</v>
      </c>
      <c r="G173" s="3233"/>
    </row>
    <row r="174" spans="1:7" s="3222" customFormat="1" ht="14.25" customHeight="1">
      <c r="A174" s="3233" t="s">
        <v>29</v>
      </c>
      <c r="B174" s="3233" t="s">
        <v>3056</v>
      </c>
      <c r="C174" s="3233"/>
      <c r="D174" s="3233"/>
      <c r="E174" s="3233"/>
      <c r="F174" s="3233">
        <v>2030</v>
      </c>
      <c r="G174" s="3233"/>
    </row>
    <row r="175" spans="1:7" s="3222" customFormat="1" ht="14.25" customHeight="1">
      <c r="A175" s="3233" t="s">
        <v>29</v>
      </c>
      <c r="B175" s="3233" t="s">
        <v>3058</v>
      </c>
      <c r="C175" s="3233"/>
      <c r="D175" s="3233"/>
      <c r="E175" s="3233"/>
      <c r="F175" s="3233">
        <v>2780</v>
      </c>
      <c r="G175" s="3233"/>
    </row>
    <row r="176" spans="1:7" s="3222" customFormat="1" ht="14.25" customHeight="1">
      <c r="A176" s="3233" t="s">
        <v>29</v>
      </c>
      <c r="B176" s="3233" t="s">
        <v>3060</v>
      </c>
      <c r="C176" s="3233"/>
      <c r="D176" s="3233"/>
      <c r="E176" s="3233"/>
      <c r="F176" s="3233">
        <v>2780</v>
      </c>
      <c r="G176" s="3233"/>
    </row>
    <row r="177" spans="1:7" s="3222" customFormat="1" ht="14.25" customHeight="1">
      <c r="A177" s="3233" t="s">
        <v>29</v>
      </c>
      <c r="B177" s="3233" t="s">
        <v>3092</v>
      </c>
      <c r="C177" s="3233"/>
      <c r="D177" s="3233"/>
      <c r="E177" s="3233"/>
      <c r="F177" s="3233">
        <v>2780</v>
      </c>
      <c r="G177" s="3233"/>
    </row>
    <row r="178" spans="1:7" s="3222" customFormat="1" ht="14.25" customHeight="1">
      <c r="A178" s="3233" t="s">
        <v>29</v>
      </c>
      <c r="B178" s="3233" t="s">
        <v>3093</v>
      </c>
      <c r="C178" s="3233"/>
      <c r="D178" s="3233"/>
      <c r="E178" s="3233"/>
      <c r="F178" s="3233">
        <v>2060</v>
      </c>
      <c r="G178" s="3233"/>
    </row>
    <row r="179" spans="1:7" s="3222" customFormat="1" ht="14.25" customHeight="1">
      <c r="A179" s="3233" t="s">
        <v>29</v>
      </c>
      <c r="B179" s="3233" t="s">
        <v>3094</v>
      </c>
      <c r="C179" s="3233"/>
      <c r="D179" s="3233"/>
      <c r="E179" s="3233"/>
      <c r="F179" s="3233">
        <v>2120</v>
      </c>
      <c r="G179" s="3233"/>
    </row>
    <row r="180" spans="1:7" s="3222" customFormat="1" ht="14.25" customHeight="1">
      <c r="A180" s="3233" t="s">
        <v>29</v>
      </c>
      <c r="B180" s="3233" t="s">
        <v>3066</v>
      </c>
      <c r="C180" s="3233"/>
      <c r="D180" s="3233"/>
      <c r="E180" s="3233"/>
      <c r="F180" s="3233">
        <v>2340</v>
      </c>
      <c r="G180" s="3233"/>
    </row>
    <row r="181" spans="1:7" s="3222" customFormat="1" ht="14.25" customHeight="1">
      <c r="A181" s="3233" t="s">
        <v>29</v>
      </c>
      <c r="B181" s="3233" t="s">
        <v>3067</v>
      </c>
      <c r="C181" s="3233"/>
      <c r="D181" s="3233"/>
      <c r="E181" s="3233"/>
      <c r="F181" s="3233">
        <v>2340</v>
      </c>
      <c r="G181" s="3233"/>
    </row>
    <row r="182" spans="1:7" s="3222" customFormat="1" ht="14.25" customHeight="1">
      <c r="A182" s="3233" t="s">
        <v>29</v>
      </c>
      <c r="B182" s="3233" t="s">
        <v>3068</v>
      </c>
      <c r="C182" s="3233"/>
      <c r="D182" s="3233"/>
      <c r="E182" s="3233"/>
      <c r="F182" s="3233">
        <v>2340</v>
      </c>
      <c r="G182" s="3233"/>
    </row>
    <row r="183" spans="1:7" s="3222" customFormat="1" ht="14.25" customHeight="1">
      <c r="A183" s="3233" t="s">
        <v>29</v>
      </c>
      <c r="B183" s="3233" t="s">
        <v>3069</v>
      </c>
      <c r="C183" s="3233"/>
      <c r="D183" s="3233"/>
      <c r="E183" s="3233"/>
      <c r="F183" s="3233">
        <v>2340</v>
      </c>
      <c r="G183" s="3233"/>
    </row>
    <row r="184" spans="1:7" s="3222" customFormat="1" ht="14.25" customHeight="1">
      <c r="A184" s="3233" t="s">
        <v>29</v>
      </c>
      <c r="B184" s="3233" t="s">
        <v>3070</v>
      </c>
      <c r="C184" s="3233"/>
      <c r="D184" s="3233"/>
      <c r="E184" s="3233"/>
      <c r="F184" s="3233">
        <v>2340</v>
      </c>
      <c r="G184" s="3233"/>
    </row>
    <row r="185" spans="1:7" s="3222" customFormat="1" ht="14.25" customHeight="1">
      <c r="A185" s="3233" t="s">
        <v>29</v>
      </c>
      <c r="B185" s="3233" t="s">
        <v>3071</v>
      </c>
      <c r="C185" s="3233"/>
      <c r="D185" s="3233"/>
      <c r="E185" s="3233"/>
      <c r="F185" s="3233">
        <v>2530</v>
      </c>
      <c r="G185" s="3233"/>
    </row>
    <row r="186" spans="1:7" s="3222" customFormat="1" ht="14.25" customHeight="1">
      <c r="A186" s="3233" t="s">
        <v>29</v>
      </c>
      <c r="B186" s="3233" t="s">
        <v>3072</v>
      </c>
      <c r="C186" s="3233"/>
      <c r="D186" s="3233"/>
      <c r="E186" s="3233"/>
      <c r="F186" s="3233">
        <v>2550</v>
      </c>
      <c r="G186" s="3233"/>
    </row>
    <row r="187" spans="1:7" s="3222" customFormat="1" ht="14.25" customHeight="1">
      <c r="A187" s="3233" t="s">
        <v>29</v>
      </c>
      <c r="B187" s="3233" t="s">
        <v>3073</v>
      </c>
      <c r="C187" s="3233"/>
      <c r="D187" s="3233"/>
      <c r="E187" s="3233"/>
      <c r="F187" s="3233">
        <v>2070</v>
      </c>
      <c r="G187" s="3233"/>
    </row>
    <row r="188" spans="1:7" s="3222" customFormat="1" ht="14.25" customHeight="1">
      <c r="A188" s="3233" t="s">
        <v>29</v>
      </c>
      <c r="B188" s="3233" t="s">
        <v>3074</v>
      </c>
      <c r="C188" s="3233"/>
      <c r="D188" s="3233"/>
      <c r="E188" s="3233"/>
      <c r="F188" s="3233">
        <v>2340</v>
      </c>
      <c r="G188" s="3233"/>
    </row>
    <row r="189" spans="1:7" s="3222" customFormat="1" ht="14.25" customHeight="1" thickBot="1">
      <c r="A189" s="3241" t="s">
        <v>29</v>
      </c>
      <c r="B189" s="3244" t="s">
        <v>3075</v>
      </c>
      <c r="C189" s="3244"/>
      <c r="D189" s="3244"/>
      <c r="E189" s="3244"/>
      <c r="F189" s="3244">
        <v>2050</v>
      </c>
      <c r="G189" s="3244"/>
    </row>
    <row r="190" spans="1:7" s="3222" customFormat="1" ht="14.25" customHeight="1">
      <c r="A190" s="3238" t="s">
        <v>304</v>
      </c>
      <c r="B190" s="3229" t="s">
        <v>3095</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3096</v>
      </c>
      <c r="C199" s="3233">
        <v>8690</v>
      </c>
      <c r="D199" s="3233">
        <v>8630</v>
      </c>
      <c r="E199" s="3233">
        <v>11350</v>
      </c>
      <c r="F199" s="3233">
        <v>1600</v>
      </c>
      <c r="G199" s="3246">
        <v>5450</v>
      </c>
    </row>
    <row r="200" spans="1:7" s="3222" customFormat="1" ht="14.25" customHeight="1">
      <c r="A200" s="3233" t="s">
        <v>304</v>
      </c>
      <c r="B200" s="3233" t="s">
        <v>2907</v>
      </c>
      <c r="C200" s="3233"/>
      <c r="D200" s="3233"/>
      <c r="E200" s="3233"/>
      <c r="F200" s="3233">
        <v>1510</v>
      </c>
      <c r="G200" s="3246"/>
    </row>
    <row r="201" spans="1:7" s="3222" customFormat="1" ht="14.25" customHeight="1">
      <c r="A201" s="3233" t="s">
        <v>304</v>
      </c>
      <c r="B201" s="3233" t="s">
        <v>3097</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3098</v>
      </c>
      <c r="C203" s="3233">
        <v>8130</v>
      </c>
      <c r="D203" s="3233">
        <v>8070</v>
      </c>
      <c r="E203" s="3233">
        <v>10820</v>
      </c>
      <c r="F203" s="3233">
        <v>1690</v>
      </c>
      <c r="G203" s="3246">
        <v>5100</v>
      </c>
    </row>
    <row r="204" spans="1:7" s="3222" customFormat="1" ht="14.25" customHeight="1">
      <c r="A204" s="3233" t="s">
        <v>304</v>
      </c>
      <c r="B204" s="3233" t="s">
        <v>2918</v>
      </c>
      <c r="C204" s="3233">
        <v>8350</v>
      </c>
      <c r="D204" s="3233">
        <v>8290</v>
      </c>
      <c r="E204" s="3233">
        <v>11080</v>
      </c>
      <c r="F204" s="3233">
        <v>1450</v>
      </c>
      <c r="G204" s="3246">
        <v>5240</v>
      </c>
    </row>
    <row r="205" spans="1:7" s="3222" customFormat="1" ht="14.25" customHeight="1">
      <c r="A205" s="3233" t="s">
        <v>304</v>
      </c>
      <c r="B205" s="3233" t="s">
        <v>2920</v>
      </c>
      <c r="C205" s="3233">
        <v>7190</v>
      </c>
      <c r="D205" s="3233">
        <v>7130</v>
      </c>
      <c r="E205" s="3233">
        <v>9490</v>
      </c>
      <c r="F205" s="3233">
        <v>1470</v>
      </c>
      <c r="G205" s="3246">
        <v>4510</v>
      </c>
    </row>
    <row r="206" spans="1:7" s="3222" customFormat="1" ht="14.25" customHeight="1">
      <c r="A206" s="3233" t="s">
        <v>304</v>
      </c>
      <c r="B206" s="3233" t="s">
        <v>2923</v>
      </c>
      <c r="C206" s="3233">
        <v>7000</v>
      </c>
      <c r="D206" s="3233">
        <v>6950</v>
      </c>
      <c r="E206" s="3233">
        <v>9170</v>
      </c>
      <c r="F206" s="3233">
        <v>1400</v>
      </c>
      <c r="G206" s="3246">
        <v>4380</v>
      </c>
    </row>
    <row r="207" spans="1:7" s="3222" customFormat="1" ht="14.25" customHeight="1">
      <c r="A207" s="3233" t="s">
        <v>304</v>
      </c>
      <c r="B207" s="3233" t="s">
        <v>2925</v>
      </c>
      <c r="C207" s="3233">
        <v>6950</v>
      </c>
      <c r="D207" s="3233">
        <v>6900</v>
      </c>
      <c r="E207" s="3233">
        <v>9110</v>
      </c>
      <c r="F207" s="3233">
        <v>1790</v>
      </c>
      <c r="G207" s="3246">
        <v>4360</v>
      </c>
    </row>
    <row r="208" spans="1:7" s="3222" customFormat="1" ht="14.25" customHeight="1">
      <c r="A208" s="3233" t="s">
        <v>304</v>
      </c>
      <c r="B208" s="3233" t="s">
        <v>3099</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2935</v>
      </c>
      <c r="C210" s="3233">
        <v>8710</v>
      </c>
      <c r="D210" s="3233">
        <v>8660</v>
      </c>
      <c r="E210" s="3233">
        <v>11440</v>
      </c>
      <c r="F210" s="3233">
        <v>1740</v>
      </c>
      <c r="G210" s="3246">
        <v>5470</v>
      </c>
    </row>
    <row r="211" spans="1:7" s="3222" customFormat="1" ht="14.25" customHeight="1">
      <c r="A211" s="3233" t="s">
        <v>304</v>
      </c>
      <c r="B211" s="3233" t="s">
        <v>3100</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3101</v>
      </c>
      <c r="C214" s="3233">
        <v>8090</v>
      </c>
      <c r="D214" s="3233">
        <v>8030</v>
      </c>
      <c r="E214" s="3233">
        <v>10780</v>
      </c>
      <c r="F214" s="3233">
        <v>1570</v>
      </c>
      <c r="G214" s="3246">
        <v>5070</v>
      </c>
    </row>
    <row r="215" spans="1:7" s="3222" customFormat="1" ht="14.25" customHeight="1">
      <c r="A215" s="3233" t="s">
        <v>304</v>
      </c>
      <c r="B215" s="3233" t="s">
        <v>3102</v>
      </c>
      <c r="C215" s="3233">
        <v>7950</v>
      </c>
      <c r="D215" s="3233">
        <v>7900</v>
      </c>
      <c r="E215" s="3233">
        <v>10560</v>
      </c>
      <c r="F215" s="3233">
        <v>1630</v>
      </c>
      <c r="G215" s="3246">
        <v>4990</v>
      </c>
    </row>
    <row r="216" spans="1:7" s="3222" customFormat="1" ht="14.25" customHeight="1">
      <c r="A216" s="3233" t="s">
        <v>304</v>
      </c>
      <c r="B216" s="3233" t="s">
        <v>3103</v>
      </c>
      <c r="C216" s="3233">
        <v>8490</v>
      </c>
      <c r="D216" s="3233">
        <v>8440</v>
      </c>
      <c r="E216" s="3233">
        <v>11260</v>
      </c>
      <c r="F216" s="3233">
        <v>1690</v>
      </c>
      <c r="G216" s="3246">
        <v>5330</v>
      </c>
    </row>
    <row r="217" spans="1:7" s="3222" customFormat="1" ht="14.25" customHeight="1">
      <c r="A217" s="3233" t="s">
        <v>304</v>
      </c>
      <c r="B217" s="3233" t="s">
        <v>2968</v>
      </c>
      <c r="C217" s="3233">
        <v>8200</v>
      </c>
      <c r="D217" s="3233">
        <v>8150</v>
      </c>
      <c r="E217" s="3233">
        <v>10910</v>
      </c>
      <c r="F217" s="3233">
        <v>1670</v>
      </c>
      <c r="G217" s="3246">
        <v>5150</v>
      </c>
    </row>
    <row r="218" spans="1:7" s="3222" customFormat="1" ht="14.25" customHeight="1">
      <c r="A218" s="3233" t="s">
        <v>304</v>
      </c>
      <c r="B218" s="3233" t="s">
        <v>3104</v>
      </c>
      <c r="C218" s="3233"/>
      <c r="D218" s="3233"/>
      <c r="E218" s="3233"/>
      <c r="F218" s="3233">
        <v>2040</v>
      </c>
      <c r="G218" s="3246"/>
    </row>
    <row r="219" spans="1:7" s="3222" customFormat="1" ht="14.25" customHeight="1">
      <c r="A219" s="3233" t="s">
        <v>304</v>
      </c>
      <c r="B219" s="3233" t="s">
        <v>3105</v>
      </c>
      <c r="C219" s="3233"/>
      <c r="D219" s="3233"/>
      <c r="E219" s="3233"/>
      <c r="F219" s="3233">
        <v>2040</v>
      </c>
      <c r="G219" s="3246"/>
    </row>
    <row r="220" spans="1:7" s="3222" customFormat="1" ht="14.25" customHeight="1">
      <c r="A220" s="3233" t="s">
        <v>304</v>
      </c>
      <c r="B220" s="3233" t="s">
        <v>3106</v>
      </c>
      <c r="C220" s="3233"/>
      <c r="D220" s="3233"/>
      <c r="E220" s="3233"/>
      <c r="F220" s="3233">
        <v>2040</v>
      </c>
      <c r="G220" s="3246"/>
    </row>
    <row r="221" spans="1:7" s="3222" customFormat="1" ht="14.25" customHeight="1">
      <c r="A221" s="3233" t="s">
        <v>304</v>
      </c>
      <c r="B221" s="3233" t="s">
        <v>3107</v>
      </c>
      <c r="C221" s="3233"/>
      <c r="D221" s="3233"/>
      <c r="E221" s="3233"/>
      <c r="F221" s="3233">
        <v>2040</v>
      </c>
      <c r="G221" s="3246"/>
    </row>
    <row r="222" spans="1:7" s="3222" customFormat="1" ht="14.25" customHeight="1">
      <c r="A222" s="3233" t="s">
        <v>304</v>
      </c>
      <c r="B222" s="3233" t="s">
        <v>3108</v>
      </c>
      <c r="C222" s="3233"/>
      <c r="D222" s="3233"/>
      <c r="E222" s="3233"/>
      <c r="F222" s="3233">
        <v>2040</v>
      </c>
      <c r="G222" s="3246"/>
    </row>
    <row r="223" spans="1:7" s="3222" customFormat="1" ht="14.25" customHeight="1">
      <c r="A223" s="3233" t="s">
        <v>304</v>
      </c>
      <c r="B223" s="3233" t="s">
        <v>3109</v>
      </c>
      <c r="C223" s="3233"/>
      <c r="D223" s="3233"/>
      <c r="E223" s="3233"/>
      <c r="F223" s="3233">
        <v>1930</v>
      </c>
      <c r="G223" s="3246"/>
    </row>
    <row r="224" spans="1:7" s="3222" customFormat="1" ht="14.25" customHeight="1">
      <c r="A224" s="3233" t="s">
        <v>304</v>
      </c>
      <c r="B224" s="3233" t="s">
        <v>3110</v>
      </c>
      <c r="C224" s="3233"/>
      <c r="D224" s="3233"/>
      <c r="E224" s="3233"/>
      <c r="F224" s="3233">
        <v>1930</v>
      </c>
      <c r="G224" s="3246"/>
    </row>
    <row r="225" spans="1:7" s="3222" customFormat="1" ht="14.25" customHeight="1">
      <c r="A225" s="3233" t="s">
        <v>304</v>
      </c>
      <c r="B225" s="3233" t="s">
        <v>3111</v>
      </c>
      <c r="C225" s="3233"/>
      <c r="D225" s="3233"/>
      <c r="E225" s="3233"/>
      <c r="F225" s="3233">
        <v>1930</v>
      </c>
      <c r="G225" s="3246"/>
    </row>
    <row r="226" spans="1:7" s="3222" customFormat="1" ht="14.25" customHeight="1">
      <c r="A226" s="3233" t="s">
        <v>304</v>
      </c>
      <c r="B226" s="3233" t="s">
        <v>3112</v>
      </c>
      <c r="C226" s="3233"/>
      <c r="D226" s="3233"/>
      <c r="E226" s="3233"/>
      <c r="F226" s="3233">
        <v>1700</v>
      </c>
      <c r="G226" s="3246"/>
    </row>
    <row r="227" spans="1:7" s="3222" customFormat="1" ht="14.25" customHeight="1">
      <c r="A227" s="3233" t="s">
        <v>304</v>
      </c>
      <c r="B227" s="3233" t="s">
        <v>3113</v>
      </c>
      <c r="C227" s="3233"/>
      <c r="D227" s="3233"/>
      <c r="E227" s="3233"/>
      <c r="F227" s="3233">
        <v>1520</v>
      </c>
      <c r="G227" s="3246"/>
    </row>
    <row r="228" spans="1:7" s="3222" customFormat="1" ht="14.25" customHeight="1">
      <c r="A228" s="3233" t="s">
        <v>304</v>
      </c>
      <c r="B228" s="3233" t="s">
        <v>3114</v>
      </c>
      <c r="C228" s="3233"/>
      <c r="D228" s="3233"/>
      <c r="E228" s="3233"/>
      <c r="F228" s="3233">
        <v>1520</v>
      </c>
      <c r="G228" s="3246"/>
    </row>
    <row r="229" spans="1:7" s="3222" customFormat="1" ht="14.25" customHeight="1">
      <c r="A229" s="3233" t="s">
        <v>304</v>
      </c>
      <c r="B229" s="3233" t="s">
        <v>3031</v>
      </c>
      <c r="C229" s="3233"/>
      <c r="D229" s="3233"/>
      <c r="E229" s="3233"/>
      <c r="F229" s="3233">
        <v>1520</v>
      </c>
      <c r="G229" s="3246"/>
    </row>
    <row r="230" spans="1:7" s="3222" customFormat="1" ht="14.25" customHeight="1">
      <c r="A230" s="3233" t="s">
        <v>304</v>
      </c>
      <c r="B230" s="3233" t="s">
        <v>3115</v>
      </c>
      <c r="C230" s="3233"/>
      <c r="D230" s="3233"/>
      <c r="E230" s="3233"/>
      <c r="F230" s="3233">
        <v>1820</v>
      </c>
      <c r="G230" s="3246"/>
    </row>
    <row r="231" spans="1:7" s="3222" customFormat="1" ht="14.25" customHeight="1">
      <c r="A231" s="3233" t="s">
        <v>304</v>
      </c>
      <c r="B231" s="3233" t="s">
        <v>3116</v>
      </c>
      <c r="C231" s="3233"/>
      <c r="D231" s="3233"/>
      <c r="E231" s="3233"/>
      <c r="F231" s="3233">
        <v>1760</v>
      </c>
      <c r="G231" s="3246"/>
    </row>
    <row r="232" spans="1:7" s="3222" customFormat="1" ht="14.25" customHeight="1">
      <c r="A232" s="3233" t="s">
        <v>304</v>
      </c>
      <c r="B232" s="3233" t="s">
        <v>3117</v>
      </c>
      <c r="C232" s="3233"/>
      <c r="D232" s="3233"/>
      <c r="E232" s="3233"/>
      <c r="F232" s="3233">
        <v>1840</v>
      </c>
      <c r="G232" s="3246"/>
    </row>
    <row r="233" spans="1:7" s="3222" customFormat="1" ht="14.25" customHeight="1" thickBot="1">
      <c r="A233" s="3247" t="s">
        <v>304</v>
      </c>
      <c r="B233" s="3240" t="s">
        <v>3048</v>
      </c>
      <c r="C233" s="3240"/>
      <c r="D233" s="3240"/>
      <c r="E233" s="3240"/>
      <c r="F233" s="3240">
        <v>1770</v>
      </c>
      <c r="G233" s="3248"/>
    </row>
    <row r="234" spans="1:7" s="3222" customFormat="1" ht="14.25" customHeight="1">
      <c r="A234" s="3238" t="s">
        <v>305</v>
      </c>
      <c r="B234" s="3229" t="s">
        <v>3118</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2889</v>
      </c>
      <c r="C238" s="3233">
        <v>6920</v>
      </c>
      <c r="D238" s="3233">
        <v>6890</v>
      </c>
      <c r="E238" s="3233">
        <v>8640</v>
      </c>
      <c r="F238" s="3233">
        <v>1310</v>
      </c>
      <c r="G238" s="3233">
        <v>4230</v>
      </c>
    </row>
    <row r="239" spans="1:7" s="3222" customFormat="1" ht="14.25" customHeight="1">
      <c r="A239" s="3233" t="s">
        <v>305</v>
      </c>
      <c r="B239" s="3233" t="s">
        <v>3119</v>
      </c>
      <c r="C239" s="3233">
        <v>6780</v>
      </c>
      <c r="D239" s="3233">
        <v>6750</v>
      </c>
      <c r="E239" s="3233">
        <v>8440</v>
      </c>
      <c r="F239" s="3233">
        <v>1160</v>
      </c>
      <c r="G239" s="3233">
        <v>4140</v>
      </c>
    </row>
    <row r="240" spans="1:7" s="3222" customFormat="1" ht="14.25" customHeight="1">
      <c r="A240" s="3233" t="s">
        <v>305</v>
      </c>
      <c r="B240" s="3233" t="s">
        <v>3120</v>
      </c>
      <c r="C240" s="3233">
        <v>5420</v>
      </c>
      <c r="D240" s="3233">
        <v>5380</v>
      </c>
      <c r="E240" s="3233">
        <v>6640</v>
      </c>
      <c r="F240" s="3233">
        <v>1020</v>
      </c>
      <c r="G240" s="3233">
        <v>3300</v>
      </c>
    </row>
    <row r="241" spans="1:7" s="3222" customFormat="1" ht="14.25" customHeight="1">
      <c r="A241" s="3233" t="s">
        <v>305</v>
      </c>
      <c r="B241" s="3233" t="s">
        <v>3121</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3122</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3123</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3124</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3125</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3126</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2951</v>
      </c>
      <c r="C258" s="3233">
        <v>6190</v>
      </c>
      <c r="D258" s="3233">
        <v>6160</v>
      </c>
      <c r="E258" s="3233">
        <v>7680</v>
      </c>
      <c r="F258" s="3233">
        <v>1170</v>
      </c>
      <c r="G258" s="3233">
        <v>3780</v>
      </c>
    </row>
    <row r="259" spans="1:7" s="3222" customFormat="1" ht="14.25" customHeight="1">
      <c r="A259" s="3233" t="s">
        <v>305</v>
      </c>
      <c r="B259" s="3233" t="s">
        <v>3127</v>
      </c>
      <c r="C259" s="3233">
        <v>7610</v>
      </c>
      <c r="D259" s="3233">
        <v>7570</v>
      </c>
      <c r="E259" s="3233">
        <v>9350</v>
      </c>
      <c r="F259" s="3233">
        <v>1350</v>
      </c>
      <c r="G259" s="3233">
        <v>4650</v>
      </c>
    </row>
    <row r="260" spans="1:7" s="3222" customFormat="1" ht="14.25" customHeight="1">
      <c r="A260" s="3233" t="s">
        <v>305</v>
      </c>
      <c r="B260" s="3233" t="s">
        <v>3128</v>
      </c>
      <c r="C260" s="3233">
        <v>6920</v>
      </c>
      <c r="D260" s="3233">
        <v>6880</v>
      </c>
      <c r="E260" s="3233">
        <v>8380</v>
      </c>
      <c r="F260" s="3233">
        <v>1160</v>
      </c>
      <c r="G260" s="3233">
        <v>4220</v>
      </c>
    </row>
    <row r="261" spans="1:7" s="3222" customFormat="1" ht="14.25" customHeight="1">
      <c r="A261" s="3233" t="s">
        <v>305</v>
      </c>
      <c r="B261" s="3233" t="s">
        <v>3129</v>
      </c>
      <c r="C261" s="3233">
        <v>6850</v>
      </c>
      <c r="D261" s="3233">
        <v>6810</v>
      </c>
      <c r="E261" s="3233">
        <v>8290</v>
      </c>
      <c r="F261" s="3233">
        <v>1130</v>
      </c>
      <c r="G261" s="3233">
        <v>4180</v>
      </c>
    </row>
    <row r="262" spans="1:7" s="3222" customFormat="1" ht="14.25" customHeight="1">
      <c r="A262" s="3233" t="s">
        <v>305</v>
      </c>
      <c r="B262" s="3233" t="s">
        <v>3130</v>
      </c>
      <c r="C262" s="3233">
        <v>5860</v>
      </c>
      <c r="D262" s="3233">
        <v>5820</v>
      </c>
      <c r="E262" s="3233">
        <v>7640</v>
      </c>
      <c r="F262" s="3233">
        <v>1070</v>
      </c>
      <c r="G262" s="3233">
        <v>3570</v>
      </c>
    </row>
    <row r="263" spans="1:7" s="3222" customFormat="1" ht="14.25" customHeight="1">
      <c r="A263" s="3233" t="s">
        <v>305</v>
      </c>
      <c r="B263" s="3233" t="s">
        <v>3131</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3132</v>
      </c>
      <c r="C265" s="3233"/>
      <c r="D265" s="3233"/>
      <c r="E265" s="3233"/>
      <c r="F265" s="3233">
        <v>1500</v>
      </c>
      <c r="G265" s="3233"/>
    </row>
    <row r="266" spans="1:7" s="3222" customFormat="1" ht="14.25" customHeight="1">
      <c r="A266" s="3233" t="s">
        <v>305</v>
      </c>
      <c r="B266" s="3233" t="s">
        <v>3133</v>
      </c>
      <c r="C266" s="3233"/>
      <c r="D266" s="3233"/>
      <c r="E266" s="3233"/>
      <c r="F266" s="3233">
        <v>1500</v>
      </c>
      <c r="G266" s="3233"/>
    </row>
    <row r="267" spans="1:7" s="3222" customFormat="1" ht="14.25" customHeight="1">
      <c r="A267" s="3233" t="s">
        <v>305</v>
      </c>
      <c r="B267" s="3233" t="s">
        <v>3134</v>
      </c>
      <c r="C267" s="3233"/>
      <c r="D267" s="3233"/>
      <c r="E267" s="3233"/>
      <c r="F267" s="3233">
        <v>1500</v>
      </c>
      <c r="G267" s="3233"/>
    </row>
    <row r="268" spans="1:7" s="3222" customFormat="1" ht="14.25" customHeight="1">
      <c r="A268" s="3233" t="s">
        <v>305</v>
      </c>
      <c r="B268" s="3233" t="s">
        <v>3135</v>
      </c>
      <c r="C268" s="3233"/>
      <c r="D268" s="3233"/>
      <c r="E268" s="3233"/>
      <c r="F268" s="3233">
        <v>1290</v>
      </c>
      <c r="G268" s="3233"/>
    </row>
    <row r="269" spans="1:7" s="3222" customFormat="1" ht="14.25" customHeight="1">
      <c r="A269" s="3233" t="s">
        <v>305</v>
      </c>
      <c r="B269" s="3233" t="s">
        <v>3136</v>
      </c>
      <c r="C269" s="3233"/>
      <c r="D269" s="3233"/>
      <c r="E269" s="3233"/>
      <c r="F269" s="3233">
        <v>1150</v>
      </c>
      <c r="G269" s="3233"/>
    </row>
    <row r="270" spans="1:7" s="3222" customFormat="1" ht="14.25" customHeight="1">
      <c r="A270" s="3233" t="s">
        <v>305</v>
      </c>
      <c r="B270" s="3233" t="s">
        <v>3137</v>
      </c>
      <c r="C270" s="3233"/>
      <c r="D270" s="3233"/>
      <c r="E270" s="3233"/>
      <c r="F270" s="3233">
        <v>1380</v>
      </c>
      <c r="G270" s="3233"/>
    </row>
    <row r="271" spans="1:7" s="3222" customFormat="1" ht="14.25" customHeight="1">
      <c r="A271" s="3233" t="s">
        <v>305</v>
      </c>
      <c r="B271" s="3233" t="s">
        <v>3138</v>
      </c>
      <c r="C271" s="3233"/>
      <c r="D271" s="3233"/>
      <c r="E271" s="3233"/>
      <c r="F271" s="3233">
        <v>1460</v>
      </c>
      <c r="G271" s="3233"/>
    </row>
    <row r="272" spans="1:7" s="3222" customFormat="1" ht="14.25" customHeight="1">
      <c r="A272" s="3233" t="s">
        <v>305</v>
      </c>
      <c r="B272" s="3233" t="s">
        <v>3139</v>
      </c>
      <c r="C272" s="3233"/>
      <c r="D272" s="3233"/>
      <c r="E272" s="3233"/>
      <c r="F272" s="3233">
        <v>1460</v>
      </c>
      <c r="G272" s="3233"/>
    </row>
    <row r="273" spans="1:7" s="3222" customFormat="1" ht="14.25" customHeight="1">
      <c r="A273" s="3233" t="s">
        <v>305</v>
      </c>
      <c r="B273" s="3233" t="s">
        <v>3032</v>
      </c>
      <c r="C273" s="3233"/>
      <c r="D273" s="3233"/>
      <c r="E273" s="3233"/>
      <c r="F273" s="3233">
        <v>1490</v>
      </c>
      <c r="G273" s="3233"/>
    </row>
    <row r="274" spans="1:7" s="3222" customFormat="1" ht="14.25" customHeight="1">
      <c r="A274" s="3233" t="s">
        <v>305</v>
      </c>
      <c r="B274" s="3233" t="s">
        <v>3140</v>
      </c>
      <c r="C274" s="3233"/>
      <c r="D274" s="3233"/>
      <c r="E274" s="3233"/>
      <c r="F274" s="3233">
        <v>1490</v>
      </c>
      <c r="G274" s="3233"/>
    </row>
    <row r="275" spans="1:7" s="3222" customFormat="1" ht="14.25" customHeight="1">
      <c r="A275" s="3233" t="s">
        <v>305</v>
      </c>
      <c r="B275" s="3233" t="s">
        <v>3141</v>
      </c>
      <c r="C275" s="3233"/>
      <c r="D275" s="3233"/>
      <c r="E275" s="3233"/>
      <c r="F275" s="3233">
        <v>1220</v>
      </c>
      <c r="G275" s="3233"/>
    </row>
    <row r="276" spans="1:7" s="3222" customFormat="1" ht="14.25" customHeight="1" thickBot="1">
      <c r="A276" s="3241" t="s">
        <v>305</v>
      </c>
      <c r="B276" s="3243" t="s">
        <v>3142</v>
      </c>
      <c r="C276" s="3244"/>
      <c r="D276" s="3244"/>
      <c r="E276" s="3244"/>
      <c r="F276" s="3244">
        <v>1380</v>
      </c>
      <c r="G276" s="3244"/>
    </row>
    <row r="277" spans="1:7" s="3222" customFormat="1" ht="14.25" customHeight="1">
      <c r="A277" s="3238" t="s">
        <v>306</v>
      </c>
      <c r="B277" s="3229" t="s">
        <v>3143</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3144</v>
      </c>
      <c r="C279" s="3233">
        <v>4760</v>
      </c>
      <c r="D279" s="3233">
        <v>4720</v>
      </c>
      <c r="E279" s="3233">
        <v>5540</v>
      </c>
      <c r="F279" s="3233">
        <v>810</v>
      </c>
      <c r="G279" s="3246">
        <v>2850</v>
      </c>
    </row>
    <row r="280" spans="1:7" s="3222" customFormat="1" ht="14.25" customHeight="1">
      <c r="A280" s="3233" t="s">
        <v>306</v>
      </c>
      <c r="B280" s="3233" t="s">
        <v>3145</v>
      </c>
      <c r="C280" s="3233">
        <v>4010</v>
      </c>
      <c r="D280" s="3233">
        <v>3950</v>
      </c>
      <c r="E280" s="3233">
        <v>4710</v>
      </c>
      <c r="F280" s="3233">
        <v>800</v>
      </c>
      <c r="G280" s="3246">
        <v>2390</v>
      </c>
    </row>
    <row r="281" spans="1:7" s="3222" customFormat="1" ht="14.25" customHeight="1">
      <c r="A281" s="3233" t="s">
        <v>306</v>
      </c>
      <c r="B281" s="3233" t="s">
        <v>3146</v>
      </c>
      <c r="C281" s="3233">
        <v>4480</v>
      </c>
      <c r="D281" s="3233">
        <v>4420</v>
      </c>
      <c r="E281" s="3233">
        <v>5230</v>
      </c>
      <c r="F281" s="3233">
        <v>870</v>
      </c>
      <c r="G281" s="3246">
        <v>2660</v>
      </c>
    </row>
    <row r="282" spans="1:7" s="3222" customFormat="1" ht="14.25" customHeight="1">
      <c r="A282" s="3233" t="s">
        <v>306</v>
      </c>
      <c r="B282" s="3233" t="s">
        <v>3147</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3148</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3149</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2924</v>
      </c>
      <c r="C293" s="3233">
        <v>5320</v>
      </c>
      <c r="D293" s="3233">
        <v>5270</v>
      </c>
      <c r="E293" s="3233">
        <v>6160</v>
      </c>
      <c r="F293" s="3233">
        <v>990</v>
      </c>
      <c r="G293" s="3246">
        <v>3170</v>
      </c>
    </row>
    <row r="294" spans="1:7" s="3222" customFormat="1" ht="14.25" customHeight="1">
      <c r="A294" s="3233" t="s">
        <v>306</v>
      </c>
      <c r="B294" s="3233" t="s">
        <v>3150</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2943</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3151</v>
      </c>
      <c r="C302" s="3233">
        <v>5520</v>
      </c>
      <c r="D302" s="3233">
        <v>5470</v>
      </c>
      <c r="E302" s="3233">
        <v>6410</v>
      </c>
      <c r="F302" s="3233">
        <v>950</v>
      </c>
      <c r="G302" s="3246">
        <v>3300</v>
      </c>
    </row>
    <row r="303" spans="1:7" s="3222" customFormat="1" ht="14.25" customHeight="1">
      <c r="A303" s="3233" t="s">
        <v>306</v>
      </c>
      <c r="B303" s="3233" t="s">
        <v>2963</v>
      </c>
      <c r="C303" s="3233">
        <v>5630</v>
      </c>
      <c r="D303" s="3233">
        <v>5590</v>
      </c>
      <c r="E303" s="3233">
        <v>6550</v>
      </c>
      <c r="F303" s="3233">
        <v>1010</v>
      </c>
      <c r="G303" s="3246">
        <v>3370</v>
      </c>
    </row>
    <row r="304" spans="1:7" s="3222" customFormat="1" ht="14.25" customHeight="1">
      <c r="A304" s="3233" t="s">
        <v>306</v>
      </c>
      <c r="B304" s="3233" t="s">
        <v>2970</v>
      </c>
      <c r="C304" s="3233">
        <v>5680</v>
      </c>
      <c r="D304" s="3233">
        <v>5620</v>
      </c>
      <c r="E304" s="3233">
        <v>6620</v>
      </c>
      <c r="F304" s="3233">
        <v>1050</v>
      </c>
      <c r="G304" s="3246">
        <v>3390</v>
      </c>
    </row>
    <row r="305" spans="1:7" s="3222" customFormat="1" ht="14.25" customHeight="1">
      <c r="A305" s="3233" t="s">
        <v>306</v>
      </c>
      <c r="B305" s="3233" t="s">
        <v>2976</v>
      </c>
      <c r="C305" s="3233">
        <v>5590</v>
      </c>
      <c r="D305" s="3233">
        <v>5530</v>
      </c>
      <c r="E305" s="3233">
        <v>6460</v>
      </c>
      <c r="F305" s="3233">
        <v>900</v>
      </c>
      <c r="G305" s="3246">
        <v>3340</v>
      </c>
    </row>
    <row r="306" spans="1:7" s="3222" customFormat="1" ht="14.25" customHeight="1">
      <c r="A306" s="3233" t="s">
        <v>306</v>
      </c>
      <c r="B306" s="3233" t="s">
        <v>3152</v>
      </c>
      <c r="C306" s="3233">
        <v>5560</v>
      </c>
      <c r="D306" s="3233">
        <v>5510</v>
      </c>
      <c r="E306" s="3233">
        <v>6440</v>
      </c>
      <c r="F306" s="3233">
        <v>900</v>
      </c>
      <c r="G306" s="3246">
        <v>3320</v>
      </c>
    </row>
    <row r="307" spans="1:7" s="3222" customFormat="1" ht="14.25" customHeight="1">
      <c r="A307" s="3233" t="s">
        <v>306</v>
      </c>
      <c r="B307" s="3233" t="s">
        <v>2988</v>
      </c>
      <c r="C307" s="3233">
        <v>5650</v>
      </c>
      <c r="D307" s="3233">
        <v>5600</v>
      </c>
      <c r="E307" s="3233">
        <v>6590</v>
      </c>
      <c r="F307" s="3233">
        <v>930</v>
      </c>
      <c r="G307" s="3246">
        <v>3380</v>
      </c>
    </row>
    <row r="308" spans="1:7" s="3222" customFormat="1" ht="14.25" customHeight="1">
      <c r="A308" s="3233" t="s">
        <v>306</v>
      </c>
      <c r="B308" s="3233" t="s">
        <v>3153</v>
      </c>
      <c r="C308" s="3233">
        <v>5620</v>
      </c>
      <c r="D308" s="3233">
        <v>5580</v>
      </c>
      <c r="E308" s="3233">
        <v>6540</v>
      </c>
      <c r="F308" s="3233">
        <v>910</v>
      </c>
      <c r="G308" s="3246">
        <v>3370</v>
      </c>
    </row>
    <row r="309" spans="1:7" s="3222" customFormat="1" ht="14.25" customHeight="1">
      <c r="A309" s="3233" t="s">
        <v>306</v>
      </c>
      <c r="B309" s="3233" t="s">
        <v>3154</v>
      </c>
      <c r="C309" s="3233">
        <v>5060</v>
      </c>
      <c r="D309" s="3233">
        <v>5020</v>
      </c>
      <c r="E309" s="3233">
        <v>6370</v>
      </c>
      <c r="F309" s="3233">
        <v>800</v>
      </c>
      <c r="G309" s="3246">
        <v>3020</v>
      </c>
    </row>
    <row r="310" spans="1:7" s="3222" customFormat="1" ht="14.25" customHeight="1">
      <c r="A310" s="3233" t="s">
        <v>306</v>
      </c>
      <c r="B310" s="3233" t="s">
        <v>3003</v>
      </c>
      <c r="C310" s="3233">
        <v>5150</v>
      </c>
      <c r="D310" s="3233">
        <v>5110</v>
      </c>
      <c r="E310" s="3233">
        <v>6500</v>
      </c>
      <c r="F310" s="3233">
        <v>880</v>
      </c>
      <c r="G310" s="3246">
        <v>3080</v>
      </c>
    </row>
    <row r="311" spans="1:7" s="3222" customFormat="1" ht="14.25" customHeight="1">
      <c r="A311" s="3233" t="s">
        <v>306</v>
      </c>
      <c r="B311" s="3233" t="s">
        <v>3155</v>
      </c>
      <c r="C311" s="3233">
        <v>4750</v>
      </c>
      <c r="D311" s="3233">
        <v>4710</v>
      </c>
      <c r="E311" s="3233">
        <v>5510</v>
      </c>
      <c r="F311" s="3233">
        <v>880</v>
      </c>
      <c r="G311" s="3246">
        <v>2840</v>
      </c>
    </row>
    <row r="312" spans="1:7" s="3222" customFormat="1" ht="14.25" customHeight="1">
      <c r="A312" s="3233" t="s">
        <v>306</v>
      </c>
      <c r="B312" s="3233" t="s">
        <v>3013</v>
      </c>
      <c r="C312" s="3233">
        <v>4690</v>
      </c>
      <c r="D312" s="3233">
        <v>4640</v>
      </c>
      <c r="E312" s="3233">
        <v>5420</v>
      </c>
      <c r="F312" s="3233">
        <v>800</v>
      </c>
      <c r="G312" s="3246">
        <v>2800</v>
      </c>
    </row>
    <row r="313" spans="1:7" s="3222" customFormat="1" ht="14.25" customHeight="1">
      <c r="A313" s="3233" t="s">
        <v>306</v>
      </c>
      <c r="B313" s="3233" t="s">
        <v>3018</v>
      </c>
      <c r="C313" s="3233">
        <v>4810</v>
      </c>
      <c r="D313" s="3233">
        <v>4760</v>
      </c>
      <c r="E313" s="3233">
        <v>5550</v>
      </c>
      <c r="F313" s="3233">
        <v>920</v>
      </c>
      <c r="G313" s="3246">
        <v>2870</v>
      </c>
    </row>
    <row r="314" spans="1:7" s="3222" customFormat="1" ht="14.25" customHeight="1">
      <c r="A314" s="3233" t="s">
        <v>306</v>
      </c>
      <c r="B314" s="3233" t="s">
        <v>3156</v>
      </c>
      <c r="C314" s="3233"/>
      <c r="D314" s="3233"/>
      <c r="E314" s="3233"/>
      <c r="F314" s="3233">
        <v>1020</v>
      </c>
      <c r="G314" s="3246"/>
    </row>
    <row r="315" spans="1:7" s="3222" customFormat="1" ht="14.25" customHeight="1">
      <c r="A315" s="3233" t="s">
        <v>306</v>
      </c>
      <c r="B315" s="3233" t="s">
        <v>3157</v>
      </c>
      <c r="C315" s="3233"/>
      <c r="D315" s="3233"/>
      <c r="E315" s="3233"/>
      <c r="F315" s="3233">
        <v>1050</v>
      </c>
      <c r="G315" s="3246"/>
    </row>
    <row r="316" spans="1:7" s="3222" customFormat="1" ht="14.25" customHeight="1">
      <c r="A316" s="3233" t="s">
        <v>306</v>
      </c>
      <c r="B316" s="3233" t="s">
        <v>3033</v>
      </c>
      <c r="C316" s="3233"/>
      <c r="D316" s="3233"/>
      <c r="E316" s="3233"/>
      <c r="F316" s="3233">
        <v>900</v>
      </c>
      <c r="G316" s="3246"/>
    </row>
    <row r="317" spans="1:7" s="3222" customFormat="1" ht="14.25" customHeight="1">
      <c r="A317" s="3233" t="s">
        <v>306</v>
      </c>
      <c r="B317" s="3233" t="s">
        <v>3158</v>
      </c>
      <c r="C317" s="3233"/>
      <c r="D317" s="3233"/>
      <c r="E317" s="3233"/>
      <c r="F317" s="3233">
        <v>920</v>
      </c>
      <c r="G317" s="3246"/>
    </row>
    <row r="318" spans="1:7" s="3222" customFormat="1" ht="14.25" customHeight="1">
      <c r="A318" s="3233" t="s">
        <v>306</v>
      </c>
      <c r="B318" s="3233" t="s">
        <v>3159</v>
      </c>
      <c r="C318" s="3233"/>
      <c r="D318" s="3233"/>
      <c r="E318" s="3233"/>
      <c r="F318" s="3233">
        <v>1080</v>
      </c>
      <c r="G318" s="3246"/>
    </row>
    <row r="319" spans="1:7" s="3222" customFormat="1" ht="14.25" customHeight="1">
      <c r="A319" s="3233" t="s">
        <v>306</v>
      </c>
      <c r="B319" s="3233" t="s">
        <v>3046</v>
      </c>
      <c r="C319" s="3233"/>
      <c r="D319" s="3233"/>
      <c r="E319" s="3233"/>
      <c r="F319" s="3233">
        <v>1020</v>
      </c>
      <c r="G319" s="3246"/>
    </row>
    <row r="320" spans="1:7" s="3222" customFormat="1" ht="14.25" customHeight="1">
      <c r="A320" s="3233" t="s">
        <v>306</v>
      </c>
      <c r="B320" s="3233" t="s">
        <v>3049</v>
      </c>
      <c r="C320" s="3233"/>
      <c r="D320" s="3233"/>
      <c r="E320" s="3233"/>
      <c r="F320" s="3233">
        <v>1050</v>
      </c>
      <c r="G320" s="3246"/>
    </row>
    <row r="321" spans="1:7" s="3222" customFormat="1" ht="14.25" customHeight="1">
      <c r="A321" s="3233" t="s">
        <v>306</v>
      </c>
      <c r="B321" s="3233" t="s">
        <v>3051</v>
      </c>
      <c r="C321" s="3233"/>
      <c r="D321" s="3233"/>
      <c r="E321" s="3233"/>
      <c r="F321" s="3233">
        <v>960</v>
      </c>
      <c r="G321" s="3246"/>
    </row>
    <row r="322" spans="1:7" s="3222" customFormat="1" ht="14.25" customHeight="1">
      <c r="A322" s="3233" t="s">
        <v>306</v>
      </c>
      <c r="B322" s="3233" t="s">
        <v>3053</v>
      </c>
      <c r="C322" s="3233"/>
      <c r="D322" s="3233"/>
      <c r="E322" s="3233"/>
      <c r="F322" s="3233">
        <v>960</v>
      </c>
      <c r="G322" s="3246"/>
    </row>
    <row r="323" spans="1:7" s="3222" customFormat="1" ht="14.25" customHeight="1">
      <c r="A323" s="3233" t="s">
        <v>306</v>
      </c>
      <c r="B323" s="3233" t="s">
        <v>3055</v>
      </c>
      <c r="C323" s="3233"/>
      <c r="D323" s="3233"/>
      <c r="E323" s="3233"/>
      <c r="F323" s="3233">
        <v>880</v>
      </c>
      <c r="G323" s="3246"/>
    </row>
    <row r="324" spans="1:7" s="3222" customFormat="1" ht="14.25" customHeight="1">
      <c r="A324" s="3233" t="s">
        <v>306</v>
      </c>
      <c r="B324" s="3233" t="s">
        <v>3057</v>
      </c>
      <c r="C324" s="3233"/>
      <c r="D324" s="3233"/>
      <c r="E324" s="3233"/>
      <c r="F324" s="3233">
        <v>930</v>
      </c>
      <c r="G324" s="3246"/>
    </row>
    <row r="325" spans="1:7" s="3222" customFormat="1" ht="14.25" customHeight="1">
      <c r="A325" s="3233" t="s">
        <v>306</v>
      </c>
      <c r="B325" s="3234" t="s">
        <v>3059</v>
      </c>
      <c r="C325" s="3233"/>
      <c r="D325" s="3233"/>
      <c r="E325" s="3233"/>
      <c r="F325" s="3233">
        <v>900</v>
      </c>
      <c r="G325" s="3246"/>
    </row>
    <row r="326" spans="1:7" s="3222" customFormat="1" ht="14.25" customHeight="1" thickBot="1">
      <c r="A326" s="3247" t="s">
        <v>306</v>
      </c>
      <c r="B326" s="3240" t="s">
        <v>3061</v>
      </c>
      <c r="C326" s="3240"/>
      <c r="D326" s="3240"/>
      <c r="E326" s="3240"/>
      <c r="F326" s="3240">
        <v>790</v>
      </c>
      <c r="G326" s="3248"/>
    </row>
    <row r="327" spans="1:7" s="3222" customFormat="1" ht="14.25" customHeight="1">
      <c r="A327" s="3238" t="s">
        <v>307</v>
      </c>
      <c r="B327" s="3229" t="s">
        <v>3160</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3161</v>
      </c>
      <c r="C329" s="3233">
        <v>2730</v>
      </c>
      <c r="D329" s="3233">
        <v>2690</v>
      </c>
      <c r="E329" s="3233">
        <v>3100</v>
      </c>
      <c r="F329" s="3233">
        <v>660</v>
      </c>
      <c r="G329" s="3233">
        <v>1610</v>
      </c>
    </row>
    <row r="330" spans="1:7" s="3222" customFormat="1" ht="14.25" customHeight="1">
      <c r="A330" s="3233" t="s">
        <v>307</v>
      </c>
      <c r="B330" s="3233" t="s">
        <v>3162</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2895</v>
      </c>
      <c r="C332" s="3233">
        <v>3520</v>
      </c>
      <c r="D332" s="3233">
        <v>3480</v>
      </c>
      <c r="E332" s="3233">
        <v>3830</v>
      </c>
      <c r="F332" s="3233">
        <v>720</v>
      </c>
      <c r="G332" s="3233">
        <v>2090</v>
      </c>
    </row>
    <row r="333" spans="1:7" s="3222" customFormat="1" ht="14.25" customHeight="1">
      <c r="A333" s="3233" t="s">
        <v>307</v>
      </c>
      <c r="B333" s="3233" t="s">
        <v>3163</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2905</v>
      </c>
      <c r="C336" s="3233">
        <v>3570</v>
      </c>
      <c r="D336" s="3233">
        <v>3530</v>
      </c>
      <c r="E336" s="3233">
        <v>3880</v>
      </c>
      <c r="F336" s="3233">
        <v>770</v>
      </c>
      <c r="G336" s="3233">
        <v>2110</v>
      </c>
    </row>
    <row r="337" spans="1:10" s="3222" customFormat="1" ht="14.25" customHeight="1">
      <c r="A337" s="3233" t="s">
        <v>307</v>
      </c>
      <c r="B337" s="3233" t="s">
        <v>3164</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3165</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3166</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2930</v>
      </c>
      <c r="C345" s="3233">
        <v>3190</v>
      </c>
      <c r="D345" s="3233">
        <v>3140</v>
      </c>
      <c r="E345" s="3233">
        <v>3450</v>
      </c>
      <c r="F345" s="3233">
        <v>720</v>
      </c>
      <c r="G345" s="3233">
        <v>1880</v>
      </c>
      <c r="J345" s="3222"/>
    </row>
    <row r="346" spans="1:10">
      <c r="A346" s="3233" t="s">
        <v>307</v>
      </c>
      <c r="B346" s="3233" t="s">
        <v>3167</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2939</v>
      </c>
      <c r="C348" s="3233">
        <v>4000</v>
      </c>
      <c r="D348" s="3233">
        <v>3950</v>
      </c>
      <c r="E348" s="3233">
        <v>4430</v>
      </c>
      <c r="F348" s="3233">
        <v>760</v>
      </c>
      <c r="G348" s="3233">
        <v>2360</v>
      </c>
      <c r="J348" s="3222"/>
    </row>
    <row r="349" spans="1:10">
      <c r="A349" s="3233" t="s">
        <v>307</v>
      </c>
      <c r="B349" s="3233" t="s">
        <v>2944</v>
      </c>
      <c r="C349" s="3233">
        <v>3820</v>
      </c>
      <c r="D349" s="3233">
        <v>3780</v>
      </c>
      <c r="E349" s="3233">
        <v>4170</v>
      </c>
      <c r="F349" s="3233">
        <v>710</v>
      </c>
      <c r="G349" s="3233">
        <v>2260</v>
      </c>
      <c r="J349" s="3222"/>
    </row>
    <row r="350" spans="1:10">
      <c r="A350" s="3233" t="s">
        <v>307</v>
      </c>
      <c r="B350" s="3233" t="s">
        <v>3168</v>
      </c>
      <c r="C350" s="3233">
        <v>3760</v>
      </c>
      <c r="D350" s="3233">
        <v>3730</v>
      </c>
      <c r="E350" s="3233">
        <v>4100</v>
      </c>
      <c r="F350" s="3233">
        <v>800</v>
      </c>
      <c r="G350" s="3233">
        <v>2230</v>
      </c>
      <c r="J350" s="3222"/>
    </row>
    <row r="351" spans="1:10">
      <c r="A351" s="3233" t="s">
        <v>307</v>
      </c>
      <c r="B351" s="3233" t="s">
        <v>2952</v>
      </c>
      <c r="C351" s="3233">
        <v>3610</v>
      </c>
      <c r="D351" s="3233">
        <v>3580</v>
      </c>
      <c r="E351" s="3233">
        <v>3930</v>
      </c>
      <c r="F351" s="3233">
        <v>700</v>
      </c>
      <c r="G351" s="3233">
        <v>2140</v>
      </c>
      <c r="J351" s="3222"/>
    </row>
    <row r="352" spans="1:10">
      <c r="A352" s="3233" t="s">
        <v>307</v>
      </c>
      <c r="B352" s="3233" t="s">
        <v>2957</v>
      </c>
      <c r="C352" s="3233">
        <v>3670</v>
      </c>
      <c r="D352" s="3233">
        <v>3630</v>
      </c>
      <c r="E352" s="3233">
        <v>4000</v>
      </c>
      <c r="F352" s="3233">
        <v>750</v>
      </c>
      <c r="G352" s="3233">
        <v>2180</v>
      </c>
    </row>
    <row r="353" spans="1:7" s="3226" customFormat="1">
      <c r="A353" s="3233" t="s">
        <v>307</v>
      </c>
      <c r="B353" s="3233" t="s">
        <v>3169</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2977</v>
      </c>
      <c r="C355" s="3233">
        <v>3650</v>
      </c>
      <c r="D355" s="3233">
        <v>3610</v>
      </c>
      <c r="E355" s="3233">
        <v>4200</v>
      </c>
      <c r="F355" s="3233">
        <v>640</v>
      </c>
      <c r="G355" s="3233">
        <v>2160</v>
      </c>
    </row>
    <row r="356" spans="1:7" s="3226" customFormat="1">
      <c r="A356" s="3233" t="s">
        <v>307</v>
      </c>
      <c r="B356" s="3233" t="s">
        <v>2984</v>
      </c>
      <c r="C356" s="3233">
        <v>3260</v>
      </c>
      <c r="D356" s="3233">
        <v>3230</v>
      </c>
      <c r="E356" s="3233">
        <v>3740</v>
      </c>
      <c r="F356" s="3233">
        <v>600</v>
      </c>
      <c r="G356" s="3233">
        <v>1930</v>
      </c>
    </row>
    <row r="357" spans="1:7" s="3226" customFormat="1" ht="12" thickBot="1">
      <c r="A357" s="3241" t="s">
        <v>307</v>
      </c>
      <c r="B357" s="3244" t="s">
        <v>3170</v>
      </c>
      <c r="C357" s="3244">
        <v>3690</v>
      </c>
      <c r="D357" s="3244">
        <v>3650</v>
      </c>
      <c r="E357" s="3244">
        <v>4020</v>
      </c>
      <c r="F357" s="3244">
        <v>700</v>
      </c>
      <c r="G357" s="3244">
        <v>2190</v>
      </c>
    </row>
    <row r="358" spans="1:7" s="3226" customFormat="1">
      <c r="A358" s="3238" t="s">
        <v>3171</v>
      </c>
      <c r="B358" s="3229" t="s">
        <v>3172</v>
      </c>
      <c r="C358" s="3229">
        <v>2080</v>
      </c>
      <c r="D358" s="3229">
        <v>2040</v>
      </c>
      <c r="E358" s="3229">
        <v>2010</v>
      </c>
      <c r="F358" s="3229">
        <v>530</v>
      </c>
      <c r="G358" s="3245">
        <v>1230</v>
      </c>
    </row>
    <row r="359" spans="1:7" s="3226" customFormat="1">
      <c r="A359" s="3233" t="s">
        <v>3171</v>
      </c>
      <c r="B359" s="3233" t="s">
        <v>3173</v>
      </c>
      <c r="C359" s="3233">
        <v>1850</v>
      </c>
      <c r="D359" s="3233">
        <v>1820</v>
      </c>
      <c r="E359" s="3233">
        <v>1780</v>
      </c>
      <c r="F359" s="3233">
        <v>520</v>
      </c>
      <c r="G359" s="3246">
        <v>1100</v>
      </c>
    </row>
    <row r="360" spans="1:7" s="3226" customFormat="1">
      <c r="A360" s="3233" t="s">
        <v>3171</v>
      </c>
      <c r="B360" s="3233" t="s">
        <v>3174</v>
      </c>
      <c r="C360" s="3233">
        <v>2020</v>
      </c>
      <c r="D360" s="3233">
        <v>1990</v>
      </c>
      <c r="E360" s="3233">
        <v>1950</v>
      </c>
      <c r="F360" s="3233">
        <v>500</v>
      </c>
      <c r="G360" s="3246">
        <v>1200</v>
      </c>
    </row>
    <row r="361" spans="1:7" s="3226" customFormat="1">
      <c r="A361" s="3233" t="s">
        <v>3171</v>
      </c>
      <c r="B361" s="3233" t="s">
        <v>153</v>
      </c>
      <c r="C361" s="3233">
        <v>2260</v>
      </c>
      <c r="D361" s="3233">
        <v>2220</v>
      </c>
      <c r="E361" s="3233">
        <v>2180</v>
      </c>
      <c r="F361" s="3233">
        <v>580</v>
      </c>
      <c r="G361" s="3246">
        <v>1340</v>
      </c>
    </row>
    <row r="362" spans="1:7" s="3226" customFormat="1">
      <c r="A362" s="3233" t="s">
        <v>3171</v>
      </c>
      <c r="B362" s="3233" t="s">
        <v>3175</v>
      </c>
      <c r="C362" s="3233">
        <v>2650</v>
      </c>
      <c r="D362" s="3233">
        <v>2610</v>
      </c>
      <c r="E362" s="3233">
        <v>2570</v>
      </c>
      <c r="F362" s="3233">
        <v>630</v>
      </c>
      <c r="G362" s="3246">
        <v>1570</v>
      </c>
    </row>
    <row r="363" spans="1:7" s="3226" customFormat="1">
      <c r="A363" s="3233" t="s">
        <v>3171</v>
      </c>
      <c r="B363" s="3233" t="s">
        <v>2896</v>
      </c>
      <c r="C363" s="3233">
        <v>2390</v>
      </c>
      <c r="D363" s="3233">
        <v>2360</v>
      </c>
      <c r="E363" s="3233">
        <v>2320</v>
      </c>
      <c r="F363" s="3233">
        <v>600</v>
      </c>
      <c r="G363" s="3246">
        <v>1420</v>
      </c>
    </row>
    <row r="364" spans="1:7" s="3226" customFormat="1">
      <c r="A364" s="3233" t="s">
        <v>3171</v>
      </c>
      <c r="B364" s="3233" t="s">
        <v>3176</v>
      </c>
      <c r="C364" s="3233">
        <v>2050</v>
      </c>
      <c r="D364" s="3233">
        <v>2030</v>
      </c>
      <c r="E364" s="3233">
        <v>1990</v>
      </c>
      <c r="F364" s="3233">
        <v>550</v>
      </c>
      <c r="G364" s="3246">
        <v>1220</v>
      </c>
    </row>
    <row r="365" spans="1:7" s="3226" customFormat="1">
      <c r="A365" s="3233" t="s">
        <v>3171</v>
      </c>
      <c r="B365" s="3233" t="s">
        <v>200</v>
      </c>
      <c r="C365" s="3233">
        <v>2140</v>
      </c>
      <c r="D365" s="3233">
        <v>2100</v>
      </c>
      <c r="E365" s="3233">
        <v>2060</v>
      </c>
      <c r="F365" s="3233">
        <v>540</v>
      </c>
      <c r="G365" s="3246">
        <v>1270</v>
      </c>
    </row>
    <row r="366" spans="1:7" s="3226" customFormat="1">
      <c r="A366" s="3233" t="s">
        <v>3171</v>
      </c>
      <c r="B366" s="3233" t="s">
        <v>2903</v>
      </c>
      <c r="C366" s="3233">
        <v>2410</v>
      </c>
      <c r="D366" s="3233">
        <v>2370</v>
      </c>
      <c r="E366" s="3233">
        <v>2330</v>
      </c>
      <c r="F366" s="3233">
        <v>570</v>
      </c>
      <c r="G366" s="3246">
        <v>1440</v>
      </c>
    </row>
    <row r="367" spans="1:7" s="3226" customFormat="1">
      <c r="A367" s="3233" t="s">
        <v>3171</v>
      </c>
      <c r="B367" s="3233" t="s">
        <v>3177</v>
      </c>
      <c r="C367" s="3233">
        <v>2300</v>
      </c>
      <c r="D367" s="3233">
        <v>2260</v>
      </c>
      <c r="E367" s="3233">
        <v>2220</v>
      </c>
      <c r="F367" s="3233">
        <v>560</v>
      </c>
      <c r="G367" s="3246">
        <v>1370</v>
      </c>
    </row>
    <row r="368" spans="1:7" s="3226" customFormat="1">
      <c r="A368" s="3233" t="s">
        <v>3171</v>
      </c>
      <c r="B368" s="3233" t="s">
        <v>3178</v>
      </c>
      <c r="C368" s="3233">
        <v>2430</v>
      </c>
      <c r="D368" s="3233">
        <v>2390</v>
      </c>
      <c r="E368" s="3233">
        <v>2350</v>
      </c>
      <c r="F368" s="3233">
        <v>570</v>
      </c>
      <c r="G368" s="3246">
        <v>1450</v>
      </c>
    </row>
    <row r="369" spans="1:7" s="3226" customFormat="1">
      <c r="A369" s="3233" t="s">
        <v>3171</v>
      </c>
      <c r="B369" s="3233" t="s">
        <v>214</v>
      </c>
      <c r="C369" s="3233">
        <v>2320</v>
      </c>
      <c r="D369" s="3233">
        <v>2290</v>
      </c>
      <c r="E369" s="3233">
        <v>2250</v>
      </c>
      <c r="F369" s="3233">
        <v>550</v>
      </c>
      <c r="G369" s="3246">
        <v>1380</v>
      </c>
    </row>
    <row r="370" spans="1:7" s="3226" customFormat="1">
      <c r="A370" s="3233" t="s">
        <v>3171</v>
      </c>
      <c r="B370" s="3233" t="s">
        <v>221</v>
      </c>
      <c r="C370" s="3233">
        <v>2190</v>
      </c>
      <c r="D370" s="3233">
        <v>2170</v>
      </c>
      <c r="E370" s="3233">
        <v>2130</v>
      </c>
      <c r="F370" s="3233">
        <v>530</v>
      </c>
      <c r="G370" s="3246">
        <v>1310</v>
      </c>
    </row>
    <row r="371" spans="1:7" s="3226" customFormat="1">
      <c r="A371" s="3233" t="s">
        <v>3171</v>
      </c>
      <c r="B371" s="3233" t="s">
        <v>229</v>
      </c>
      <c r="C371" s="3233">
        <v>2460</v>
      </c>
      <c r="D371" s="3233">
        <v>2420</v>
      </c>
      <c r="E371" s="3233">
        <v>2370</v>
      </c>
      <c r="F371" s="3233">
        <v>560</v>
      </c>
      <c r="G371" s="3246">
        <v>1470</v>
      </c>
    </row>
    <row r="372" spans="1:7" s="3226" customFormat="1">
      <c r="A372" s="3233" t="s">
        <v>3171</v>
      </c>
      <c r="B372" s="3233" t="s">
        <v>3179</v>
      </c>
      <c r="C372" s="3233">
        <v>2250</v>
      </c>
      <c r="D372" s="3233">
        <v>2210</v>
      </c>
      <c r="E372" s="3233">
        <v>2180</v>
      </c>
      <c r="F372" s="3233">
        <v>550</v>
      </c>
      <c r="G372" s="3246">
        <v>1340</v>
      </c>
    </row>
    <row r="373" spans="1:7" s="3226" customFormat="1">
      <c r="A373" s="3233" t="s">
        <v>3171</v>
      </c>
      <c r="B373" s="3233" t="s">
        <v>258</v>
      </c>
      <c r="C373" s="3233">
        <v>2210</v>
      </c>
      <c r="D373" s="3233">
        <v>2190</v>
      </c>
      <c r="E373" s="3233">
        <v>2150</v>
      </c>
      <c r="F373" s="3233">
        <v>530</v>
      </c>
      <c r="G373" s="3246">
        <v>1320</v>
      </c>
    </row>
    <row r="374" spans="1:7" s="3226" customFormat="1">
      <c r="A374" s="3233" t="s">
        <v>3171</v>
      </c>
      <c r="B374" s="3233" t="s">
        <v>266</v>
      </c>
      <c r="C374" s="3233">
        <v>2320</v>
      </c>
      <c r="D374" s="3233">
        <v>2280</v>
      </c>
      <c r="E374" s="3233">
        <v>2230</v>
      </c>
      <c r="F374" s="3233">
        <v>580</v>
      </c>
      <c r="G374" s="3246">
        <v>1380</v>
      </c>
    </row>
    <row r="375" spans="1:7" s="3226" customFormat="1">
      <c r="A375" s="3233" t="s">
        <v>3171</v>
      </c>
      <c r="B375" s="3233" t="s">
        <v>3180</v>
      </c>
      <c r="C375" s="3233">
        <v>2090</v>
      </c>
      <c r="D375" s="3233">
        <v>2050</v>
      </c>
      <c r="E375" s="3233">
        <v>2020</v>
      </c>
      <c r="F375" s="3233">
        <v>520</v>
      </c>
      <c r="G375" s="3246">
        <v>1240</v>
      </c>
    </row>
    <row r="376" spans="1:7" s="3226" customFormat="1">
      <c r="A376" s="3233" t="s">
        <v>3171</v>
      </c>
      <c r="B376" s="3233" t="s">
        <v>277</v>
      </c>
      <c r="C376" s="3233">
        <v>2010</v>
      </c>
      <c r="D376" s="3233">
        <v>1980</v>
      </c>
      <c r="E376" s="3233">
        <v>1940</v>
      </c>
      <c r="F376" s="3233">
        <v>540</v>
      </c>
      <c r="G376" s="3246">
        <v>1190</v>
      </c>
    </row>
    <row r="377" spans="1:7" s="3226" customFormat="1" ht="12" thickBot="1">
      <c r="A377" s="3241" t="s">
        <v>3171</v>
      </c>
      <c r="B377" s="3244" t="s">
        <v>2933</v>
      </c>
      <c r="C377" s="3244">
        <v>1930</v>
      </c>
      <c r="D377" s="3244">
        <v>1890</v>
      </c>
      <c r="E377" s="3244">
        <v>1860</v>
      </c>
      <c r="F377" s="3244">
        <v>530</v>
      </c>
      <c r="G377" s="3249">
        <v>1150</v>
      </c>
    </row>
    <row r="378" spans="1:7" s="3226" customFormat="1">
      <c r="A378" s="3250" t="s">
        <v>3181</v>
      </c>
      <c r="B378" s="3229" t="s">
        <v>3182</v>
      </c>
      <c r="C378" s="3229">
        <v>1520</v>
      </c>
      <c r="D378" s="3229">
        <v>1490</v>
      </c>
      <c r="E378" s="3229">
        <v>1460</v>
      </c>
      <c r="F378" s="3229">
        <v>460</v>
      </c>
      <c r="G378" s="3245">
        <v>940</v>
      </c>
    </row>
    <row r="379" spans="1:7" s="3226" customFormat="1">
      <c r="A379" s="3251" t="s">
        <v>3181</v>
      </c>
      <c r="B379" s="3233" t="s">
        <v>3183</v>
      </c>
      <c r="C379" s="3233">
        <v>1500</v>
      </c>
      <c r="D379" s="3233">
        <v>1470</v>
      </c>
      <c r="E379" s="3233">
        <v>1430</v>
      </c>
      <c r="F379" s="3233">
        <v>460</v>
      </c>
      <c r="G379" s="3246">
        <v>920</v>
      </c>
    </row>
    <row r="380" spans="1:7" s="3226" customFormat="1">
      <c r="A380" s="3251" t="s">
        <v>3181</v>
      </c>
      <c r="B380" s="3233" t="s">
        <v>3184</v>
      </c>
      <c r="C380" s="3233">
        <v>1620</v>
      </c>
      <c r="D380" s="3233">
        <v>1590</v>
      </c>
      <c r="E380" s="3233">
        <v>1560</v>
      </c>
      <c r="F380" s="3233">
        <v>480</v>
      </c>
      <c r="G380" s="3246">
        <v>1000</v>
      </c>
    </row>
    <row r="381" spans="1:7" s="3226" customFormat="1">
      <c r="A381" s="3251" t="s">
        <v>3181</v>
      </c>
      <c r="B381" s="3233" t="s">
        <v>3185</v>
      </c>
      <c r="C381" s="3233">
        <v>1460</v>
      </c>
      <c r="D381" s="3233">
        <v>1430</v>
      </c>
      <c r="E381" s="3233">
        <v>1390</v>
      </c>
      <c r="F381" s="3233">
        <v>450</v>
      </c>
      <c r="G381" s="3246">
        <v>900</v>
      </c>
    </row>
    <row r="382" spans="1:7" s="3226" customFormat="1">
      <c r="A382" s="3251" t="s">
        <v>3181</v>
      </c>
      <c r="B382" s="3233" t="s">
        <v>3186</v>
      </c>
      <c r="C382" s="3233">
        <v>1310</v>
      </c>
      <c r="D382" s="3233">
        <v>1280</v>
      </c>
      <c r="E382" s="3233">
        <v>1250</v>
      </c>
      <c r="F382" s="3233">
        <v>440</v>
      </c>
      <c r="G382" s="3246">
        <v>800</v>
      </c>
    </row>
    <row r="383" spans="1:7" s="3226" customFormat="1">
      <c r="A383" s="3251" t="s">
        <v>3181</v>
      </c>
      <c r="B383" s="3233" t="s">
        <v>3187</v>
      </c>
      <c r="C383" s="3233">
        <v>1260</v>
      </c>
      <c r="D383" s="3233">
        <v>1230</v>
      </c>
      <c r="E383" s="3233">
        <v>1200</v>
      </c>
      <c r="F383" s="3233">
        <v>420</v>
      </c>
      <c r="G383" s="3246">
        <v>770</v>
      </c>
    </row>
    <row r="384" spans="1:7" s="3226" customFormat="1" ht="12" thickBot="1">
      <c r="A384" s="3252" t="s">
        <v>3181</v>
      </c>
      <c r="B384" s="3240" t="s">
        <v>3188</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4" t="s">
        <v>3189</v>
      </c>
      <c r="B1" s="3804"/>
    </row>
    <row r="2" spans="1:7" ht="14.25" thickBot="1">
      <c r="A2" s="3255"/>
      <c r="B2" s="3255"/>
    </row>
    <row r="3" spans="1:7" ht="14.25" thickBot="1">
      <c r="A3" s="3255"/>
      <c r="B3" s="3255"/>
      <c r="C3" s="3256" t="s">
        <v>2813</v>
      </c>
      <c r="D3" s="3256" t="s">
        <v>2875</v>
      </c>
      <c r="E3" s="3256" t="s">
        <v>2815</v>
      </c>
      <c r="F3" s="3256" t="s">
        <v>2876</v>
      </c>
      <c r="G3" s="3256" t="s">
        <v>2633</v>
      </c>
    </row>
    <row r="4" spans="1:7" ht="14.25" thickBot="1">
      <c r="A4" s="3257" t="s">
        <v>2874</v>
      </c>
      <c r="B4" s="3258" t="s">
        <v>2880</v>
      </c>
      <c r="C4" s="3256"/>
      <c r="D4" s="3256"/>
      <c r="E4" s="3256"/>
      <c r="F4" s="3256"/>
      <c r="G4" s="3256"/>
    </row>
    <row r="5" spans="1:7">
      <c r="A5" s="3259" t="s">
        <v>2848</v>
      </c>
      <c r="B5" s="3260" t="s">
        <v>2862</v>
      </c>
      <c r="C5" s="3261">
        <v>9.8000000000000004E-2</v>
      </c>
      <c r="D5" s="3261">
        <v>8.6999999999999994E-2</v>
      </c>
      <c r="E5" s="3261">
        <v>8.6999999999999994E-2</v>
      </c>
      <c r="F5" s="3261">
        <v>9.8000000000000004E-2</v>
      </c>
      <c r="G5" s="3262">
        <v>9.5000000000000001E-2</v>
      </c>
    </row>
    <row r="6" spans="1:7">
      <c r="A6" s="3263" t="s">
        <v>144</v>
      </c>
      <c r="B6" s="3264" t="s">
        <v>2877</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2863</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2913</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2931</v>
      </c>
      <c r="C29" s="3273"/>
      <c r="D29" s="3269">
        <v>5.1999999999999998E-2</v>
      </c>
      <c r="E29" s="3269">
        <v>7.0000000000000007E-2</v>
      </c>
      <c r="F29" s="3273"/>
      <c r="G29" s="3271">
        <v>7.0999999999999994E-2</v>
      </c>
    </row>
    <row r="30" spans="1:7">
      <c r="A30" s="3274" t="s">
        <v>296</v>
      </c>
      <c r="B30" s="3260" t="s">
        <v>2864</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2850</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2934</v>
      </c>
      <c r="C50" s="3265">
        <v>9.8000000000000004E-2</v>
      </c>
      <c r="D50" s="3265">
        <v>7.2999999999999995E-2</v>
      </c>
      <c r="E50" s="3265">
        <v>7.0999999999999994E-2</v>
      </c>
      <c r="F50" s="3276"/>
      <c r="G50" s="3266">
        <v>7.2999999999999995E-2</v>
      </c>
    </row>
    <row r="51" spans="1:7">
      <c r="A51" s="3275" t="s">
        <v>296</v>
      </c>
      <c r="B51" s="3264" t="s">
        <v>2936</v>
      </c>
      <c r="C51" s="3265">
        <v>9.9000000000000005E-2</v>
      </c>
      <c r="D51" s="3265">
        <v>8.5000000000000006E-2</v>
      </c>
      <c r="E51" s="3265">
        <v>6.3E-2</v>
      </c>
      <c r="F51" s="3276"/>
      <c r="G51" s="3266">
        <v>9.6000000000000002E-2</v>
      </c>
    </row>
    <row r="52" spans="1:7">
      <c r="A52" s="3275" t="s">
        <v>296</v>
      </c>
      <c r="B52" s="3264" t="s">
        <v>2940</v>
      </c>
      <c r="C52" s="3265">
        <v>7.3999999999999996E-2</v>
      </c>
      <c r="D52" s="3265">
        <v>9.6000000000000002E-2</v>
      </c>
      <c r="E52" s="3265">
        <v>0.05</v>
      </c>
      <c r="F52" s="3276"/>
      <c r="G52" s="3266">
        <v>9.8000000000000004E-2</v>
      </c>
    </row>
    <row r="53" spans="1:7">
      <c r="A53" s="3275" t="s">
        <v>296</v>
      </c>
      <c r="B53" s="3264" t="s">
        <v>2945</v>
      </c>
      <c r="C53" s="3265">
        <v>8.5999999999999993E-2</v>
      </c>
      <c r="D53" s="3276"/>
      <c r="E53" s="3265">
        <v>9.1999999999999998E-2</v>
      </c>
      <c r="F53" s="3276"/>
      <c r="G53" s="3277"/>
    </row>
    <row r="54" spans="1:7" ht="14.25" thickBot="1">
      <c r="A54" s="3278" t="s">
        <v>296</v>
      </c>
      <c r="B54" s="3268" t="s">
        <v>2948</v>
      </c>
      <c r="C54" s="3269">
        <v>9.6000000000000002E-2</v>
      </c>
      <c r="D54" s="3270"/>
      <c r="E54" s="3279"/>
      <c r="F54" s="3270"/>
      <c r="G54" s="3280"/>
    </row>
    <row r="55" spans="1:7">
      <c r="A55" s="3274" t="s">
        <v>110</v>
      </c>
      <c r="B55" s="3260" t="s">
        <v>2865</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2946</v>
      </c>
      <c r="C78" s="3265">
        <v>0.1</v>
      </c>
      <c r="D78" s="3265">
        <v>8.5000000000000006E-2</v>
      </c>
      <c r="E78" s="3265">
        <v>9.6000000000000002E-2</v>
      </c>
      <c r="F78" s="3276"/>
      <c r="G78" s="3266">
        <v>9.6000000000000002E-2</v>
      </c>
    </row>
    <row r="79" spans="1:7">
      <c r="A79" s="3275" t="s">
        <v>110</v>
      </c>
      <c r="B79" s="3264" t="s">
        <v>2949</v>
      </c>
      <c r="C79" s="3265">
        <v>0.05</v>
      </c>
      <c r="D79" s="3265">
        <v>9.6000000000000002E-2</v>
      </c>
      <c r="E79" s="3265">
        <v>9.5000000000000001E-2</v>
      </c>
      <c r="F79" s="3276"/>
      <c r="G79" s="3266">
        <v>9.8000000000000004E-2</v>
      </c>
    </row>
    <row r="80" spans="1:7">
      <c r="A80" s="3275" t="s">
        <v>110</v>
      </c>
      <c r="B80" s="3264" t="s">
        <v>2953</v>
      </c>
      <c r="C80" s="3265">
        <v>8.5999999999999993E-2</v>
      </c>
      <c r="D80" s="3281"/>
      <c r="E80" s="3265">
        <v>0.1</v>
      </c>
      <c r="F80" s="3276"/>
      <c r="G80" s="3277"/>
    </row>
    <row r="81" spans="1:7">
      <c r="A81" s="3275" t="s">
        <v>110</v>
      </c>
      <c r="B81" s="3264" t="s">
        <v>2958</v>
      </c>
      <c r="C81" s="3265">
        <v>9.6000000000000002E-2</v>
      </c>
      <c r="D81" s="3276"/>
      <c r="E81" s="3265">
        <v>9.8000000000000004E-2</v>
      </c>
      <c r="F81" s="3276"/>
      <c r="G81" s="3277"/>
    </row>
    <row r="82" spans="1:7">
      <c r="A82" s="3275" t="s">
        <v>110</v>
      </c>
      <c r="B82" s="3264" t="s">
        <v>2965</v>
      </c>
      <c r="C82" s="3281"/>
      <c r="D82" s="3276"/>
      <c r="E82" s="3265">
        <v>7.6999999999999999E-2</v>
      </c>
      <c r="F82" s="3276"/>
      <c r="G82" s="3277"/>
    </row>
    <row r="83" spans="1:7">
      <c r="A83" s="3275" t="s">
        <v>110</v>
      </c>
      <c r="B83" s="3264" t="s">
        <v>2971</v>
      </c>
      <c r="C83" s="3276"/>
      <c r="D83" s="3276"/>
      <c r="E83" s="3276"/>
      <c r="F83" s="3265">
        <v>0.1</v>
      </c>
      <c r="G83" s="3282"/>
    </row>
    <row r="84" spans="1:7">
      <c r="A84" s="3275" t="s">
        <v>110</v>
      </c>
      <c r="B84" s="3264" t="s">
        <v>2978</v>
      </c>
      <c r="C84" s="3276"/>
      <c r="D84" s="3276"/>
      <c r="E84" s="3276"/>
      <c r="F84" s="3265">
        <v>0.1</v>
      </c>
      <c r="G84" s="3282"/>
    </row>
    <row r="85" spans="1:7">
      <c r="A85" s="3275" t="s">
        <v>110</v>
      </c>
      <c r="B85" s="3264" t="s">
        <v>2985</v>
      </c>
      <c r="C85" s="3276"/>
      <c r="D85" s="3276"/>
      <c r="E85" s="3276"/>
      <c r="F85" s="3265">
        <v>0.1</v>
      </c>
      <c r="G85" s="3282"/>
    </row>
    <row r="86" spans="1:7" ht="14.25" thickBot="1">
      <c r="A86" s="3278" t="s">
        <v>110</v>
      </c>
      <c r="B86" s="3268" t="s">
        <v>2990</v>
      </c>
      <c r="C86" s="3269">
        <v>9.8000000000000004E-2</v>
      </c>
      <c r="D86" s="3269">
        <v>9.8000000000000004E-2</v>
      </c>
      <c r="E86" s="3269">
        <v>9.6000000000000002E-2</v>
      </c>
      <c r="F86" s="3279"/>
      <c r="G86" s="3271">
        <v>0.1</v>
      </c>
    </row>
    <row r="87" spans="1:7">
      <c r="A87" s="3274" t="s">
        <v>303</v>
      </c>
      <c r="B87" s="3260" t="s">
        <v>2866</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2959</v>
      </c>
      <c r="C113" s="3265">
        <v>0.1</v>
      </c>
      <c r="D113" s="3265">
        <v>0.1</v>
      </c>
      <c r="E113" s="3276"/>
      <c r="F113" s="3276"/>
      <c r="G113" s="3266">
        <v>0.1</v>
      </c>
    </row>
    <row r="114" spans="1:7">
      <c r="A114" s="3275" t="s">
        <v>303</v>
      </c>
      <c r="B114" s="3264" t="s">
        <v>2966</v>
      </c>
      <c r="C114" s="3265">
        <v>9.7000000000000003E-2</v>
      </c>
      <c r="D114" s="3265">
        <v>9.7000000000000003E-2</v>
      </c>
      <c r="E114" s="3276"/>
      <c r="F114" s="3276"/>
      <c r="G114" s="3266">
        <v>9.9000000000000005E-2</v>
      </c>
    </row>
    <row r="115" spans="1:7">
      <c r="A115" s="3275" t="s">
        <v>303</v>
      </c>
      <c r="B115" s="3264" t="s">
        <v>2972</v>
      </c>
      <c r="C115" s="3265">
        <v>0.1</v>
      </c>
      <c r="D115" s="3265">
        <v>0.1</v>
      </c>
      <c r="E115" s="3276"/>
      <c r="F115" s="3276"/>
      <c r="G115" s="3266">
        <v>0.1</v>
      </c>
    </row>
    <row r="116" spans="1:7">
      <c r="A116" s="3275" t="s">
        <v>303</v>
      </c>
      <c r="B116" s="3264" t="s">
        <v>2979</v>
      </c>
      <c r="C116" s="3265">
        <v>0.1</v>
      </c>
      <c r="D116" s="3265">
        <v>0.1</v>
      </c>
      <c r="E116" s="3276"/>
      <c r="F116" s="3276"/>
      <c r="G116" s="3266">
        <v>0.1</v>
      </c>
    </row>
    <row r="117" spans="1:7">
      <c r="A117" s="3275" t="s">
        <v>303</v>
      </c>
      <c r="B117" s="3264" t="s">
        <v>2986</v>
      </c>
      <c r="C117" s="3265">
        <v>9.7000000000000003E-2</v>
      </c>
      <c r="D117" s="3265">
        <v>9.7000000000000003E-2</v>
      </c>
      <c r="E117" s="3276"/>
      <c r="F117" s="3276"/>
      <c r="G117" s="3266">
        <v>9.7000000000000003E-2</v>
      </c>
    </row>
    <row r="118" spans="1:7">
      <c r="A118" s="3275" t="s">
        <v>303</v>
      </c>
      <c r="B118" s="3264" t="s">
        <v>2991</v>
      </c>
      <c r="C118" s="3265">
        <v>0.1</v>
      </c>
      <c r="D118" s="3265">
        <v>0.1</v>
      </c>
      <c r="E118" s="3276"/>
      <c r="F118" s="3276"/>
      <c r="G118" s="3266">
        <v>0.1</v>
      </c>
    </row>
    <row r="119" spans="1:7">
      <c r="A119" s="3275" t="s">
        <v>303</v>
      </c>
      <c r="B119" s="3264" t="s">
        <v>2995</v>
      </c>
      <c r="C119" s="3265">
        <v>5.0999999999999997E-2</v>
      </c>
      <c r="D119" s="3265">
        <v>5.1999999999999998E-2</v>
      </c>
      <c r="E119" s="3276"/>
      <c r="F119" s="3281"/>
      <c r="G119" s="3266">
        <v>0.06</v>
      </c>
    </row>
    <row r="120" spans="1:7">
      <c r="A120" s="3275" t="s">
        <v>303</v>
      </c>
      <c r="B120" s="3264" t="s">
        <v>2999</v>
      </c>
      <c r="C120" s="3276"/>
      <c r="D120" s="3276"/>
      <c r="E120" s="3276"/>
      <c r="F120" s="3265">
        <v>0.1</v>
      </c>
      <c r="G120" s="3282"/>
    </row>
    <row r="121" spans="1:7">
      <c r="A121" s="3275" t="s">
        <v>303</v>
      </c>
      <c r="B121" s="3264" t="s">
        <v>3004</v>
      </c>
      <c r="C121" s="3276"/>
      <c r="D121" s="3276"/>
      <c r="E121" s="3276"/>
      <c r="F121" s="3265">
        <v>0.1</v>
      </c>
      <c r="G121" s="3282"/>
    </row>
    <row r="122" spans="1:7">
      <c r="A122" s="3275" t="s">
        <v>303</v>
      </c>
      <c r="B122" s="3264" t="s">
        <v>3009</v>
      </c>
      <c r="C122" s="3265">
        <v>0.1</v>
      </c>
      <c r="D122" s="3265">
        <v>0.1</v>
      </c>
      <c r="E122" s="3265">
        <v>9.8000000000000004E-2</v>
      </c>
      <c r="F122" s="3265">
        <v>0.1</v>
      </c>
      <c r="G122" s="3266">
        <v>0.1</v>
      </c>
    </row>
    <row r="123" spans="1:7">
      <c r="A123" s="3275" t="s">
        <v>303</v>
      </c>
      <c r="B123" s="3264" t="s">
        <v>3014</v>
      </c>
      <c r="C123" s="3265">
        <v>0.1</v>
      </c>
      <c r="D123" s="3265">
        <v>0.1</v>
      </c>
      <c r="E123" s="3265">
        <v>9.8000000000000004E-2</v>
      </c>
      <c r="F123" s="3265">
        <v>0.1</v>
      </c>
      <c r="G123" s="3266">
        <v>0.1</v>
      </c>
    </row>
    <row r="124" spans="1:7">
      <c r="A124" s="3275" t="s">
        <v>303</v>
      </c>
      <c r="B124" s="3264" t="s">
        <v>3019</v>
      </c>
      <c r="C124" s="3265">
        <v>0.1</v>
      </c>
      <c r="D124" s="3265">
        <v>0.1</v>
      </c>
      <c r="E124" s="3265">
        <v>9.8000000000000004E-2</v>
      </c>
      <c r="F124" s="3281"/>
      <c r="G124" s="3266">
        <v>0.1</v>
      </c>
    </row>
    <row r="125" spans="1:7">
      <c r="A125" s="3275" t="s">
        <v>303</v>
      </c>
      <c r="B125" s="3264" t="s">
        <v>3024</v>
      </c>
      <c r="C125" s="3265">
        <v>9.8000000000000004E-2</v>
      </c>
      <c r="D125" s="3265">
        <v>9.8000000000000004E-2</v>
      </c>
      <c r="E125" s="3265">
        <v>9.6000000000000002E-2</v>
      </c>
      <c r="F125" s="3281"/>
      <c r="G125" s="3266">
        <v>0.1</v>
      </c>
    </row>
    <row r="126" spans="1:7" ht="14.25" thickBot="1">
      <c r="A126" s="3278" t="s">
        <v>303</v>
      </c>
      <c r="B126" s="3268" t="s">
        <v>3190</v>
      </c>
      <c r="C126" s="3269">
        <v>0.1</v>
      </c>
      <c r="D126" s="3269">
        <v>0.1</v>
      </c>
      <c r="E126" s="3269">
        <v>9.8000000000000004E-2</v>
      </c>
      <c r="F126" s="3269">
        <v>0.1</v>
      </c>
      <c r="G126" s="3271">
        <v>0.1</v>
      </c>
    </row>
    <row r="127" spans="1:7">
      <c r="A127" s="3274" t="s">
        <v>29</v>
      </c>
      <c r="B127" s="3260" t="s">
        <v>2867</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2937</v>
      </c>
      <c r="C148" s="3265">
        <v>0.13</v>
      </c>
      <c r="D148" s="3265">
        <v>0.13</v>
      </c>
      <c r="E148" s="3265">
        <v>0.13</v>
      </c>
      <c r="F148" s="3276"/>
      <c r="G148" s="3266">
        <v>0.13</v>
      </c>
    </row>
    <row r="149" spans="1:7">
      <c r="A149" s="3275" t="s">
        <v>29</v>
      </c>
      <c r="B149" s="3264" t="s">
        <v>2941</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2960</v>
      </c>
      <c r="C153" s="3265">
        <v>0.13</v>
      </c>
      <c r="D153" s="3265">
        <v>0.13</v>
      </c>
      <c r="E153" s="3265">
        <v>0.13</v>
      </c>
      <c r="F153" s="3265">
        <v>0.13</v>
      </c>
      <c r="G153" s="3266">
        <v>0.13</v>
      </c>
    </row>
    <row r="154" spans="1:7">
      <c r="A154" s="3275" t="s">
        <v>29</v>
      </c>
      <c r="B154" s="3264" t="s">
        <v>2967</v>
      </c>
      <c r="C154" s="3265">
        <v>0.121</v>
      </c>
      <c r="D154" s="3265">
        <v>0.121</v>
      </c>
      <c r="E154" s="3265">
        <v>0.105</v>
      </c>
      <c r="F154" s="3265">
        <v>0.121</v>
      </c>
      <c r="G154" s="3266">
        <v>0.123</v>
      </c>
    </row>
    <row r="155" spans="1:7">
      <c r="A155" s="3275" t="s">
        <v>29</v>
      </c>
      <c r="B155" s="3264" t="s">
        <v>2973</v>
      </c>
      <c r="C155" s="3265">
        <v>0.1</v>
      </c>
      <c r="D155" s="3265">
        <v>0.1</v>
      </c>
      <c r="E155" s="3265">
        <v>0.1</v>
      </c>
      <c r="F155" s="3265">
        <v>0.1</v>
      </c>
      <c r="G155" s="3266">
        <v>0.1</v>
      </c>
    </row>
    <row r="156" spans="1:7">
      <c r="A156" s="3275" t="s">
        <v>29</v>
      </c>
      <c r="B156" s="3264" t="s">
        <v>2980</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3000</v>
      </c>
      <c r="C160" s="3265">
        <v>0.13</v>
      </c>
      <c r="D160" s="3265">
        <v>0.13</v>
      </c>
      <c r="E160" s="3265">
        <v>0.124</v>
      </c>
      <c r="F160" s="3265">
        <v>0.126</v>
      </c>
      <c r="G160" s="3266">
        <v>0.13</v>
      </c>
    </row>
    <row r="161" spans="1:7">
      <c r="A161" s="3275" t="s">
        <v>29</v>
      </c>
      <c r="B161" s="3264" t="s">
        <v>3005</v>
      </c>
      <c r="C161" s="3265">
        <v>0.13</v>
      </c>
      <c r="D161" s="3265">
        <v>0.13</v>
      </c>
      <c r="E161" s="3265">
        <v>0.124</v>
      </c>
      <c r="F161" s="3265">
        <v>0.127</v>
      </c>
      <c r="G161" s="3266">
        <v>0.13</v>
      </c>
    </row>
    <row r="162" spans="1:7">
      <c r="A162" s="3275" t="s">
        <v>29</v>
      </c>
      <c r="B162" s="3264" t="s">
        <v>3010</v>
      </c>
      <c r="C162" s="3265">
        <v>0.1</v>
      </c>
      <c r="D162" s="3265">
        <v>0.1</v>
      </c>
      <c r="E162" s="3265">
        <v>0.1</v>
      </c>
      <c r="F162" s="3265">
        <v>0.121</v>
      </c>
      <c r="G162" s="3266">
        <v>0.105</v>
      </c>
    </row>
    <row r="163" spans="1:7">
      <c r="A163" s="3275" t="s">
        <v>29</v>
      </c>
      <c r="B163" s="3264" t="s">
        <v>3015</v>
      </c>
      <c r="C163" s="3265">
        <v>0.1</v>
      </c>
      <c r="D163" s="3265">
        <v>0.1</v>
      </c>
      <c r="E163" s="3265">
        <v>0.1</v>
      </c>
      <c r="F163" s="3265">
        <v>0.1</v>
      </c>
      <c r="G163" s="3266">
        <v>0.1</v>
      </c>
    </row>
    <row r="164" spans="1:7">
      <c r="A164" s="3275" t="s">
        <v>29</v>
      </c>
      <c r="B164" s="3264" t="s">
        <v>3020</v>
      </c>
      <c r="C164" s="3281"/>
      <c r="D164" s="3281"/>
      <c r="E164" s="3281"/>
      <c r="F164" s="3265">
        <v>0.1</v>
      </c>
      <c r="G164" s="3277"/>
    </row>
    <row r="165" spans="1:7">
      <c r="A165" s="3275" t="s">
        <v>29</v>
      </c>
      <c r="B165" s="3264" t="s">
        <v>3191</v>
      </c>
      <c r="C165" s="3265">
        <v>0.126</v>
      </c>
      <c r="D165" s="3265">
        <v>0.126</v>
      </c>
      <c r="E165" s="3265">
        <v>0.11899999999999999</v>
      </c>
      <c r="F165" s="3265">
        <v>0.13</v>
      </c>
      <c r="G165" s="3266">
        <v>0.128</v>
      </c>
    </row>
    <row r="166" spans="1:7">
      <c r="A166" s="3275" t="s">
        <v>29</v>
      </c>
      <c r="B166" s="3264" t="s">
        <v>3030</v>
      </c>
      <c r="C166" s="3265">
        <v>0.129</v>
      </c>
      <c r="D166" s="3265">
        <v>0.129</v>
      </c>
      <c r="E166" s="3265">
        <v>0.123</v>
      </c>
      <c r="F166" s="3265">
        <v>0.128</v>
      </c>
      <c r="G166" s="3266">
        <v>0.13</v>
      </c>
    </row>
    <row r="167" spans="1:7">
      <c r="A167" s="3275" t="s">
        <v>29</v>
      </c>
      <c r="B167" s="3264" t="s">
        <v>3034</v>
      </c>
      <c r="C167" s="3265">
        <v>0.125</v>
      </c>
      <c r="D167" s="3265">
        <v>0.125</v>
      </c>
      <c r="E167" s="3265">
        <v>0.11700000000000001</v>
      </c>
      <c r="F167" s="3265">
        <v>0.13</v>
      </c>
      <c r="G167" s="3266">
        <v>0.126</v>
      </c>
    </row>
    <row r="168" spans="1:7">
      <c r="A168" s="3275" t="s">
        <v>29</v>
      </c>
      <c r="B168" s="3264" t="s">
        <v>3039</v>
      </c>
      <c r="C168" s="3265">
        <v>0.128</v>
      </c>
      <c r="D168" s="3265">
        <v>0.128</v>
      </c>
      <c r="E168" s="3265">
        <v>0.123</v>
      </c>
      <c r="F168" s="3276"/>
      <c r="G168" s="3266">
        <v>0.13</v>
      </c>
    </row>
    <row r="169" spans="1:7">
      <c r="A169" s="3275" t="s">
        <v>29</v>
      </c>
      <c r="B169" s="3264" t="s">
        <v>3192</v>
      </c>
      <c r="C169" s="3281"/>
      <c r="D169" s="3281"/>
      <c r="E169" s="3281"/>
      <c r="F169" s="3265">
        <v>0.05</v>
      </c>
      <c r="G169" s="3277"/>
    </row>
    <row r="170" spans="1:7">
      <c r="A170" s="3275" t="s">
        <v>29</v>
      </c>
      <c r="B170" s="3264" t="s">
        <v>3193</v>
      </c>
      <c r="C170" s="3281"/>
      <c r="D170" s="3281"/>
      <c r="E170" s="3281"/>
      <c r="F170" s="3265">
        <v>0.05</v>
      </c>
      <c r="G170" s="3277"/>
    </row>
    <row r="171" spans="1:7">
      <c r="A171" s="3275" t="s">
        <v>29</v>
      </c>
      <c r="B171" s="3264" t="s">
        <v>3194</v>
      </c>
      <c r="C171" s="3281"/>
      <c r="D171" s="3281"/>
      <c r="E171" s="3281"/>
      <c r="F171" s="3265">
        <v>0.05</v>
      </c>
      <c r="G171" s="3282"/>
    </row>
    <row r="172" spans="1:7">
      <c r="A172" s="3275" t="s">
        <v>29</v>
      </c>
      <c r="B172" s="3264" t="s">
        <v>3195</v>
      </c>
      <c r="C172" s="3281"/>
      <c r="D172" s="3281"/>
      <c r="E172" s="3281"/>
      <c r="F172" s="3265">
        <v>0.05</v>
      </c>
      <c r="G172" s="3282"/>
    </row>
    <row r="173" spans="1:7">
      <c r="A173" s="3275" t="s">
        <v>29</v>
      </c>
      <c r="B173" s="3264" t="s">
        <v>3196</v>
      </c>
      <c r="C173" s="3281"/>
      <c r="D173" s="3281"/>
      <c r="E173" s="3281"/>
      <c r="F173" s="3265">
        <v>0.05</v>
      </c>
      <c r="G173" s="3277"/>
    </row>
    <row r="174" spans="1:7">
      <c r="A174" s="3275" t="s">
        <v>29</v>
      </c>
      <c r="B174" s="3264" t="s">
        <v>3197</v>
      </c>
      <c r="C174" s="3281"/>
      <c r="D174" s="3281"/>
      <c r="E174" s="3281"/>
      <c r="F174" s="3265">
        <v>0.05</v>
      </c>
      <c r="G174" s="3277"/>
    </row>
    <row r="175" spans="1:7">
      <c r="A175" s="3275" t="s">
        <v>29</v>
      </c>
      <c r="B175" s="3264" t="s">
        <v>3198</v>
      </c>
      <c r="C175" s="3281"/>
      <c r="D175" s="3281"/>
      <c r="E175" s="3281"/>
      <c r="F175" s="3265">
        <v>0.05</v>
      </c>
      <c r="G175" s="3277"/>
    </row>
    <row r="176" spans="1:7">
      <c r="A176" s="3275" t="s">
        <v>29</v>
      </c>
      <c r="B176" s="3264" t="s">
        <v>3199</v>
      </c>
      <c r="C176" s="3281"/>
      <c r="D176" s="3281"/>
      <c r="E176" s="3281"/>
      <c r="F176" s="3265">
        <v>0.05</v>
      </c>
      <c r="G176" s="3277"/>
    </row>
    <row r="177" spans="1:7">
      <c r="A177" s="3275" t="s">
        <v>29</v>
      </c>
      <c r="B177" s="3264" t="s">
        <v>3200</v>
      </c>
      <c r="C177" s="3276"/>
      <c r="D177" s="3276"/>
      <c r="E177" s="3276"/>
      <c r="F177" s="3265">
        <v>0.05</v>
      </c>
      <c r="G177" s="3282"/>
    </row>
    <row r="178" spans="1:7">
      <c r="A178" s="3275" t="s">
        <v>29</v>
      </c>
      <c r="B178" s="3264" t="s">
        <v>3201</v>
      </c>
      <c r="C178" s="3276"/>
      <c r="D178" s="3276"/>
      <c r="E178" s="3276"/>
      <c r="F178" s="3265">
        <v>0.05</v>
      </c>
      <c r="G178" s="3282"/>
    </row>
    <row r="179" spans="1:7">
      <c r="A179" s="3275" t="s">
        <v>29</v>
      </c>
      <c r="B179" s="3264" t="s">
        <v>3202</v>
      </c>
      <c r="C179" s="3276"/>
      <c r="D179" s="3276"/>
      <c r="E179" s="3276"/>
      <c r="F179" s="3265">
        <v>0.05</v>
      </c>
      <c r="G179" s="3282"/>
    </row>
    <row r="180" spans="1:7">
      <c r="A180" s="3275" t="s">
        <v>29</v>
      </c>
      <c r="B180" s="3264" t="s">
        <v>3203</v>
      </c>
      <c r="C180" s="3276"/>
      <c r="D180" s="3276"/>
      <c r="E180" s="3276"/>
      <c r="F180" s="3265">
        <v>0.05</v>
      </c>
      <c r="G180" s="3282"/>
    </row>
    <row r="181" spans="1:7">
      <c r="A181" s="3275" t="s">
        <v>29</v>
      </c>
      <c r="B181" s="3264" t="s">
        <v>3204</v>
      </c>
      <c r="C181" s="3276"/>
      <c r="D181" s="3276"/>
      <c r="E181" s="3276"/>
      <c r="F181" s="3265">
        <v>0.05</v>
      </c>
      <c r="G181" s="3282"/>
    </row>
    <row r="182" spans="1:7">
      <c r="A182" s="3275" t="s">
        <v>29</v>
      </c>
      <c r="B182" s="3264" t="s">
        <v>3205</v>
      </c>
      <c r="C182" s="3276"/>
      <c r="D182" s="3276"/>
      <c r="E182" s="3276"/>
      <c r="F182" s="3265">
        <v>0.05</v>
      </c>
      <c r="G182" s="3282"/>
    </row>
    <row r="183" spans="1:7">
      <c r="A183" s="3275" t="s">
        <v>29</v>
      </c>
      <c r="B183" s="3264" t="s">
        <v>3206</v>
      </c>
      <c r="C183" s="3276"/>
      <c r="D183" s="3276"/>
      <c r="E183" s="3276"/>
      <c r="F183" s="3265">
        <v>0.05</v>
      </c>
      <c r="G183" s="3282"/>
    </row>
    <row r="184" spans="1:7">
      <c r="A184" s="3275" t="s">
        <v>29</v>
      </c>
      <c r="B184" s="3264" t="s">
        <v>3207</v>
      </c>
      <c r="C184" s="3276"/>
      <c r="D184" s="3276"/>
      <c r="E184" s="3276"/>
      <c r="F184" s="3265">
        <v>0.05</v>
      </c>
      <c r="G184" s="3282"/>
    </row>
    <row r="185" spans="1:7">
      <c r="A185" s="3275" t="s">
        <v>29</v>
      </c>
      <c r="B185" s="3264" t="s">
        <v>3208</v>
      </c>
      <c r="C185" s="3276"/>
      <c r="D185" s="3276"/>
      <c r="E185" s="3276"/>
      <c r="F185" s="3265">
        <v>0.05</v>
      </c>
      <c r="G185" s="3282"/>
    </row>
    <row r="186" spans="1:7">
      <c r="A186" s="3275" t="s">
        <v>29</v>
      </c>
      <c r="B186" s="3264" t="s">
        <v>3209</v>
      </c>
      <c r="C186" s="3276"/>
      <c r="D186" s="3276"/>
      <c r="E186" s="3276"/>
      <c r="F186" s="3265">
        <v>0.05</v>
      </c>
      <c r="G186" s="3282"/>
    </row>
    <row r="187" spans="1:7">
      <c r="A187" s="3275" t="s">
        <v>29</v>
      </c>
      <c r="B187" s="3264" t="s">
        <v>3210</v>
      </c>
      <c r="C187" s="3276"/>
      <c r="D187" s="3276"/>
      <c r="E187" s="3276"/>
      <c r="F187" s="3265">
        <v>0.05</v>
      </c>
      <c r="G187" s="3282"/>
    </row>
    <row r="188" spans="1:7">
      <c r="A188" s="3275" t="s">
        <v>29</v>
      </c>
      <c r="B188" s="3264" t="s">
        <v>3211</v>
      </c>
      <c r="C188" s="3276"/>
      <c r="D188" s="3276"/>
      <c r="E188" s="3276"/>
      <c r="F188" s="3265">
        <v>0.05</v>
      </c>
      <c r="G188" s="3282"/>
    </row>
    <row r="189" spans="1:7" ht="14.25" thickBot="1">
      <c r="A189" s="3278" t="s">
        <v>29</v>
      </c>
      <c r="B189" s="3268" t="s">
        <v>3212</v>
      </c>
      <c r="C189" s="3270"/>
      <c r="D189" s="3270"/>
      <c r="E189" s="3270"/>
      <c r="F189" s="3269">
        <v>0.05</v>
      </c>
      <c r="G189" s="3283"/>
    </row>
    <row r="190" spans="1:7">
      <c r="A190" s="3274" t="s">
        <v>304</v>
      </c>
      <c r="B190" s="3260" t="s">
        <v>2868</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2904</v>
      </c>
      <c r="C199" s="3265">
        <v>0.13</v>
      </c>
      <c r="D199" s="3265">
        <v>0.13</v>
      </c>
      <c r="E199" s="3265">
        <v>0.13</v>
      </c>
      <c r="F199" s="3265">
        <v>0.13</v>
      </c>
      <c r="G199" s="3266">
        <v>0.13</v>
      </c>
    </row>
    <row r="200" spans="1:7">
      <c r="A200" s="3275" t="s">
        <v>304</v>
      </c>
      <c r="B200" s="3264" t="s">
        <v>2907</v>
      </c>
      <c r="C200" s="3281"/>
      <c r="D200" s="3281"/>
      <c r="E200" s="3281"/>
      <c r="F200" s="3265">
        <v>0.13</v>
      </c>
      <c r="G200" s="3277"/>
    </row>
    <row r="201" spans="1:7">
      <c r="A201" s="3275" t="s">
        <v>304</v>
      </c>
      <c r="B201" s="3264" t="s">
        <v>2912</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2915</v>
      </c>
      <c r="C203" s="3265">
        <v>0.129</v>
      </c>
      <c r="D203" s="3265">
        <v>0.129</v>
      </c>
      <c r="E203" s="3265">
        <v>0.13</v>
      </c>
      <c r="F203" s="3265">
        <v>0.13</v>
      </c>
      <c r="G203" s="3266">
        <v>0.13</v>
      </c>
    </row>
    <row r="204" spans="1:7">
      <c r="A204" s="3275" t="s">
        <v>304</v>
      </c>
      <c r="B204" s="3264" t="s">
        <v>2918</v>
      </c>
      <c r="C204" s="3265">
        <v>0.129</v>
      </c>
      <c r="D204" s="3265">
        <v>0.129</v>
      </c>
      <c r="E204" s="3265">
        <v>0.123</v>
      </c>
      <c r="F204" s="3265">
        <v>0.13</v>
      </c>
      <c r="G204" s="3266">
        <v>0.13</v>
      </c>
    </row>
    <row r="205" spans="1:7">
      <c r="A205" s="3275" t="s">
        <v>304</v>
      </c>
      <c r="B205" s="3264" t="s">
        <v>2920</v>
      </c>
      <c r="C205" s="3265">
        <v>0.13</v>
      </c>
      <c r="D205" s="3265">
        <v>0.13</v>
      </c>
      <c r="E205" s="3265">
        <v>0.13</v>
      </c>
      <c r="F205" s="3265">
        <v>0.13</v>
      </c>
      <c r="G205" s="3266">
        <v>0.13</v>
      </c>
    </row>
    <row r="206" spans="1:7">
      <c r="A206" s="3275" t="s">
        <v>304</v>
      </c>
      <c r="B206" s="3264" t="s">
        <v>2923</v>
      </c>
      <c r="C206" s="3265">
        <v>0.13</v>
      </c>
      <c r="D206" s="3265">
        <v>0.13</v>
      </c>
      <c r="E206" s="3265">
        <v>0.13</v>
      </c>
      <c r="F206" s="3265">
        <v>0.128</v>
      </c>
      <c r="G206" s="3266">
        <v>0.13</v>
      </c>
    </row>
    <row r="207" spans="1:7">
      <c r="A207" s="3275" t="s">
        <v>304</v>
      </c>
      <c r="B207" s="3264" t="s">
        <v>2925</v>
      </c>
      <c r="C207" s="3265">
        <v>0.13</v>
      </c>
      <c r="D207" s="3265">
        <v>0.13</v>
      </c>
      <c r="E207" s="3265">
        <v>0.13</v>
      </c>
      <c r="F207" s="3265">
        <v>0.13</v>
      </c>
      <c r="G207" s="3266">
        <v>0.13</v>
      </c>
    </row>
    <row r="208" spans="1:7">
      <c r="A208" s="3275" t="s">
        <v>304</v>
      </c>
      <c r="B208" s="3264" t="s">
        <v>2928</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2935</v>
      </c>
      <c r="C210" s="3265">
        <v>0.121</v>
      </c>
      <c r="D210" s="3265">
        <v>0.121</v>
      </c>
      <c r="E210" s="3265">
        <v>0.125</v>
      </c>
      <c r="F210" s="3265">
        <v>0.13</v>
      </c>
      <c r="G210" s="3266">
        <v>0.123</v>
      </c>
    </row>
    <row r="211" spans="1:7">
      <c r="A211" s="3275" t="s">
        <v>304</v>
      </c>
      <c r="B211" s="3264" t="s">
        <v>2938</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2950</v>
      </c>
      <c r="C214" s="3265">
        <v>0.128</v>
      </c>
      <c r="D214" s="3265">
        <v>0.128</v>
      </c>
      <c r="E214" s="3265">
        <v>0.13</v>
      </c>
      <c r="F214" s="3265">
        <v>0.13</v>
      </c>
      <c r="G214" s="3266">
        <v>0.13</v>
      </c>
    </row>
    <row r="215" spans="1:7">
      <c r="A215" s="3275" t="s">
        <v>304</v>
      </c>
      <c r="B215" s="3264" t="s">
        <v>2954</v>
      </c>
      <c r="C215" s="3265">
        <v>0.13</v>
      </c>
      <c r="D215" s="3265">
        <v>0.13</v>
      </c>
      <c r="E215" s="3265">
        <v>0.13</v>
      </c>
      <c r="F215" s="3265">
        <v>0.129</v>
      </c>
      <c r="G215" s="3266">
        <v>0.13</v>
      </c>
    </row>
    <row r="216" spans="1:7">
      <c r="A216" s="3275" t="s">
        <v>304</v>
      </c>
      <c r="B216" s="3264" t="s">
        <v>2961</v>
      </c>
      <c r="C216" s="3265">
        <v>0.13</v>
      </c>
      <c r="D216" s="3265">
        <v>0.13</v>
      </c>
      <c r="E216" s="3265">
        <v>0.13</v>
      </c>
      <c r="F216" s="3265">
        <v>0.13</v>
      </c>
      <c r="G216" s="3266">
        <v>0.13</v>
      </c>
    </row>
    <row r="217" spans="1:7">
      <c r="A217" s="3275" t="s">
        <v>304</v>
      </c>
      <c r="B217" s="3264" t="s">
        <v>2968</v>
      </c>
      <c r="C217" s="3265">
        <v>0.129</v>
      </c>
      <c r="D217" s="3265">
        <v>0.129</v>
      </c>
      <c r="E217" s="3265">
        <v>0.13</v>
      </c>
      <c r="F217" s="3265">
        <v>0.13</v>
      </c>
      <c r="G217" s="3266">
        <v>0.13</v>
      </c>
    </row>
    <row r="218" spans="1:7">
      <c r="A218" s="3275" t="s">
        <v>304</v>
      </c>
      <c r="B218" s="3264" t="s">
        <v>2974</v>
      </c>
      <c r="C218" s="3276"/>
      <c r="D218" s="3276"/>
      <c r="E218" s="3276"/>
      <c r="F218" s="3265">
        <v>0.05</v>
      </c>
      <c r="G218" s="3282"/>
    </row>
    <row r="219" spans="1:7">
      <c r="A219" s="3275" t="s">
        <v>304</v>
      </c>
      <c r="B219" s="3264" t="s">
        <v>2981</v>
      </c>
      <c r="C219" s="3276"/>
      <c r="D219" s="3276"/>
      <c r="E219" s="3276"/>
      <c r="F219" s="3265">
        <v>0.05</v>
      </c>
      <c r="G219" s="3282"/>
    </row>
    <row r="220" spans="1:7">
      <c r="A220" s="3275" t="s">
        <v>304</v>
      </c>
      <c r="B220" s="3264" t="s">
        <v>2987</v>
      </c>
      <c r="C220" s="3276"/>
      <c r="D220" s="3276"/>
      <c r="E220" s="3276"/>
      <c r="F220" s="3265">
        <v>0.05</v>
      </c>
      <c r="G220" s="3282"/>
    </row>
    <row r="221" spans="1:7">
      <c r="A221" s="3275" t="s">
        <v>304</v>
      </c>
      <c r="B221" s="3264" t="s">
        <v>2992</v>
      </c>
      <c r="C221" s="3276"/>
      <c r="D221" s="3276"/>
      <c r="E221" s="3276"/>
      <c r="F221" s="3265">
        <v>0.05</v>
      </c>
      <c r="G221" s="3282"/>
    </row>
    <row r="222" spans="1:7">
      <c r="A222" s="3275" t="s">
        <v>304</v>
      </c>
      <c r="B222" s="3264" t="s">
        <v>2996</v>
      </c>
      <c r="C222" s="3276"/>
      <c r="D222" s="3276"/>
      <c r="E222" s="3276"/>
      <c r="F222" s="3265">
        <v>0.05</v>
      </c>
      <c r="G222" s="3282"/>
    </row>
    <row r="223" spans="1:7">
      <c r="A223" s="3275" t="s">
        <v>304</v>
      </c>
      <c r="B223" s="3264" t="s">
        <v>3001</v>
      </c>
      <c r="C223" s="3276"/>
      <c r="D223" s="3276"/>
      <c r="E223" s="3276"/>
      <c r="F223" s="3265">
        <v>0.05</v>
      </c>
      <c r="G223" s="3282"/>
    </row>
    <row r="224" spans="1:7">
      <c r="A224" s="3275" t="s">
        <v>304</v>
      </c>
      <c r="B224" s="3264" t="s">
        <v>3006</v>
      </c>
      <c r="C224" s="3276"/>
      <c r="D224" s="3276"/>
      <c r="E224" s="3276"/>
      <c r="F224" s="3265">
        <v>0.05</v>
      </c>
      <c r="G224" s="3282"/>
    </row>
    <row r="225" spans="1:7">
      <c r="A225" s="3275" t="s">
        <v>304</v>
      </c>
      <c r="B225" s="3264" t="s">
        <v>3011</v>
      </c>
      <c r="C225" s="3276"/>
      <c r="D225" s="3276"/>
      <c r="E225" s="3276"/>
      <c r="F225" s="3265">
        <v>0.05</v>
      </c>
      <c r="G225" s="3282"/>
    </row>
    <row r="226" spans="1:7">
      <c r="A226" s="3275" t="s">
        <v>304</v>
      </c>
      <c r="B226" s="3264" t="s">
        <v>3213</v>
      </c>
      <c r="C226" s="3276"/>
      <c r="D226" s="3276"/>
      <c r="E226" s="3276"/>
      <c r="F226" s="3265">
        <v>0.05</v>
      </c>
      <c r="G226" s="3282"/>
    </row>
    <row r="227" spans="1:7">
      <c r="A227" s="3275" t="s">
        <v>304</v>
      </c>
      <c r="B227" s="3264" t="s">
        <v>3214</v>
      </c>
      <c r="C227" s="3276"/>
      <c r="D227" s="3276"/>
      <c r="E227" s="3276"/>
      <c r="F227" s="3265">
        <v>0.05</v>
      </c>
      <c r="G227" s="3282"/>
    </row>
    <row r="228" spans="1:7">
      <c r="A228" s="3275" t="s">
        <v>304</v>
      </c>
      <c r="B228" s="3264" t="s">
        <v>3215</v>
      </c>
      <c r="C228" s="3276"/>
      <c r="D228" s="3276"/>
      <c r="E228" s="3276"/>
      <c r="F228" s="3265">
        <v>0.05</v>
      </c>
      <c r="G228" s="3282"/>
    </row>
    <row r="229" spans="1:7">
      <c r="A229" s="3275" t="s">
        <v>304</v>
      </c>
      <c r="B229" s="3264" t="s">
        <v>3216</v>
      </c>
      <c r="C229" s="3276"/>
      <c r="D229" s="3276"/>
      <c r="E229" s="3276"/>
      <c r="F229" s="3265">
        <v>0.05</v>
      </c>
      <c r="G229" s="3282"/>
    </row>
    <row r="230" spans="1:7">
      <c r="A230" s="3275" t="s">
        <v>304</v>
      </c>
      <c r="B230" s="3264" t="s">
        <v>3217</v>
      </c>
      <c r="C230" s="3276"/>
      <c r="D230" s="3276"/>
      <c r="E230" s="3276"/>
      <c r="F230" s="3265">
        <v>0.05</v>
      </c>
      <c r="G230" s="3282"/>
    </row>
    <row r="231" spans="1:7">
      <c r="A231" s="3275" t="s">
        <v>304</v>
      </c>
      <c r="B231" s="3264" t="s">
        <v>3218</v>
      </c>
      <c r="C231" s="3276"/>
      <c r="D231" s="3276"/>
      <c r="E231" s="3276"/>
      <c r="F231" s="3265">
        <v>0.05</v>
      </c>
      <c r="G231" s="3282"/>
    </row>
    <row r="232" spans="1:7">
      <c r="A232" s="3275" t="s">
        <v>304</v>
      </c>
      <c r="B232" s="3264" t="s">
        <v>3219</v>
      </c>
      <c r="C232" s="3276"/>
      <c r="D232" s="3276"/>
      <c r="E232" s="3276"/>
      <c r="F232" s="3265">
        <v>0.05</v>
      </c>
      <c r="G232" s="3282"/>
    </row>
    <row r="233" spans="1:7" ht="14.25" thickBot="1">
      <c r="A233" s="3278" t="s">
        <v>304</v>
      </c>
      <c r="B233" s="3268" t="s">
        <v>3220</v>
      </c>
      <c r="C233" s="3270"/>
      <c r="D233" s="3270"/>
      <c r="E233" s="3270"/>
      <c r="F233" s="3269">
        <v>0.05</v>
      </c>
      <c r="G233" s="3283"/>
    </row>
    <row r="234" spans="1:7">
      <c r="A234" s="3274" t="s">
        <v>305</v>
      </c>
      <c r="B234" s="3260" t="s">
        <v>2869</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2889</v>
      </c>
      <c r="C238" s="3265">
        <v>0.14899999999999999</v>
      </c>
      <c r="D238" s="3265">
        <v>0.14899999999999999</v>
      </c>
      <c r="E238" s="3265">
        <v>0.15</v>
      </c>
      <c r="F238" s="3265">
        <v>0.15</v>
      </c>
      <c r="G238" s="3266">
        <v>0.15</v>
      </c>
    </row>
    <row r="239" spans="1:7">
      <c r="A239" s="3275" t="s">
        <v>305</v>
      </c>
      <c r="B239" s="3264" t="s">
        <v>2893</v>
      </c>
      <c r="C239" s="3265">
        <v>0.15</v>
      </c>
      <c r="D239" s="3265">
        <v>0.15</v>
      </c>
      <c r="E239" s="3265">
        <v>0.15</v>
      </c>
      <c r="F239" s="3265">
        <v>0.15</v>
      </c>
      <c r="G239" s="3266">
        <v>0.15</v>
      </c>
    </row>
    <row r="240" spans="1:7">
      <c r="A240" s="3275" t="s">
        <v>305</v>
      </c>
      <c r="B240" s="3264" t="s">
        <v>2898</v>
      </c>
      <c r="C240" s="3265">
        <v>0.15</v>
      </c>
      <c r="D240" s="3265">
        <v>0.15</v>
      </c>
      <c r="E240" s="3265">
        <v>0.15</v>
      </c>
      <c r="F240" s="3265">
        <v>0.15</v>
      </c>
      <c r="G240" s="3266">
        <v>0.15</v>
      </c>
    </row>
    <row r="241" spans="1:7">
      <c r="A241" s="3275" t="s">
        <v>305</v>
      </c>
      <c r="B241" s="3264" t="s">
        <v>2902</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2908</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2916</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2921</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2929</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2942</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2951</v>
      </c>
      <c r="C258" s="3265">
        <v>0.14299999999999999</v>
      </c>
      <c r="D258" s="3265">
        <v>0.14299999999999999</v>
      </c>
      <c r="E258" s="3265">
        <v>0.15</v>
      </c>
      <c r="F258" s="3265">
        <v>0.14799999999999999</v>
      </c>
      <c r="G258" s="3266">
        <v>0.14599999999999999</v>
      </c>
    </row>
    <row r="259" spans="1:7">
      <c r="A259" s="3275" t="s">
        <v>305</v>
      </c>
      <c r="B259" s="3264" t="s">
        <v>2955</v>
      </c>
      <c r="C259" s="3265">
        <v>0.14399999999999999</v>
      </c>
      <c r="D259" s="3265">
        <v>0.14399999999999999</v>
      </c>
      <c r="E259" s="3265">
        <v>0.14899999999999999</v>
      </c>
      <c r="F259" s="3265">
        <v>0.14699999999999999</v>
      </c>
      <c r="G259" s="3266">
        <v>0.14599999999999999</v>
      </c>
    </row>
    <row r="260" spans="1:7">
      <c r="A260" s="3275" t="s">
        <v>305</v>
      </c>
      <c r="B260" s="3264" t="s">
        <v>2962</v>
      </c>
      <c r="C260" s="3265">
        <v>0.109</v>
      </c>
      <c r="D260" s="3265">
        <v>0.111</v>
      </c>
      <c r="E260" s="3265">
        <v>0.13100000000000001</v>
      </c>
      <c r="F260" s="3265">
        <v>0.126</v>
      </c>
      <c r="G260" s="3266">
        <v>0.11899999999999999</v>
      </c>
    </row>
    <row r="261" spans="1:7">
      <c r="A261" s="3275" t="s">
        <v>305</v>
      </c>
      <c r="B261" s="3264" t="s">
        <v>2969</v>
      </c>
      <c r="C261" s="3265">
        <v>0.1</v>
      </c>
      <c r="D261" s="3265">
        <v>0.1</v>
      </c>
      <c r="E261" s="3265">
        <v>0.11799999999999999</v>
      </c>
      <c r="F261" s="3265">
        <v>0.108</v>
      </c>
      <c r="G261" s="3266">
        <v>0.107</v>
      </c>
    </row>
    <row r="262" spans="1:7">
      <c r="A262" s="3275" t="s">
        <v>305</v>
      </c>
      <c r="B262" s="3264" t="s">
        <v>2975</v>
      </c>
      <c r="C262" s="3265">
        <v>0.1</v>
      </c>
      <c r="D262" s="3265">
        <v>0.1</v>
      </c>
      <c r="E262" s="3265">
        <v>0.1</v>
      </c>
      <c r="F262" s="3265">
        <v>0.14099999999999999</v>
      </c>
      <c r="G262" s="3266">
        <v>0.1</v>
      </c>
    </row>
    <row r="263" spans="1:7">
      <c r="A263" s="3275" t="s">
        <v>305</v>
      </c>
      <c r="B263" s="3264" t="s">
        <v>2982</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2993</v>
      </c>
      <c r="C265" s="3276"/>
      <c r="D265" s="3276"/>
      <c r="E265" s="3276"/>
      <c r="F265" s="3265">
        <v>0.05</v>
      </c>
      <c r="G265" s="3282"/>
    </row>
    <row r="266" spans="1:7">
      <c r="A266" s="3275" t="s">
        <v>305</v>
      </c>
      <c r="B266" s="3264" t="s">
        <v>2997</v>
      </c>
      <c r="C266" s="3276"/>
      <c r="D266" s="3276"/>
      <c r="E266" s="3276"/>
      <c r="F266" s="3265">
        <v>0.05</v>
      </c>
      <c r="G266" s="3282"/>
    </row>
    <row r="267" spans="1:7">
      <c r="A267" s="3275" t="s">
        <v>305</v>
      </c>
      <c r="B267" s="3264" t="s">
        <v>3002</v>
      </c>
      <c r="C267" s="3276"/>
      <c r="D267" s="3276"/>
      <c r="E267" s="3276"/>
      <c r="F267" s="3265">
        <v>0.05</v>
      </c>
      <c r="G267" s="3282"/>
    </row>
    <row r="268" spans="1:7">
      <c r="A268" s="3275" t="s">
        <v>305</v>
      </c>
      <c r="B268" s="3264" t="s">
        <v>3007</v>
      </c>
      <c r="C268" s="3276"/>
      <c r="D268" s="3276"/>
      <c r="E268" s="3276"/>
      <c r="F268" s="3265">
        <v>0.05</v>
      </c>
      <c r="G268" s="3282"/>
    </row>
    <row r="269" spans="1:7">
      <c r="A269" s="3275" t="s">
        <v>305</v>
      </c>
      <c r="B269" s="3264" t="s">
        <v>3012</v>
      </c>
      <c r="C269" s="3276"/>
      <c r="D269" s="3276"/>
      <c r="E269" s="3276"/>
      <c r="F269" s="3265">
        <v>0.05</v>
      </c>
      <c r="G269" s="3282"/>
    </row>
    <row r="270" spans="1:7">
      <c r="A270" s="3275" t="s">
        <v>305</v>
      </c>
      <c r="B270" s="3264" t="s">
        <v>3017</v>
      </c>
      <c r="C270" s="3276"/>
      <c r="D270" s="3276"/>
      <c r="E270" s="3276"/>
      <c r="F270" s="3265">
        <v>0.05</v>
      </c>
      <c r="G270" s="3282"/>
    </row>
    <row r="271" spans="1:7">
      <c r="A271" s="3275" t="s">
        <v>305</v>
      </c>
      <c r="B271" s="3264" t="s">
        <v>3221</v>
      </c>
      <c r="C271" s="3276"/>
      <c r="D271" s="3276"/>
      <c r="E271" s="3276"/>
      <c r="F271" s="3265">
        <v>0.05</v>
      </c>
      <c r="G271" s="3282"/>
    </row>
    <row r="272" spans="1:7">
      <c r="A272" s="3275" t="s">
        <v>305</v>
      </c>
      <c r="B272" s="3264" t="s">
        <v>3222</v>
      </c>
      <c r="C272" s="3276"/>
      <c r="D272" s="3276"/>
      <c r="E272" s="3276"/>
      <c r="F272" s="3265">
        <v>0.05</v>
      </c>
      <c r="G272" s="3282"/>
    </row>
    <row r="273" spans="1:7">
      <c r="A273" s="3275" t="s">
        <v>305</v>
      </c>
      <c r="B273" s="3264" t="s">
        <v>3223</v>
      </c>
      <c r="C273" s="3276"/>
      <c r="D273" s="3276"/>
      <c r="E273" s="3276"/>
      <c r="F273" s="3265">
        <v>0.05</v>
      </c>
      <c r="G273" s="3282"/>
    </row>
    <row r="274" spans="1:7">
      <c r="A274" s="3275" t="s">
        <v>305</v>
      </c>
      <c r="B274" s="3264" t="s">
        <v>3224</v>
      </c>
      <c r="C274" s="3276"/>
      <c r="D274" s="3276"/>
      <c r="E274" s="3276"/>
      <c r="F274" s="3265">
        <v>0.05</v>
      </c>
      <c r="G274" s="3282"/>
    </row>
    <row r="275" spans="1:7">
      <c r="A275" s="3275" t="s">
        <v>305</v>
      </c>
      <c r="B275" s="3264" t="s">
        <v>3225</v>
      </c>
      <c r="C275" s="3276"/>
      <c r="D275" s="3276"/>
      <c r="E275" s="3276"/>
      <c r="F275" s="3265">
        <v>0.05</v>
      </c>
      <c r="G275" s="3282"/>
    </row>
    <row r="276" spans="1:7" ht="14.25" thickBot="1">
      <c r="A276" s="3278" t="s">
        <v>305</v>
      </c>
      <c r="B276" s="3268" t="s">
        <v>3226</v>
      </c>
      <c r="C276" s="3270"/>
      <c r="D276" s="3270"/>
      <c r="E276" s="3270"/>
      <c r="F276" s="3269">
        <v>0.05</v>
      </c>
      <c r="G276" s="3283"/>
    </row>
    <row r="277" spans="1:7">
      <c r="A277" s="3274" t="s">
        <v>306</v>
      </c>
      <c r="B277" s="3260" t="s">
        <v>2870</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2882</v>
      </c>
      <c r="C279" s="3265">
        <v>0.15</v>
      </c>
      <c r="D279" s="3265">
        <v>0.15</v>
      </c>
      <c r="E279" s="3265">
        <v>0.15</v>
      </c>
      <c r="F279" s="3265">
        <v>0.15</v>
      </c>
      <c r="G279" s="3266">
        <v>0.15</v>
      </c>
    </row>
    <row r="280" spans="1:7">
      <c r="A280" s="3275" t="s">
        <v>306</v>
      </c>
      <c r="B280" s="3264" t="s">
        <v>2886</v>
      </c>
      <c r="C280" s="3265">
        <v>0.15</v>
      </c>
      <c r="D280" s="3265">
        <v>0.15</v>
      </c>
      <c r="E280" s="3265">
        <v>0.15</v>
      </c>
      <c r="F280" s="3265">
        <v>0.15</v>
      </c>
      <c r="G280" s="3266">
        <v>0.15</v>
      </c>
    </row>
    <row r="281" spans="1:7">
      <c r="A281" s="3275" t="s">
        <v>306</v>
      </c>
      <c r="B281" s="3264" t="s">
        <v>2890</v>
      </c>
      <c r="C281" s="3265">
        <v>0.15</v>
      </c>
      <c r="D281" s="3265">
        <v>0.15</v>
      </c>
      <c r="E281" s="3265">
        <v>0.15</v>
      </c>
      <c r="F281" s="3265">
        <v>0.15</v>
      </c>
      <c r="G281" s="3266">
        <v>0.15</v>
      </c>
    </row>
    <row r="282" spans="1:7">
      <c r="A282" s="3275" t="s">
        <v>306</v>
      </c>
      <c r="B282" s="3264" t="s">
        <v>2894</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2909</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2914</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2924</v>
      </c>
      <c r="C293" s="3265">
        <v>0.15</v>
      </c>
      <c r="D293" s="3265">
        <v>0.15</v>
      </c>
      <c r="E293" s="3265">
        <v>0.15</v>
      </c>
      <c r="F293" s="3265">
        <v>0.14499999999999999</v>
      </c>
      <c r="G293" s="3266">
        <v>0.15</v>
      </c>
    </row>
    <row r="294" spans="1:7">
      <c r="A294" s="3275" t="s">
        <v>306</v>
      </c>
      <c r="B294" s="3264" t="s">
        <v>2926</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2943</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2956</v>
      </c>
      <c r="C302" s="3265">
        <v>0.15</v>
      </c>
      <c r="D302" s="3265">
        <v>0.15</v>
      </c>
      <c r="E302" s="3265">
        <v>0.15</v>
      </c>
      <c r="F302" s="3265">
        <v>0.14699999999999999</v>
      </c>
      <c r="G302" s="3266">
        <v>0.15</v>
      </c>
    </row>
    <row r="303" spans="1:7">
      <c r="A303" s="3275" t="s">
        <v>306</v>
      </c>
      <c r="B303" s="3264" t="s">
        <v>2963</v>
      </c>
      <c r="C303" s="3265">
        <v>0.15</v>
      </c>
      <c r="D303" s="3265">
        <v>0.15</v>
      </c>
      <c r="E303" s="3265">
        <v>0.15</v>
      </c>
      <c r="F303" s="3265">
        <v>0.14199999999999999</v>
      </c>
      <c r="G303" s="3266">
        <v>0.15</v>
      </c>
    </row>
    <row r="304" spans="1:7">
      <c r="A304" s="3275" t="s">
        <v>306</v>
      </c>
      <c r="B304" s="3264" t="s">
        <v>2970</v>
      </c>
      <c r="C304" s="3265">
        <v>0.15</v>
      </c>
      <c r="D304" s="3265">
        <v>0.15</v>
      </c>
      <c r="E304" s="3265">
        <v>0.15</v>
      </c>
      <c r="F304" s="3265">
        <v>0.14499999999999999</v>
      </c>
      <c r="G304" s="3266">
        <v>0.15</v>
      </c>
    </row>
    <row r="305" spans="1:7">
      <c r="A305" s="3275" t="s">
        <v>306</v>
      </c>
      <c r="B305" s="3264" t="s">
        <v>2976</v>
      </c>
      <c r="C305" s="3265">
        <v>0.15</v>
      </c>
      <c r="D305" s="3265">
        <v>0.15</v>
      </c>
      <c r="E305" s="3265">
        <v>0.15</v>
      </c>
      <c r="F305" s="3265">
        <v>0.111</v>
      </c>
      <c r="G305" s="3266">
        <v>0.15</v>
      </c>
    </row>
    <row r="306" spans="1:7">
      <c r="A306" s="3275" t="s">
        <v>306</v>
      </c>
      <c r="B306" s="3264" t="s">
        <v>2983</v>
      </c>
      <c r="C306" s="3265">
        <v>0.15</v>
      </c>
      <c r="D306" s="3265">
        <v>0.15</v>
      </c>
      <c r="E306" s="3265">
        <v>0.15</v>
      </c>
      <c r="F306" s="3265">
        <v>0.126</v>
      </c>
      <c r="G306" s="3266">
        <v>0.15</v>
      </c>
    </row>
    <row r="307" spans="1:7">
      <c r="A307" s="3275" t="s">
        <v>306</v>
      </c>
      <c r="B307" s="3264" t="s">
        <v>2988</v>
      </c>
      <c r="C307" s="3265">
        <v>0.15</v>
      </c>
      <c r="D307" s="3265">
        <v>0.15</v>
      </c>
      <c r="E307" s="3265">
        <v>0.15</v>
      </c>
      <c r="F307" s="3265">
        <v>0.12</v>
      </c>
      <c r="G307" s="3266">
        <v>0.15</v>
      </c>
    </row>
    <row r="308" spans="1:7">
      <c r="A308" s="3275" t="s">
        <v>306</v>
      </c>
      <c r="B308" s="3264" t="s">
        <v>2994</v>
      </c>
      <c r="C308" s="3265">
        <v>0.15</v>
      </c>
      <c r="D308" s="3265">
        <v>0.15</v>
      </c>
      <c r="E308" s="3265">
        <v>0.15</v>
      </c>
      <c r="F308" s="3265">
        <v>0.13</v>
      </c>
      <c r="G308" s="3266">
        <v>0.15</v>
      </c>
    </row>
    <row r="309" spans="1:7">
      <c r="A309" s="3275" t="s">
        <v>306</v>
      </c>
      <c r="B309" s="3264" t="s">
        <v>2998</v>
      </c>
      <c r="C309" s="3265">
        <v>0.15</v>
      </c>
      <c r="D309" s="3265">
        <v>0.15</v>
      </c>
      <c r="E309" s="3265">
        <v>0.15</v>
      </c>
      <c r="F309" s="3265">
        <v>0.14099999999999999</v>
      </c>
      <c r="G309" s="3266">
        <v>0.15</v>
      </c>
    </row>
    <row r="310" spans="1:7">
      <c r="A310" s="3275" t="s">
        <v>306</v>
      </c>
      <c r="B310" s="3264" t="s">
        <v>3003</v>
      </c>
      <c r="C310" s="3265">
        <v>0.15</v>
      </c>
      <c r="D310" s="3265">
        <v>0.15</v>
      </c>
      <c r="E310" s="3265">
        <v>0.15</v>
      </c>
      <c r="F310" s="3265">
        <v>0.15</v>
      </c>
      <c r="G310" s="3266">
        <v>0.15</v>
      </c>
    </row>
    <row r="311" spans="1:7">
      <c r="A311" s="3275" t="s">
        <v>306</v>
      </c>
      <c r="B311" s="3264" t="s">
        <v>3008</v>
      </c>
      <c r="C311" s="3265">
        <v>0.13200000000000001</v>
      </c>
      <c r="D311" s="3265">
        <v>0.13300000000000001</v>
      </c>
      <c r="E311" s="3265">
        <v>0.14499999999999999</v>
      </c>
      <c r="F311" s="3265">
        <v>0.14199999999999999</v>
      </c>
      <c r="G311" s="3266">
        <v>0.14000000000000001</v>
      </c>
    </row>
    <row r="312" spans="1:7">
      <c r="A312" s="3275" t="s">
        <v>306</v>
      </c>
      <c r="B312" s="3264" t="s">
        <v>3013</v>
      </c>
      <c r="C312" s="3265">
        <v>0.13800000000000001</v>
      </c>
      <c r="D312" s="3265">
        <v>0.14000000000000001</v>
      </c>
      <c r="E312" s="3265">
        <v>0.14599999999999999</v>
      </c>
      <c r="F312" s="3265">
        <v>0.14899999999999999</v>
      </c>
      <c r="G312" s="3266">
        <v>0.14199999999999999</v>
      </c>
    </row>
    <row r="313" spans="1:7">
      <c r="A313" s="3275" t="s">
        <v>306</v>
      </c>
      <c r="B313" s="3264" t="s">
        <v>3018</v>
      </c>
      <c r="C313" s="3265">
        <v>0.125</v>
      </c>
      <c r="D313" s="3265">
        <v>0.127</v>
      </c>
      <c r="E313" s="3265">
        <v>0.14399999999999999</v>
      </c>
      <c r="F313" s="3265">
        <v>0.115</v>
      </c>
      <c r="G313" s="3266">
        <v>0.13600000000000001</v>
      </c>
    </row>
    <row r="314" spans="1:7">
      <c r="A314" s="3275" t="s">
        <v>306</v>
      </c>
      <c r="B314" s="3264" t="s">
        <v>3227</v>
      </c>
      <c r="C314" s="3281"/>
      <c r="D314" s="3281"/>
      <c r="E314" s="3281"/>
      <c r="F314" s="3265">
        <v>0.05</v>
      </c>
      <c r="G314" s="3282"/>
    </row>
    <row r="315" spans="1:7">
      <c r="A315" s="3275" t="s">
        <v>306</v>
      </c>
      <c r="B315" s="3264" t="s">
        <v>3228</v>
      </c>
      <c r="C315" s="3281"/>
      <c r="D315" s="3281"/>
      <c r="E315" s="3281"/>
      <c r="F315" s="3265">
        <v>0.05</v>
      </c>
      <c r="G315" s="3282"/>
    </row>
    <row r="316" spans="1:7">
      <c r="A316" s="3275" t="s">
        <v>306</v>
      </c>
      <c r="B316" s="3264" t="s">
        <v>3229</v>
      </c>
      <c r="C316" s="3276"/>
      <c r="D316" s="3276"/>
      <c r="E316" s="3276"/>
      <c r="F316" s="3265">
        <v>0.05</v>
      </c>
      <c r="G316" s="3282"/>
    </row>
    <row r="317" spans="1:7">
      <c r="A317" s="3275" t="s">
        <v>306</v>
      </c>
      <c r="B317" s="3264" t="s">
        <v>3230</v>
      </c>
      <c r="C317" s="3276"/>
      <c r="D317" s="3276"/>
      <c r="E317" s="3276"/>
      <c r="F317" s="3265">
        <v>0.05</v>
      </c>
      <c r="G317" s="3282"/>
    </row>
    <row r="318" spans="1:7">
      <c r="A318" s="3275" t="s">
        <v>306</v>
      </c>
      <c r="B318" s="3264" t="s">
        <v>3231</v>
      </c>
      <c r="C318" s="3276"/>
      <c r="D318" s="3276"/>
      <c r="E318" s="3276"/>
      <c r="F318" s="3265">
        <v>0.05</v>
      </c>
      <c r="G318" s="3282"/>
    </row>
    <row r="319" spans="1:7">
      <c r="A319" s="3275" t="s">
        <v>306</v>
      </c>
      <c r="B319" s="3264" t="s">
        <v>3232</v>
      </c>
      <c r="C319" s="3276"/>
      <c r="D319" s="3276"/>
      <c r="E319" s="3276"/>
      <c r="F319" s="3265">
        <v>0.05</v>
      </c>
      <c r="G319" s="3282"/>
    </row>
    <row r="320" spans="1:7">
      <c r="A320" s="3275" t="s">
        <v>306</v>
      </c>
      <c r="B320" s="3264" t="s">
        <v>3233</v>
      </c>
      <c r="C320" s="3276"/>
      <c r="D320" s="3276"/>
      <c r="E320" s="3276"/>
      <c r="F320" s="3265">
        <v>0.05</v>
      </c>
      <c r="G320" s="3282"/>
    </row>
    <row r="321" spans="1:7">
      <c r="A321" s="3275" t="s">
        <v>306</v>
      </c>
      <c r="B321" s="3264" t="s">
        <v>3234</v>
      </c>
      <c r="C321" s="3276"/>
      <c r="D321" s="3276"/>
      <c r="E321" s="3276"/>
      <c r="F321" s="3265">
        <v>0.05</v>
      </c>
      <c r="G321" s="3282"/>
    </row>
    <row r="322" spans="1:7">
      <c r="A322" s="3275" t="s">
        <v>306</v>
      </c>
      <c r="B322" s="3264" t="s">
        <v>3235</v>
      </c>
      <c r="C322" s="3276"/>
      <c r="D322" s="3276"/>
      <c r="E322" s="3276"/>
      <c r="F322" s="3265">
        <v>0.05</v>
      </c>
      <c r="G322" s="3282"/>
    </row>
    <row r="323" spans="1:7">
      <c r="A323" s="3275" t="s">
        <v>306</v>
      </c>
      <c r="B323" s="3264" t="s">
        <v>3236</v>
      </c>
      <c r="C323" s="3276"/>
      <c r="D323" s="3276"/>
      <c r="E323" s="3276"/>
      <c r="F323" s="3265">
        <v>0.05</v>
      </c>
      <c r="G323" s="3282"/>
    </row>
    <row r="324" spans="1:7">
      <c r="A324" s="3275" t="s">
        <v>306</v>
      </c>
      <c r="B324" s="3264" t="s">
        <v>3237</v>
      </c>
      <c r="C324" s="3276"/>
      <c r="D324" s="3276"/>
      <c r="E324" s="3276"/>
      <c r="F324" s="3265">
        <v>0.05</v>
      </c>
      <c r="G324" s="3282"/>
    </row>
    <row r="325" spans="1:7">
      <c r="A325" s="3275" t="s">
        <v>306</v>
      </c>
      <c r="B325" s="3264" t="s">
        <v>3238</v>
      </c>
      <c r="C325" s="3276"/>
      <c r="D325" s="3276"/>
      <c r="E325" s="3276"/>
      <c r="F325" s="3265">
        <v>0.05</v>
      </c>
      <c r="G325" s="3282"/>
    </row>
    <row r="326" spans="1:7" ht="14.25" thickBot="1">
      <c r="A326" s="3278" t="s">
        <v>306</v>
      </c>
      <c r="B326" s="3268" t="s">
        <v>3239</v>
      </c>
      <c r="C326" s="3270"/>
      <c r="D326" s="3270"/>
      <c r="E326" s="3270"/>
      <c r="F326" s="3269">
        <v>0.05</v>
      </c>
      <c r="G326" s="3283"/>
    </row>
    <row r="327" spans="1:7">
      <c r="A327" s="3274" t="s">
        <v>307</v>
      </c>
      <c r="B327" s="3260" t="s">
        <v>2871</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2883</v>
      </c>
      <c r="C329" s="3265">
        <v>0.15</v>
      </c>
      <c r="D329" s="3265">
        <v>0.15</v>
      </c>
      <c r="E329" s="3265">
        <v>0.15</v>
      </c>
      <c r="F329" s="3265">
        <v>0.15</v>
      </c>
      <c r="G329" s="3266">
        <v>0.15</v>
      </c>
    </row>
    <row r="330" spans="1:7">
      <c r="A330" s="3275" t="s">
        <v>307</v>
      </c>
      <c r="B330" s="3264" t="s">
        <v>2887</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2895</v>
      </c>
      <c r="C332" s="3265">
        <v>0.15</v>
      </c>
      <c r="D332" s="3265">
        <v>0.15</v>
      </c>
      <c r="E332" s="3265">
        <v>0.15</v>
      </c>
      <c r="F332" s="3265">
        <v>0.15</v>
      </c>
      <c r="G332" s="3266">
        <v>0.15</v>
      </c>
    </row>
    <row r="333" spans="1:7">
      <c r="A333" s="3275" t="s">
        <v>307</v>
      </c>
      <c r="B333" s="3264" t="s">
        <v>2899</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2905</v>
      </c>
      <c r="C336" s="3265">
        <v>0.15</v>
      </c>
      <c r="D336" s="3265">
        <v>0.15</v>
      </c>
      <c r="E336" s="3265">
        <v>0.15</v>
      </c>
      <c r="F336" s="3265">
        <v>0.14199999999999999</v>
      </c>
      <c r="G336" s="3266">
        <v>0.15</v>
      </c>
    </row>
    <row r="337" spans="1:7">
      <c r="A337" s="3275" t="s">
        <v>307</v>
      </c>
      <c r="B337" s="3264" t="s">
        <v>2910</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2917</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2922</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2930</v>
      </c>
      <c r="C345" s="3265">
        <v>0.15</v>
      </c>
      <c r="D345" s="3265">
        <v>0.15</v>
      </c>
      <c r="E345" s="3265">
        <v>0.15</v>
      </c>
      <c r="F345" s="3265">
        <v>0.13800000000000001</v>
      </c>
      <c r="G345" s="3266">
        <v>0.15</v>
      </c>
    </row>
    <row r="346" spans="1:7">
      <c r="A346" s="3275" t="s">
        <v>307</v>
      </c>
      <c r="B346" s="3264" t="s">
        <v>2932</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2939</v>
      </c>
      <c r="C348" s="3265">
        <v>0.15</v>
      </c>
      <c r="D348" s="3265">
        <v>0.15</v>
      </c>
      <c r="E348" s="3265">
        <v>0.15</v>
      </c>
      <c r="F348" s="3265">
        <v>0.14399999999999999</v>
      </c>
      <c r="G348" s="3266">
        <v>0.15</v>
      </c>
    </row>
    <row r="349" spans="1:7">
      <c r="A349" s="3275" t="s">
        <v>307</v>
      </c>
      <c r="B349" s="3264" t="s">
        <v>2944</v>
      </c>
      <c r="C349" s="3265">
        <v>0.15</v>
      </c>
      <c r="D349" s="3265">
        <v>0.15</v>
      </c>
      <c r="E349" s="3265">
        <v>0.15</v>
      </c>
      <c r="F349" s="3265">
        <v>0.15</v>
      </c>
      <c r="G349" s="3266">
        <v>0.15</v>
      </c>
    </row>
    <row r="350" spans="1:7">
      <c r="A350" s="3275" t="s">
        <v>307</v>
      </c>
      <c r="B350" s="3264" t="s">
        <v>2947</v>
      </c>
      <c r="C350" s="3265">
        <v>0.15</v>
      </c>
      <c r="D350" s="3265">
        <v>0.15</v>
      </c>
      <c r="E350" s="3265">
        <v>0.15</v>
      </c>
      <c r="F350" s="3265">
        <v>0.14699999999999999</v>
      </c>
      <c r="G350" s="3266">
        <v>0.15</v>
      </c>
    </row>
    <row r="351" spans="1:7">
      <c r="A351" s="3275" t="s">
        <v>307</v>
      </c>
      <c r="B351" s="3264" t="s">
        <v>2952</v>
      </c>
      <c r="C351" s="3265">
        <v>0.15</v>
      </c>
      <c r="D351" s="3265">
        <v>0.15</v>
      </c>
      <c r="E351" s="3265">
        <v>0.15</v>
      </c>
      <c r="F351" s="3265">
        <v>0.13</v>
      </c>
      <c r="G351" s="3266">
        <v>0.15</v>
      </c>
    </row>
    <row r="352" spans="1:7">
      <c r="A352" s="3275" t="s">
        <v>307</v>
      </c>
      <c r="B352" s="3264" t="s">
        <v>2957</v>
      </c>
      <c r="C352" s="3265">
        <v>0.15</v>
      </c>
      <c r="D352" s="3265">
        <v>0.15</v>
      </c>
      <c r="E352" s="3265">
        <v>0.15</v>
      </c>
      <c r="F352" s="3265">
        <v>0.14599999999999999</v>
      </c>
      <c r="G352" s="3266">
        <v>0.15</v>
      </c>
    </row>
    <row r="353" spans="1:7">
      <c r="A353" s="3275" t="s">
        <v>307</v>
      </c>
      <c r="B353" s="3264" t="s">
        <v>2964</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2977</v>
      </c>
      <c r="C355" s="3265">
        <v>0.15</v>
      </c>
      <c r="D355" s="3265">
        <v>0.15</v>
      </c>
      <c r="E355" s="3265">
        <v>0.15</v>
      </c>
      <c r="F355" s="3265">
        <v>0.15</v>
      </c>
      <c r="G355" s="3266">
        <v>0.15</v>
      </c>
    </row>
    <row r="356" spans="1:7">
      <c r="A356" s="3275" t="s">
        <v>307</v>
      </c>
      <c r="B356" s="3264" t="s">
        <v>2984</v>
      </c>
      <c r="C356" s="3265">
        <v>0.15</v>
      </c>
      <c r="D356" s="3265">
        <v>0.15</v>
      </c>
      <c r="E356" s="3265">
        <v>0.15</v>
      </c>
      <c r="F356" s="3265">
        <v>0.15</v>
      </c>
      <c r="G356" s="3266">
        <v>0.15</v>
      </c>
    </row>
    <row r="357" spans="1:7" ht="14.25" thickBot="1">
      <c r="A357" s="3278" t="s">
        <v>307</v>
      </c>
      <c r="B357" s="3268" t="s">
        <v>2989</v>
      </c>
      <c r="C357" s="3269">
        <v>0.126</v>
      </c>
      <c r="D357" s="3269">
        <v>0.127</v>
      </c>
      <c r="E357" s="3269">
        <v>0.14299999999999999</v>
      </c>
      <c r="F357" s="3269">
        <v>0.125</v>
      </c>
      <c r="G357" s="3271">
        <v>0.129</v>
      </c>
    </row>
    <row r="358" spans="1:7">
      <c r="A358" s="3274" t="s">
        <v>2858</v>
      </c>
      <c r="B358" s="3260" t="s">
        <v>2872</v>
      </c>
      <c r="C358" s="3261">
        <v>0.15</v>
      </c>
      <c r="D358" s="3261">
        <v>0.15</v>
      </c>
      <c r="E358" s="3261">
        <v>0.15</v>
      </c>
      <c r="F358" s="3261">
        <v>0.15</v>
      </c>
      <c r="G358" s="3262">
        <v>0.15</v>
      </c>
    </row>
    <row r="359" spans="1:7">
      <c r="A359" s="3275" t="s">
        <v>2858</v>
      </c>
      <c r="B359" s="3264" t="s">
        <v>2878</v>
      </c>
      <c r="C359" s="3265">
        <v>0.1</v>
      </c>
      <c r="D359" s="3265">
        <v>0.1</v>
      </c>
      <c r="E359" s="3265">
        <v>0.1</v>
      </c>
      <c r="F359" s="3265">
        <v>0.1</v>
      </c>
      <c r="G359" s="3266">
        <v>0.1</v>
      </c>
    </row>
    <row r="360" spans="1:7">
      <c r="A360" s="3275" t="s">
        <v>2858</v>
      </c>
      <c r="B360" s="3264" t="s">
        <v>2884</v>
      </c>
      <c r="C360" s="3265">
        <v>0.15</v>
      </c>
      <c r="D360" s="3265">
        <v>0.15</v>
      </c>
      <c r="E360" s="3265">
        <v>0.15</v>
      </c>
      <c r="F360" s="3265">
        <v>0.14899999999999999</v>
      </c>
      <c r="G360" s="3266">
        <v>0.15</v>
      </c>
    </row>
    <row r="361" spans="1:7">
      <c r="A361" s="3275" t="s">
        <v>2858</v>
      </c>
      <c r="B361" s="3264" t="s">
        <v>153</v>
      </c>
      <c r="C361" s="3265">
        <v>0.15</v>
      </c>
      <c r="D361" s="3265">
        <v>0.15</v>
      </c>
      <c r="E361" s="3265">
        <v>0.15</v>
      </c>
      <c r="F361" s="3265">
        <v>0.115</v>
      </c>
      <c r="G361" s="3266">
        <v>0.15</v>
      </c>
    </row>
    <row r="362" spans="1:7">
      <c r="A362" s="3275" t="s">
        <v>2858</v>
      </c>
      <c r="B362" s="3264" t="s">
        <v>2891</v>
      </c>
      <c r="C362" s="3265">
        <v>0.15</v>
      </c>
      <c r="D362" s="3265">
        <v>0.15</v>
      </c>
      <c r="E362" s="3265">
        <v>0.15</v>
      </c>
      <c r="F362" s="3265">
        <v>0.106</v>
      </c>
      <c r="G362" s="3266">
        <v>0.15</v>
      </c>
    </row>
    <row r="363" spans="1:7">
      <c r="A363" s="3275" t="s">
        <v>2858</v>
      </c>
      <c r="B363" s="3264" t="s">
        <v>2896</v>
      </c>
      <c r="C363" s="3265">
        <v>0.15</v>
      </c>
      <c r="D363" s="3265">
        <v>0.15</v>
      </c>
      <c r="E363" s="3265">
        <v>0.15</v>
      </c>
      <c r="F363" s="3265">
        <v>0.14699999999999999</v>
      </c>
      <c r="G363" s="3266">
        <v>0.15</v>
      </c>
    </row>
    <row r="364" spans="1:7">
      <c r="A364" s="3275" t="s">
        <v>2858</v>
      </c>
      <c r="B364" s="3264" t="s">
        <v>2900</v>
      </c>
      <c r="C364" s="3265">
        <v>0.15</v>
      </c>
      <c r="D364" s="3265">
        <v>0.15</v>
      </c>
      <c r="E364" s="3265">
        <v>0.15</v>
      </c>
      <c r="F364" s="3265">
        <v>0.14799999999999999</v>
      </c>
      <c r="G364" s="3266">
        <v>0.15</v>
      </c>
    </row>
    <row r="365" spans="1:7">
      <c r="A365" s="3275" t="s">
        <v>2858</v>
      </c>
      <c r="B365" s="3264" t="s">
        <v>200</v>
      </c>
      <c r="C365" s="3265">
        <v>0.15</v>
      </c>
      <c r="D365" s="3265">
        <v>0.15</v>
      </c>
      <c r="E365" s="3265">
        <v>0.15</v>
      </c>
      <c r="F365" s="3265">
        <v>0.15</v>
      </c>
      <c r="G365" s="3266">
        <v>0.15</v>
      </c>
    </row>
    <row r="366" spans="1:7">
      <c r="A366" s="3275" t="s">
        <v>2858</v>
      </c>
      <c r="B366" s="3264" t="s">
        <v>2903</v>
      </c>
      <c r="C366" s="3265">
        <v>0.15</v>
      </c>
      <c r="D366" s="3265">
        <v>0.15</v>
      </c>
      <c r="E366" s="3265">
        <v>0.15</v>
      </c>
      <c r="F366" s="3265">
        <v>0.15</v>
      </c>
      <c r="G366" s="3266">
        <v>0.15</v>
      </c>
    </row>
    <row r="367" spans="1:7">
      <c r="A367" s="3275" t="s">
        <v>2858</v>
      </c>
      <c r="B367" s="3264" t="s">
        <v>2906</v>
      </c>
      <c r="C367" s="3265">
        <v>0.15</v>
      </c>
      <c r="D367" s="3265">
        <v>0.15</v>
      </c>
      <c r="E367" s="3265">
        <v>0.15</v>
      </c>
      <c r="F367" s="3265">
        <v>0.14699999999999999</v>
      </c>
      <c r="G367" s="3266">
        <v>0.15</v>
      </c>
    </row>
    <row r="368" spans="1:7">
      <c r="A368" s="3275" t="s">
        <v>2858</v>
      </c>
      <c r="B368" s="3264" t="s">
        <v>2911</v>
      </c>
      <c r="C368" s="3265">
        <v>0.15</v>
      </c>
      <c r="D368" s="3265">
        <v>0.15</v>
      </c>
      <c r="E368" s="3265">
        <v>0.15</v>
      </c>
      <c r="F368" s="3265">
        <v>0.13600000000000001</v>
      </c>
      <c r="G368" s="3266">
        <v>0.15</v>
      </c>
    </row>
    <row r="369" spans="1:7">
      <c r="A369" s="3275" t="s">
        <v>2858</v>
      </c>
      <c r="B369" s="3264" t="s">
        <v>214</v>
      </c>
      <c r="C369" s="3265">
        <v>0.15</v>
      </c>
      <c r="D369" s="3265">
        <v>0.15</v>
      </c>
      <c r="E369" s="3265">
        <v>0.15</v>
      </c>
      <c r="F369" s="3265">
        <v>0.14399999999999999</v>
      </c>
      <c r="G369" s="3266">
        <v>0.15</v>
      </c>
    </row>
    <row r="370" spans="1:7">
      <c r="A370" s="3275" t="s">
        <v>2858</v>
      </c>
      <c r="B370" s="3264" t="s">
        <v>221</v>
      </c>
      <c r="C370" s="3265">
        <v>0.15</v>
      </c>
      <c r="D370" s="3265">
        <v>0.15</v>
      </c>
      <c r="E370" s="3265">
        <v>0.15</v>
      </c>
      <c r="F370" s="3265">
        <v>0.14599999999999999</v>
      </c>
      <c r="G370" s="3266">
        <v>0.15</v>
      </c>
    </row>
    <row r="371" spans="1:7">
      <c r="A371" s="3275" t="s">
        <v>2858</v>
      </c>
      <c r="B371" s="3264" t="s">
        <v>229</v>
      </c>
      <c r="C371" s="3265">
        <v>0.15</v>
      </c>
      <c r="D371" s="3265">
        <v>0.15</v>
      </c>
      <c r="E371" s="3265">
        <v>0.15</v>
      </c>
      <c r="F371" s="3265">
        <v>0.12</v>
      </c>
      <c r="G371" s="3266">
        <v>0.15</v>
      </c>
    </row>
    <row r="372" spans="1:7">
      <c r="A372" s="3275" t="s">
        <v>2858</v>
      </c>
      <c r="B372" s="3264" t="s">
        <v>2919</v>
      </c>
      <c r="C372" s="3265">
        <v>0.15</v>
      </c>
      <c r="D372" s="3265">
        <v>0.15</v>
      </c>
      <c r="E372" s="3265">
        <v>0.15</v>
      </c>
      <c r="F372" s="3265">
        <v>0.14299999999999999</v>
      </c>
      <c r="G372" s="3266">
        <v>0.15</v>
      </c>
    </row>
    <row r="373" spans="1:7">
      <c r="A373" s="3275" t="s">
        <v>2858</v>
      </c>
      <c r="B373" s="3264" t="s">
        <v>258</v>
      </c>
      <c r="C373" s="3265">
        <v>0.15</v>
      </c>
      <c r="D373" s="3265">
        <v>0.15</v>
      </c>
      <c r="E373" s="3265">
        <v>0.15</v>
      </c>
      <c r="F373" s="3265">
        <v>0.14599999999999999</v>
      </c>
      <c r="G373" s="3266">
        <v>0.15</v>
      </c>
    </row>
    <row r="374" spans="1:7">
      <c r="A374" s="3275" t="s">
        <v>2858</v>
      </c>
      <c r="B374" s="3264" t="s">
        <v>266</v>
      </c>
      <c r="C374" s="3265">
        <v>0.15</v>
      </c>
      <c r="D374" s="3265">
        <v>0.15</v>
      </c>
      <c r="E374" s="3265">
        <v>0.15</v>
      </c>
      <c r="F374" s="3265">
        <v>0.14399999999999999</v>
      </c>
      <c r="G374" s="3266">
        <v>0.15</v>
      </c>
    </row>
    <row r="375" spans="1:7">
      <c r="A375" s="3275" t="s">
        <v>2858</v>
      </c>
      <c r="B375" s="3264" t="s">
        <v>2927</v>
      </c>
      <c r="C375" s="3265">
        <v>0.15</v>
      </c>
      <c r="D375" s="3265">
        <v>0.15</v>
      </c>
      <c r="E375" s="3265">
        <v>0.15</v>
      </c>
      <c r="F375" s="3265">
        <v>0.13</v>
      </c>
      <c r="G375" s="3266">
        <v>0.15</v>
      </c>
    </row>
    <row r="376" spans="1:7">
      <c r="A376" s="3275" t="s">
        <v>2858</v>
      </c>
      <c r="B376" s="3264" t="s">
        <v>277</v>
      </c>
      <c r="C376" s="3265">
        <v>0.15</v>
      </c>
      <c r="D376" s="3265">
        <v>0.15</v>
      </c>
      <c r="E376" s="3265">
        <v>0.15</v>
      </c>
      <c r="F376" s="3265">
        <v>0.14199999999999999</v>
      </c>
      <c r="G376" s="3266">
        <v>0.15</v>
      </c>
    </row>
    <row r="377" spans="1:7" ht="14.25" thickBot="1">
      <c r="A377" s="3278" t="s">
        <v>2858</v>
      </c>
      <c r="B377" s="3268" t="s">
        <v>2933</v>
      </c>
      <c r="C377" s="3269">
        <v>0.15</v>
      </c>
      <c r="D377" s="3269">
        <v>0.15</v>
      </c>
      <c r="E377" s="3269">
        <v>0.15</v>
      </c>
      <c r="F377" s="3269">
        <v>0.14000000000000001</v>
      </c>
      <c r="G377" s="3271">
        <v>0.15</v>
      </c>
    </row>
    <row r="378" spans="1:7">
      <c r="A378" s="3274" t="s">
        <v>2859</v>
      </c>
      <c r="B378" s="3260" t="s">
        <v>2873</v>
      </c>
      <c r="C378" s="3261">
        <v>0.15</v>
      </c>
      <c r="D378" s="3261">
        <v>0.15</v>
      </c>
      <c r="E378" s="3261">
        <v>0.15</v>
      </c>
      <c r="F378" s="3261">
        <v>0.107</v>
      </c>
      <c r="G378" s="3262">
        <v>0.15</v>
      </c>
    </row>
    <row r="379" spans="1:7">
      <c r="A379" s="3275" t="s">
        <v>2859</v>
      </c>
      <c r="B379" s="3264" t="s">
        <v>2879</v>
      </c>
      <c r="C379" s="3265">
        <v>0.15</v>
      </c>
      <c r="D379" s="3265">
        <v>0.15</v>
      </c>
      <c r="E379" s="3265">
        <v>0.15</v>
      </c>
      <c r="F379" s="3265">
        <v>0.115</v>
      </c>
      <c r="G379" s="3266">
        <v>0.14899999999999999</v>
      </c>
    </row>
    <row r="380" spans="1:7">
      <c r="A380" s="3275" t="s">
        <v>2859</v>
      </c>
      <c r="B380" s="3264" t="s">
        <v>2885</v>
      </c>
      <c r="C380" s="3265">
        <v>0.15</v>
      </c>
      <c r="D380" s="3265">
        <v>0.15</v>
      </c>
      <c r="E380" s="3265">
        <v>0.15</v>
      </c>
      <c r="F380" s="3265">
        <v>0.1</v>
      </c>
      <c r="G380" s="3266">
        <v>0.14799999999999999</v>
      </c>
    </row>
    <row r="381" spans="1:7">
      <c r="A381" s="3275" t="s">
        <v>2859</v>
      </c>
      <c r="B381" s="3264" t="s">
        <v>2888</v>
      </c>
      <c r="C381" s="3265">
        <v>0.15</v>
      </c>
      <c r="D381" s="3265">
        <v>0.15</v>
      </c>
      <c r="E381" s="3265">
        <v>0.15</v>
      </c>
      <c r="F381" s="3265">
        <v>0.126</v>
      </c>
      <c r="G381" s="3266">
        <v>0.15</v>
      </c>
    </row>
    <row r="382" spans="1:7">
      <c r="A382" s="3275" t="s">
        <v>2859</v>
      </c>
      <c r="B382" s="3264" t="s">
        <v>2892</v>
      </c>
      <c r="C382" s="3265">
        <v>0.15</v>
      </c>
      <c r="D382" s="3265">
        <v>0.15</v>
      </c>
      <c r="E382" s="3265">
        <v>0.15</v>
      </c>
      <c r="F382" s="3265">
        <v>0.15</v>
      </c>
      <c r="G382" s="3266">
        <v>0.15</v>
      </c>
    </row>
    <row r="383" spans="1:7">
      <c r="A383" s="3275" t="s">
        <v>2859</v>
      </c>
      <c r="B383" s="3264" t="s">
        <v>2897</v>
      </c>
      <c r="C383" s="3265">
        <v>0.15</v>
      </c>
      <c r="D383" s="3265">
        <v>0.15</v>
      </c>
      <c r="E383" s="3265">
        <v>0.15</v>
      </c>
      <c r="F383" s="3265">
        <v>0.14699999999999999</v>
      </c>
      <c r="G383" s="3266">
        <v>0.15</v>
      </c>
    </row>
    <row r="384" spans="1:7" ht="14.25" thickBot="1">
      <c r="A384" s="3285" t="s">
        <v>2859</v>
      </c>
      <c r="B384" s="3286" t="s">
        <v>2901</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805" t="s">
        <v>3240</v>
      </c>
      <c r="B1" s="3805"/>
      <c r="C1" s="3805"/>
      <c r="D1" s="3805"/>
      <c r="E1" s="3805"/>
      <c r="F1" s="3806"/>
    </row>
    <row r="2" spans="1:6" ht="15">
      <c r="A2" s="3291" t="s">
        <v>3241</v>
      </c>
      <c r="B2" s="3292"/>
      <c r="C2" s="3292"/>
      <c r="D2" s="3292"/>
      <c r="E2" s="3292"/>
      <c r="F2" s="3292"/>
    </row>
    <row r="3" spans="1:6" ht="15">
      <c r="A3" s="3291" t="s">
        <v>3242</v>
      </c>
      <c r="B3" s="3292"/>
      <c r="C3" s="3292"/>
      <c r="D3" s="3292"/>
      <c r="E3" s="3292"/>
      <c r="F3" s="3293" t="s">
        <v>3243</v>
      </c>
    </row>
    <row r="4" spans="1:6">
      <c r="A4" s="3294" t="s">
        <v>672</v>
      </c>
      <c r="B4" s="3294" t="s">
        <v>673</v>
      </c>
      <c r="C4" s="3294" t="s">
        <v>21</v>
      </c>
      <c r="D4" s="3294" t="s">
        <v>674</v>
      </c>
      <c r="E4" s="3294" t="s">
        <v>3</v>
      </c>
      <c r="F4" s="3294" t="s">
        <v>3244</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1">
        <f>基准地价修正!G23</f>
        <v>44939</v>
      </c>
      <c r="B1" s="3210" t="s">
        <v>2846</v>
      </c>
      <c r="C1" s="3211"/>
      <c r="D1" s="3211"/>
      <c r="E1" s="3211"/>
      <c r="F1" s="3211"/>
      <c r="G1" s="3211"/>
      <c r="H1" s="3211"/>
      <c r="I1" s="3211"/>
      <c r="J1" s="3164"/>
      <c r="K1" s="3211" t="s">
        <v>454</v>
      </c>
      <c r="L1" s="3211"/>
      <c r="M1" s="3211"/>
      <c r="N1" s="3211"/>
      <c r="O1" s="3211"/>
      <c r="P1" s="3211"/>
      <c r="Q1" s="3164"/>
      <c r="R1" s="3807" t="s">
        <v>456</v>
      </c>
      <c r="S1" s="3808"/>
      <c r="T1" s="3808"/>
      <c r="U1" s="3808"/>
      <c r="V1" s="3808"/>
      <c r="W1" s="3808"/>
      <c r="X1" s="3164"/>
      <c r="Y1" s="3807" t="s">
        <v>457</v>
      </c>
      <c r="Z1" s="3808"/>
      <c r="AA1" s="3808"/>
      <c r="AB1" s="3808"/>
      <c r="AC1" s="3808"/>
      <c r="AD1" s="3808"/>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ROUND(AVERAGEIF(D4:D13,"&lt;&gt;0"),2)</f>
        <v>0.84</v>
      </c>
      <c r="E3" s="3150">
        <f t="shared" ref="E3:H3" si="0">ROUND(AVERAGEIF(E4:E13,"&lt;&gt;0"),2)</f>
        <v>0.35</v>
      </c>
      <c r="F3" s="3150">
        <f t="shared" si="0"/>
        <v>0.15</v>
      </c>
      <c r="G3" s="3150">
        <f t="shared" si="0"/>
        <v>0.92</v>
      </c>
      <c r="H3" s="3150">
        <f t="shared" si="0"/>
        <v>0.68</v>
      </c>
      <c r="I3" s="3150">
        <f>F3</f>
        <v>0.15</v>
      </c>
      <c r="J3" s="3151"/>
      <c r="K3" s="3152">
        <f>ROUND(AVERAGEIF(K4:K13,"&lt;&gt;0"),4)</f>
        <v>8.3999999999999995E-3</v>
      </c>
      <c r="L3" s="3153">
        <f t="shared" ref="L3:O3" si="1">ROUND(AVERAGEIF(L4:L13,"&lt;&gt;0"),4)</f>
        <v>3.5000000000000001E-3</v>
      </c>
      <c r="M3" s="3153">
        <f t="shared" si="1"/>
        <v>1.5E-3</v>
      </c>
      <c r="N3" s="3153">
        <f t="shared" si="1"/>
        <v>9.1999999999999998E-3</v>
      </c>
      <c r="O3" s="3153">
        <f t="shared" si="1"/>
        <v>6.7999999999999996E-3</v>
      </c>
      <c r="P3" s="3153">
        <f>M3</f>
        <v>1.5E-3</v>
      </c>
      <c r="Q3" s="3151"/>
      <c r="R3" s="3154">
        <f>ROUND(SUMPRODUCT(PRODUCT(1+K4:K13)),4)</f>
        <v>1.0602</v>
      </c>
      <c r="S3" s="3155">
        <f t="shared" ref="S3:V3" si="2">ROUND(SUMPRODUCT(PRODUCT(1+L4:L13)),4)</f>
        <v>1.0246</v>
      </c>
      <c r="T3" s="3155">
        <f t="shared" si="2"/>
        <v>1.0107999999999999</v>
      </c>
      <c r="U3" s="3155">
        <f t="shared" si="2"/>
        <v>1.0662</v>
      </c>
      <c r="V3" s="3155">
        <f t="shared" si="2"/>
        <v>1.0485</v>
      </c>
      <c r="W3" s="3154">
        <f>T3</f>
        <v>1.0107999999999999</v>
      </c>
      <c r="X3" s="3151"/>
      <c r="Y3" s="3156">
        <f>ROUND(AVERAGEIF(Y5:Y13,"&lt;&gt;0"),4)</f>
        <v>8.8000000000000005E-3</v>
      </c>
      <c r="Z3" s="3157">
        <f t="shared" ref="Z3:AC3" si="3">ROUND(AVERAGEIF(Z5:Z13,"&lt;&gt;0"),4)</f>
        <v>3.5999999999999999E-3</v>
      </c>
      <c r="AA3" s="3158">
        <f t="shared" si="3"/>
        <v>8.0000000000000004E-4</v>
      </c>
      <c r="AB3" s="3156">
        <f t="shared" si="3"/>
        <v>9.5999999999999992E-3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2822</v>
      </c>
      <c r="B5" s="3176">
        <v>2023</v>
      </c>
      <c r="C5" s="3177">
        <v>1</v>
      </c>
      <c r="D5" s="3178">
        <v>0</v>
      </c>
      <c r="E5" s="3178">
        <v>0</v>
      </c>
      <c r="F5" s="3178">
        <v>0</v>
      </c>
      <c r="G5" s="3178">
        <v>0</v>
      </c>
      <c r="H5" s="3178">
        <v>0</v>
      </c>
      <c r="I5" s="3179">
        <f t="shared" ref="I5:I13" si="4">F5</f>
        <v>0</v>
      </c>
      <c r="J5" s="3180"/>
      <c r="K5" s="3181">
        <f t="shared" ref="K5:O13" si="5">D5/100</f>
        <v>0</v>
      </c>
      <c r="L5" s="3171">
        <f t="shared" si="5"/>
        <v>0</v>
      </c>
      <c r="M5" s="3171">
        <f t="shared" si="5"/>
        <v>0</v>
      </c>
      <c r="N5" s="3171">
        <f t="shared" si="5"/>
        <v>0</v>
      </c>
      <c r="O5" s="3171">
        <f t="shared" si="5"/>
        <v>0</v>
      </c>
      <c r="P5" s="3171">
        <f>M5</f>
        <v>0</v>
      </c>
      <c r="Q5" s="3180"/>
      <c r="R5" s="3182">
        <f>ROUND(IF([2]项目基本情况!B8="出让",SUMPRODUCT(PRODUCT(1+K5:K13)),SUMPRODUCT(PRODUCT(1+K5:K12))),4)</f>
        <v>1.05</v>
      </c>
      <c r="S5" s="3182">
        <f>ROUND(IF([2]项目基本情况!B8="出让",SUMPRODUCT(PRODUCT(1+L5:L13)),SUMPRODUCT(PRODUCT(1+L5:L12))),4)</f>
        <v>1.0229999999999999</v>
      </c>
      <c r="T5" s="3182">
        <f>ROUND(IF([2]项目基本情况!B8="出让",SUMPRODUCT(PRODUCT(1+M5:M13)),SUMPRODUCT(PRODUCT(1+M5:M12))),4)</f>
        <v>1.0134000000000001</v>
      </c>
      <c r="U5" s="3182">
        <f>ROUND(IF([2]项目基本情况!B8="出让",SUMPRODUCT(PRODUCT(1+N5:N13)),SUMPRODUCT(PRODUCT(1+N5:N12))),4)</f>
        <v>1.0545</v>
      </c>
      <c r="V5" s="3182">
        <f>ROUND(IF([2]项目基本情况!B8="出让",SUMPRODUCT(PRODUCT(1+O5:O13)),SUMPRODUCT(PRODUCT(1+O5:O12))),4)</f>
        <v>1.0447</v>
      </c>
      <c r="W5" s="3182">
        <f>T5</f>
        <v>1.0134000000000001</v>
      </c>
      <c r="X5" s="3180"/>
      <c r="Y5" s="3183">
        <f>IF(D5=0,0,ROUND(AVERAGE(D5:D13)/100,4))</f>
        <v>0</v>
      </c>
      <c r="Z5" s="3183">
        <f t="shared" ref="Z5:AC5" si="6">IF(E5=0,0,ROUND(AVERAGE(E5:E13)/100,4))</f>
        <v>0</v>
      </c>
      <c r="AA5" s="3183">
        <f t="shared" si="6"/>
        <v>0</v>
      </c>
      <c r="AB5" s="3183">
        <f t="shared" si="6"/>
        <v>0</v>
      </c>
      <c r="AC5" s="3183">
        <f t="shared" si="6"/>
        <v>0</v>
      </c>
      <c r="AD5" s="3183">
        <f t="shared" ref="AD5:AD12" si="7">AA5</f>
        <v>0</v>
      </c>
    </row>
    <row r="6" spans="1:30" s="3185" customFormat="1" ht="12.75">
      <c r="A6" s="3175" t="s">
        <v>2823</v>
      </c>
      <c r="B6" s="3176">
        <v>2022</v>
      </c>
      <c r="C6" s="3177">
        <v>4</v>
      </c>
      <c r="D6" s="3178">
        <v>0</v>
      </c>
      <c r="E6" s="3178">
        <v>0</v>
      </c>
      <c r="F6" s="3178">
        <v>0</v>
      </c>
      <c r="G6" s="3178">
        <v>0</v>
      </c>
      <c r="H6" s="3178">
        <v>0</v>
      </c>
      <c r="I6" s="3179">
        <f t="shared" si="4"/>
        <v>0</v>
      </c>
      <c r="J6" s="3180"/>
      <c r="K6" s="3181">
        <f t="shared" si="5"/>
        <v>0</v>
      </c>
      <c r="L6" s="3171">
        <f t="shared" si="5"/>
        <v>0</v>
      </c>
      <c r="M6" s="3171">
        <f t="shared" si="5"/>
        <v>0</v>
      </c>
      <c r="N6" s="3171">
        <f t="shared" si="5"/>
        <v>0</v>
      </c>
      <c r="O6" s="3171">
        <f t="shared" si="5"/>
        <v>0</v>
      </c>
      <c r="P6" s="3171">
        <f t="shared" ref="P6:P13" si="8">M6</f>
        <v>0</v>
      </c>
      <c r="Q6" s="3180"/>
      <c r="R6" s="3182">
        <f>ROUND(IF([2]项目基本情况!B8="出让",SUMPRODUCT(PRODUCT(1+K6:K13)),SUMPRODUCT(PRODUCT(1+K6:K12))),4)</f>
        <v>1.05</v>
      </c>
      <c r="S6" s="3182">
        <f>ROUND(IF([2]项目基本情况!B8="出让",SUMPRODUCT(PRODUCT(1+L6:L13)),SUMPRODUCT(PRODUCT(1+L6:L12))),4)</f>
        <v>1.0229999999999999</v>
      </c>
      <c r="T6" s="3182">
        <f>ROUND(IF([2]项目基本情况!B8="出让",SUMPRODUCT(PRODUCT(1+M6:M13)),SUMPRODUCT(PRODUCT(1+M6:M12))),4)</f>
        <v>1.0134000000000001</v>
      </c>
      <c r="U6" s="3182">
        <f>ROUND(IF([2]项目基本情况!B8="出让",SUMPRODUCT(PRODUCT(1+N6:N13)),SUMPRODUCT(PRODUCT(1+N6:N12))),4)</f>
        <v>1.0545</v>
      </c>
      <c r="V6" s="3182">
        <f>ROUND(IF([2]项目基本情况!B8="出让",SUMPRODUCT(PRODUCT(1+O6:O13)),SUMPRODUCT(PRODUCT(1+O6:O12))),4)</f>
        <v>1.0447</v>
      </c>
      <c r="W6" s="3182">
        <f t="shared" ref="W6:W13" si="9">T6</f>
        <v>1.0134000000000001</v>
      </c>
      <c r="X6" s="3180"/>
      <c r="Y6" s="3183">
        <f>IF(D6=0,0,ROUND(AVERAGE(D6:D14)/100,4))</f>
        <v>0</v>
      </c>
      <c r="Z6" s="3183">
        <f t="shared" ref="Z6:AC6" si="10">IF(E6=0,0,ROUND(AVERAGE(E6:E13)/100,4))</f>
        <v>0</v>
      </c>
      <c r="AA6" s="3183">
        <f t="shared" si="10"/>
        <v>0</v>
      </c>
      <c r="AB6" s="3183">
        <f t="shared" si="10"/>
        <v>0</v>
      </c>
      <c r="AC6" s="3183">
        <f t="shared" si="10"/>
        <v>0</v>
      </c>
      <c r="AD6" s="3183">
        <f t="shared" si="7"/>
        <v>0</v>
      </c>
    </row>
    <row r="7" spans="1:30" s="3195" customFormat="1" ht="12.75">
      <c r="A7" s="3186" t="s">
        <v>3363</v>
      </c>
      <c r="B7" s="3187">
        <v>2022</v>
      </c>
      <c r="C7" s="3188">
        <v>3</v>
      </c>
      <c r="D7" s="3189">
        <v>0.66</v>
      </c>
      <c r="E7" s="3189">
        <v>0.32</v>
      </c>
      <c r="F7" s="3189">
        <v>0.23</v>
      </c>
      <c r="G7" s="3189">
        <v>0.72</v>
      </c>
      <c r="H7" s="3190">
        <v>0.63</v>
      </c>
      <c r="I7" s="3191">
        <f t="shared" si="4"/>
        <v>0.23</v>
      </c>
      <c r="J7" s="3192"/>
      <c r="K7" s="3193">
        <f t="shared" si="5"/>
        <v>6.6E-3</v>
      </c>
      <c r="L7" s="3194">
        <f t="shared" si="5"/>
        <v>3.2000000000000002E-3</v>
      </c>
      <c r="M7" s="3194">
        <f t="shared" si="5"/>
        <v>2.3E-3</v>
      </c>
      <c r="N7" s="3194">
        <f t="shared" si="5"/>
        <v>7.1999999999999998E-3</v>
      </c>
      <c r="O7" s="3194">
        <f t="shared" si="5"/>
        <v>6.3E-3</v>
      </c>
      <c r="P7" s="3194">
        <f t="shared" si="8"/>
        <v>2.3E-3</v>
      </c>
      <c r="Q7" s="3192"/>
      <c r="R7" s="3192">
        <f>ROUND(IF([2]项目基本情况!B8="出让",SUMPRODUCT(PRODUCT(1+K7:K13)),SUMPRODUCT(PRODUCT(1+K7:K12))),4)</f>
        <v>1.05</v>
      </c>
      <c r="S7" s="3192">
        <f>ROUND(IF([2]项目基本情况!B8="出让",SUMPRODUCT(PRODUCT(1+L7:L13)),SUMPRODUCT(PRODUCT(1+L7:L12))),4)</f>
        <v>1.0229999999999999</v>
      </c>
      <c r="T7" s="3192">
        <f>ROUND(IF([2]项目基本情况!B8="出让",SUMPRODUCT(PRODUCT(1+M7:M13)),SUMPRODUCT(PRODUCT(1+M7:M12))),4)</f>
        <v>1.0134000000000001</v>
      </c>
      <c r="U7" s="3192">
        <f>ROUND(IF([2]项目基本情况!B8="出让",SUMPRODUCT(PRODUCT(1+N7:N13)),SUMPRODUCT(PRODUCT(1+N7:N12))),4)</f>
        <v>1.0545</v>
      </c>
      <c r="V7" s="3192">
        <f>ROUND(IF([2]项目基本情况!B8="出让",SUMPRODUCT(PRODUCT(1+O7:O13)),SUMPRODUCT(PRODUCT(1+O7:O12))),4)</f>
        <v>1.0447</v>
      </c>
      <c r="W7" s="3192">
        <f t="shared" si="9"/>
        <v>1.0134000000000001</v>
      </c>
      <c r="X7" s="3192"/>
      <c r="Y7" s="3194">
        <f>IF(D7=0,0,ROUND(AVERAGE(D7:D13)/100,4))</f>
        <v>8.3999999999999995E-3</v>
      </c>
      <c r="Z7" s="3194">
        <f t="shared" ref="Z7:AC7" si="11">IF(E7=0,0,ROUND(AVERAGE(E7:E13)/100,4))</f>
        <v>3.5000000000000001E-3</v>
      </c>
      <c r="AA7" s="3194">
        <f t="shared" si="11"/>
        <v>1.5E-3</v>
      </c>
      <c r="AB7" s="3194">
        <f t="shared" si="11"/>
        <v>9.1999999999999998E-3</v>
      </c>
      <c r="AC7" s="3194">
        <f t="shared" si="11"/>
        <v>6.7999999999999996E-3</v>
      </c>
      <c r="AD7" s="3194">
        <f t="shared" si="7"/>
        <v>1.5E-3</v>
      </c>
    </row>
    <row r="8" spans="1:30" s="3184" customFormat="1" ht="12.75">
      <c r="A8" s="3175" t="s">
        <v>3364</v>
      </c>
      <c r="B8" s="3176">
        <v>2022</v>
      </c>
      <c r="C8" s="3177">
        <v>2</v>
      </c>
      <c r="D8" s="3178">
        <v>0.93</v>
      </c>
      <c r="E8" s="3178">
        <v>0.15</v>
      </c>
      <c r="F8" s="3178">
        <v>0.01</v>
      </c>
      <c r="G8" s="3178">
        <v>1.05</v>
      </c>
      <c r="H8" s="3196">
        <v>1.08</v>
      </c>
      <c r="I8" s="3179">
        <f t="shared" si="4"/>
        <v>0.01</v>
      </c>
      <c r="J8" s="3180"/>
      <c r="K8" s="3181">
        <f t="shared" si="5"/>
        <v>9.300000000000001E-3</v>
      </c>
      <c r="L8" s="3171">
        <f t="shared" si="5"/>
        <v>1.5E-3</v>
      </c>
      <c r="M8" s="3171">
        <f t="shared" si="5"/>
        <v>1E-4</v>
      </c>
      <c r="N8" s="3171">
        <f t="shared" si="5"/>
        <v>1.0500000000000001E-2</v>
      </c>
      <c r="O8" s="3171">
        <f t="shared" si="5"/>
        <v>1.0800000000000001E-2</v>
      </c>
      <c r="P8" s="3171">
        <f t="shared" si="8"/>
        <v>1E-4</v>
      </c>
      <c r="Q8" s="3180"/>
      <c r="R8" s="3182">
        <f>ROUND(IF([2]项目基本情况!B8="出让",SUMPRODUCT(PRODUCT(1+K8:K13)),SUMPRODUCT(PRODUCT(1+K8:K12))),4)</f>
        <v>1.0430999999999999</v>
      </c>
      <c r="S8" s="3182">
        <f>ROUND(IF([2]项目基本情况!B8="出让",SUMPRODUCT(PRODUCT(1+L8:L13)),SUMPRODUCT(PRODUCT(1+L8:L12))),4)</f>
        <v>1.0197000000000001</v>
      </c>
      <c r="T8" s="3182">
        <f>ROUND(IF([2]项目基本情况!B8="出让",SUMPRODUCT(PRODUCT(1+M8:M13)),SUMPRODUCT(PRODUCT(1+M8:M12))),4)</f>
        <v>1.0109999999999999</v>
      </c>
      <c r="U8" s="3182">
        <f>ROUND(IF([2]项目基本情况!B8="出让",SUMPRODUCT(PRODUCT(1+N8:N13)),SUMPRODUCT(PRODUCT(1+N8:N12))),4)</f>
        <v>1.0468999999999999</v>
      </c>
      <c r="V8" s="3182">
        <f>ROUND(IF([2]项目基本情况!B8="出让",SUMPRODUCT(PRODUCT(1+O8:O13)),SUMPRODUCT(PRODUCT(1+O8:O12))),4)</f>
        <v>1.0382</v>
      </c>
      <c r="W8" s="3182">
        <f t="shared" si="9"/>
        <v>1.0109999999999999</v>
      </c>
      <c r="X8" s="3180"/>
      <c r="Y8" s="3183">
        <f>IF(D8=0,0,ROUND(AVERAGE(D8:D13)/100,4))</f>
        <v>8.6999999999999994E-3</v>
      </c>
      <c r="Z8" s="3183">
        <f t="shared" ref="Z8:AC8" si="12">IF(E8=0,0,ROUND(AVERAGE(E8:E13)/100,4))</f>
        <v>3.5000000000000001E-3</v>
      </c>
      <c r="AA8" s="3183">
        <f t="shared" si="12"/>
        <v>1.4E-3</v>
      </c>
      <c r="AB8" s="3183">
        <f t="shared" si="12"/>
        <v>9.4999999999999998E-3</v>
      </c>
      <c r="AC8" s="3183">
        <f t="shared" si="12"/>
        <v>6.8999999999999999E-3</v>
      </c>
      <c r="AD8" s="3183">
        <f t="shared" si="7"/>
        <v>1.4E-3</v>
      </c>
    </row>
    <row r="9" spans="1:30" s="3184" customFormat="1" ht="12.75">
      <c r="A9" s="3175" t="s">
        <v>2824</v>
      </c>
      <c r="B9" s="3176">
        <v>2022</v>
      </c>
      <c r="C9" s="3177">
        <v>1</v>
      </c>
      <c r="D9" s="3178">
        <v>0.89</v>
      </c>
      <c r="E9" s="3178">
        <v>0.44</v>
      </c>
      <c r="F9" s="3178">
        <v>0.37</v>
      </c>
      <c r="G9" s="3178">
        <v>0.96</v>
      </c>
      <c r="H9" s="3196">
        <v>0.64</v>
      </c>
      <c r="I9" s="3179">
        <f t="shared" si="4"/>
        <v>0.37</v>
      </c>
      <c r="J9" s="3180"/>
      <c r="K9" s="3181">
        <f t="shared" si="5"/>
        <v>8.8999999999999999E-3</v>
      </c>
      <c r="L9" s="3171">
        <f t="shared" si="5"/>
        <v>4.4000000000000003E-3</v>
      </c>
      <c r="M9" s="3171">
        <f t="shared" si="5"/>
        <v>3.7000000000000002E-3</v>
      </c>
      <c r="N9" s="3171">
        <f t="shared" si="5"/>
        <v>9.5999999999999992E-3</v>
      </c>
      <c r="O9" s="3171">
        <f t="shared" si="5"/>
        <v>6.4000000000000003E-3</v>
      </c>
      <c r="P9" s="3171">
        <f t="shared" si="8"/>
        <v>3.7000000000000002E-3</v>
      </c>
      <c r="Q9" s="3180"/>
      <c r="R9" s="3182">
        <f>ROUND(IF([2]项目基本情况!B8="出让",SUMPRODUCT(PRODUCT(1+K9:K13)),SUMPRODUCT(PRODUCT(1+K9:K12))),4)</f>
        <v>1.0335000000000001</v>
      </c>
      <c r="S9" s="3182">
        <f>ROUND(IF([2]项目基本情况!B8="出让",SUMPRODUCT(PRODUCT(1+L9:L13)),SUMPRODUCT(PRODUCT(1+L9:L12))),4)</f>
        <v>1.0182</v>
      </c>
      <c r="T9" s="3182">
        <f>ROUND(IF([2]项目基本情况!B8="出让",SUMPRODUCT(PRODUCT(1+M9:M13)),SUMPRODUCT(PRODUCT(1+M9:M12))),4)</f>
        <v>1.0108999999999999</v>
      </c>
      <c r="U9" s="3182">
        <f>ROUND(IF([2]项目基本情况!B8="出让",SUMPRODUCT(PRODUCT(1+N9:N13)),SUMPRODUCT(PRODUCT(1+N9:N12))),4)</f>
        <v>1.0361</v>
      </c>
      <c r="V9" s="3182">
        <f>ROUND(IF([2]项目基本情况!B8="出让",SUMPRODUCT(PRODUCT(1+O9:O13)),SUMPRODUCT(PRODUCT(1+O9:O12))),4)</f>
        <v>1.0270999999999999</v>
      </c>
      <c r="W9" s="3182">
        <f t="shared" si="9"/>
        <v>1.0108999999999999</v>
      </c>
      <c r="X9" s="3180"/>
      <c r="Y9" s="3183">
        <f>IF(D9=0,0,ROUND(AVERAGE(D9:D13)/100,4))</f>
        <v>8.6E-3</v>
      </c>
      <c r="Z9" s="3183">
        <f t="shared" ref="Z9:AC9" si="13">IF(E9=0,0,ROUND(AVERAGE(E9:E13)/100,4))</f>
        <v>3.8999999999999998E-3</v>
      </c>
      <c r="AA9" s="3183">
        <f t="shared" si="13"/>
        <v>1.6999999999999999E-3</v>
      </c>
      <c r="AB9" s="3183">
        <f t="shared" si="13"/>
        <v>9.2999999999999992E-3</v>
      </c>
      <c r="AC9" s="3183">
        <f t="shared" si="13"/>
        <v>6.1000000000000004E-3</v>
      </c>
      <c r="AD9" s="3183">
        <f t="shared" si="7"/>
        <v>1.6999999999999999E-3</v>
      </c>
    </row>
    <row r="10" spans="1:30" s="3184" customFormat="1" ht="12.75">
      <c r="A10" s="3175" t="s">
        <v>2825</v>
      </c>
      <c r="B10" s="3176">
        <v>2021</v>
      </c>
      <c r="C10" s="3177">
        <v>4</v>
      </c>
      <c r="D10" s="3178">
        <v>1.03</v>
      </c>
      <c r="E10" s="3178">
        <v>0.24</v>
      </c>
      <c r="F10" s="3178">
        <v>7.0000000000000007E-2</v>
      </c>
      <c r="G10" s="3178">
        <v>1.17</v>
      </c>
      <c r="H10" s="3196">
        <v>0.55000000000000004</v>
      </c>
      <c r="I10" s="3179">
        <f t="shared" si="4"/>
        <v>7.0000000000000007E-2</v>
      </c>
      <c r="J10" s="3180"/>
      <c r="K10" s="3181">
        <f t="shared" si="5"/>
        <v>1.03E-2</v>
      </c>
      <c r="L10" s="3171">
        <f t="shared" si="5"/>
        <v>2.3999999999999998E-3</v>
      </c>
      <c r="M10" s="3171">
        <f t="shared" si="5"/>
        <v>7.000000000000001E-4</v>
      </c>
      <c r="N10" s="3171">
        <f t="shared" si="5"/>
        <v>1.1699999999999999E-2</v>
      </c>
      <c r="O10" s="3171">
        <f t="shared" si="5"/>
        <v>5.5000000000000005E-3</v>
      </c>
      <c r="P10" s="3171">
        <f t="shared" si="8"/>
        <v>7.000000000000001E-4</v>
      </c>
      <c r="Q10" s="3180"/>
      <c r="R10" s="3182">
        <f>ROUND(IF([2]项目基本情况!B8="出让",SUMPRODUCT(PRODUCT(1+K10:K13)),SUMPRODUCT(PRODUCT(1+K10:K12))),4)</f>
        <v>1.0244</v>
      </c>
      <c r="S10" s="3182">
        <f>ROUND(IF([2]项目基本情况!B8="出让",SUMPRODUCT(PRODUCT(1+L10:L13)),SUMPRODUCT(PRODUCT(1+L10:L12))),4)</f>
        <v>1.0138</v>
      </c>
      <c r="T10" s="3182">
        <f>ROUND(IF([2]项目基本情况!B8="出让",SUMPRODUCT(PRODUCT(1+M10:M13)),SUMPRODUCT(PRODUCT(1+M10:M12))),4)</f>
        <v>1.0072000000000001</v>
      </c>
      <c r="U10" s="3182">
        <f>ROUND(IF([2]项目基本情况!B8="出让",SUMPRODUCT(PRODUCT(1+N10:N13)),SUMPRODUCT(PRODUCT(1+N10:N12))),4)</f>
        <v>1.0262</v>
      </c>
      <c r="V10" s="3182">
        <f>ROUND(IF([2]项目基本情况!B8="出让",SUMPRODUCT(PRODUCT(1+O10:O13)),SUMPRODUCT(PRODUCT(1+O10:O12))),4)</f>
        <v>1.0205</v>
      </c>
      <c r="W10" s="3182">
        <f t="shared" si="9"/>
        <v>1.0072000000000001</v>
      </c>
      <c r="X10" s="3180"/>
      <c r="Y10" s="3183">
        <f>IF(D10=0,0,ROUND(AVERAGE(D10:D13)/100,4))</f>
        <v>8.5000000000000006E-3</v>
      </c>
      <c r="Z10" s="3183">
        <f t="shared" ref="Z10:AC10" si="14">IF(E10=0,0,ROUND(AVERAGE(E10:E13)/100,4))</f>
        <v>3.8E-3</v>
      </c>
      <c r="AA10" s="3183">
        <f t="shared" si="14"/>
        <v>1.1999999999999999E-3</v>
      </c>
      <c r="AB10" s="3183">
        <f t="shared" si="14"/>
        <v>9.2999999999999992E-3</v>
      </c>
      <c r="AC10" s="3183">
        <f t="shared" si="14"/>
        <v>6.0000000000000001E-3</v>
      </c>
      <c r="AD10" s="3183">
        <f t="shared" si="7"/>
        <v>1.1999999999999999E-3</v>
      </c>
    </row>
    <row r="11" spans="1:30" s="3184" customFormat="1" ht="12.75">
      <c r="A11" s="3175" t="s">
        <v>2826</v>
      </c>
      <c r="B11" s="3176">
        <v>2021</v>
      </c>
      <c r="C11" s="3177">
        <v>3</v>
      </c>
      <c r="D11" s="3178">
        <v>0.47</v>
      </c>
      <c r="E11" s="3178">
        <v>0.41</v>
      </c>
      <c r="F11" s="3178">
        <v>0.24</v>
      </c>
      <c r="G11" s="3178">
        <v>0.48</v>
      </c>
      <c r="H11" s="3196">
        <v>0.48</v>
      </c>
      <c r="I11" s="3179">
        <f t="shared" si="4"/>
        <v>0.24</v>
      </c>
      <c r="J11" s="3180"/>
      <c r="K11" s="3181">
        <f t="shared" si="5"/>
        <v>4.6999999999999993E-3</v>
      </c>
      <c r="L11" s="3171">
        <f t="shared" si="5"/>
        <v>4.0999999999999995E-3</v>
      </c>
      <c r="M11" s="3171">
        <f t="shared" si="5"/>
        <v>2.3999999999999998E-3</v>
      </c>
      <c r="N11" s="3171">
        <f t="shared" si="5"/>
        <v>4.7999999999999996E-3</v>
      </c>
      <c r="O11" s="3171">
        <f t="shared" si="5"/>
        <v>4.7999999999999996E-3</v>
      </c>
      <c r="P11" s="3171">
        <f t="shared" si="8"/>
        <v>2.3999999999999998E-3</v>
      </c>
      <c r="Q11" s="3180"/>
      <c r="R11" s="3182">
        <f>ROUND(IF([2]项目基本情况!B8="出让",SUMPRODUCT(PRODUCT(1+K11:K13)),SUMPRODUCT(PRODUCT(1+K11:K12))),4)</f>
        <v>1.0139</v>
      </c>
      <c r="S11" s="3182">
        <f>ROUND(IF([2]项目基本情况!B8="出让",SUMPRODUCT(PRODUCT(1+L11:L13)),SUMPRODUCT(PRODUCT(1+L11:L12))),4)</f>
        <v>1.0113000000000001</v>
      </c>
      <c r="T11" s="3182">
        <f>ROUND(IF([2]项目基本情况!B8="出让",SUMPRODUCT(PRODUCT(1+M11:M13)),SUMPRODUCT(PRODUCT(1+M11:M12))),4)</f>
        <v>1.0065</v>
      </c>
      <c r="U11" s="3182">
        <f>ROUND(IF([2]项目基本情况!B8="出让",SUMPRODUCT(PRODUCT(1+N11:N13)),SUMPRODUCT(PRODUCT(1+N11:N12))),4)</f>
        <v>1.0143</v>
      </c>
      <c r="V11" s="3182">
        <f>ROUND(IF([2]项目基本情况!B8="出让",SUMPRODUCT(PRODUCT(1+O11:O13)),SUMPRODUCT(PRODUCT(1+O11:O12))),4)</f>
        <v>1.0148999999999999</v>
      </c>
      <c r="W11" s="3182">
        <f t="shared" si="9"/>
        <v>1.0065</v>
      </c>
      <c r="X11" s="3180"/>
      <c r="Y11" s="3183">
        <f>IF(D11=0,0,ROUND(AVERAGE(D11:D13)/100,4))</f>
        <v>7.9000000000000008E-3</v>
      </c>
      <c r="Z11" s="3183">
        <f>IF(E11=0,0,ROUND(AVERAGE(E11:E13)/100,4))</f>
        <v>4.3E-3</v>
      </c>
      <c r="AA11" s="3183">
        <f>IF(F11=0,0,ROUND(AVERAGE(F11:F13)/100,4))</f>
        <v>1.2999999999999999E-3</v>
      </c>
      <c r="AB11" s="3183">
        <f>IF(G11=0,0,ROUND(AVERAGE(G11:G13)/100,4))</f>
        <v>8.5000000000000006E-3</v>
      </c>
      <c r="AC11" s="3183">
        <f>IF(H11=0,0,ROUND(AVERAGE(H11:H13)/100,4))</f>
        <v>6.1999999999999998E-3</v>
      </c>
      <c r="AD11" s="3183">
        <f t="shared" si="7"/>
        <v>1.2999999999999999E-3</v>
      </c>
    </row>
    <row r="12" spans="1:30" s="3184" customFormat="1" ht="12.75">
      <c r="A12" s="3175" t="s">
        <v>2827</v>
      </c>
      <c r="B12" s="3176">
        <v>2021</v>
      </c>
      <c r="C12" s="3177">
        <v>2</v>
      </c>
      <c r="D12" s="3178">
        <v>0.92</v>
      </c>
      <c r="E12" s="3178">
        <v>0.72</v>
      </c>
      <c r="F12" s="3178">
        <v>0.41</v>
      </c>
      <c r="G12" s="3178">
        <v>0.95</v>
      </c>
      <c r="H12" s="3196">
        <v>1.01</v>
      </c>
      <c r="I12" s="3179">
        <f t="shared" si="4"/>
        <v>0.41</v>
      </c>
      <c r="J12" s="3180"/>
      <c r="K12" s="3181">
        <f t="shared" si="5"/>
        <v>9.1999999999999998E-3</v>
      </c>
      <c r="L12" s="3171">
        <f t="shared" si="5"/>
        <v>7.1999999999999998E-3</v>
      </c>
      <c r="M12" s="3171">
        <f t="shared" si="5"/>
        <v>4.0999999999999995E-3</v>
      </c>
      <c r="N12" s="3171">
        <f t="shared" si="5"/>
        <v>9.4999999999999998E-3</v>
      </c>
      <c r="O12" s="3171">
        <f t="shared" si="5"/>
        <v>1.01E-2</v>
      </c>
      <c r="P12" s="3171">
        <f t="shared" si="8"/>
        <v>4.0999999999999995E-3</v>
      </c>
      <c r="Q12" s="3180"/>
      <c r="R12" s="3182">
        <f>ROUND(IF([2]项目基本情况!B8="出让",SUMPRODUCT(PRODUCT(1+K12:K13)),SUMPRODUCT(PRODUCT(1+K12:K12))),4)</f>
        <v>1.0092000000000001</v>
      </c>
      <c r="S12" s="3182">
        <f>ROUND(IF([2]项目基本情况!B8="出让",SUMPRODUCT(PRODUCT(1+L12:L13)),SUMPRODUCT(PRODUCT(1+L12:L12))),4)</f>
        <v>1.0072000000000001</v>
      </c>
      <c r="T12" s="3182">
        <f>ROUND(IF([2]项目基本情况!B8="出让",SUMPRODUCT(PRODUCT(1+M12:M13)),SUMPRODUCT(PRODUCT(1+M12:M12))),4)</f>
        <v>1.0041</v>
      </c>
      <c r="U12" s="3182">
        <f>ROUND(IF([2]项目基本情况!B8="出让",SUMPRODUCT(PRODUCT(1+N12:N13)),SUMPRODUCT(PRODUCT(1+N12:N12))),4)</f>
        <v>1.0095000000000001</v>
      </c>
      <c r="V12" s="3182">
        <f>ROUND(IF([2]项目基本情况!B8="出让",SUMPRODUCT(PRODUCT(1+O12:O13)),SUMPRODUCT(PRODUCT(1+O12:O12))),4)</f>
        <v>1.0101</v>
      </c>
      <c r="W12" s="3182">
        <f t="shared" si="9"/>
        <v>1.0041</v>
      </c>
      <c r="X12" s="3180"/>
      <c r="Y12" s="3183">
        <f>IF(D12=0,0,ROUND(AVERAGE(D12:D13)/100,4))</f>
        <v>9.4999999999999998E-3</v>
      </c>
      <c r="Z12" s="3183">
        <f>IF(E12=0,0,ROUND(AVERAGE(E12:E13)/100,4))</f>
        <v>4.4000000000000003E-3</v>
      </c>
      <c r="AA12" s="3183">
        <f>IF(F12=0,0,ROUND(AVERAGE(F12:F13)/100,4))</f>
        <v>8.0000000000000004E-4</v>
      </c>
      <c r="AB12" s="3183">
        <f>IF(G12=0,0,ROUND(AVERAGE(G12:G13)/100,4))</f>
        <v>1.03E-2</v>
      </c>
      <c r="AC12" s="3183">
        <f>IF(H12=0,0,ROUND(AVERAGE(H12:H13)/100,4))</f>
        <v>6.8999999999999999E-3</v>
      </c>
      <c r="AD12" s="3183">
        <f t="shared" si="7"/>
        <v>8.0000000000000004E-4</v>
      </c>
    </row>
    <row r="13" spans="1:30" s="3207" customFormat="1" thickBot="1">
      <c r="A13" s="3197" t="s">
        <v>2828</v>
      </c>
      <c r="B13" s="3198">
        <v>2021</v>
      </c>
      <c r="C13" s="3199">
        <v>1</v>
      </c>
      <c r="D13" s="3200">
        <v>0.97</v>
      </c>
      <c r="E13" s="3200">
        <v>0.16</v>
      </c>
      <c r="F13" s="3200">
        <v>-0.25</v>
      </c>
      <c r="G13" s="3200">
        <v>1.1100000000000001</v>
      </c>
      <c r="H13" s="3201">
        <v>0.36</v>
      </c>
      <c r="I13" s="3202">
        <f t="shared" si="4"/>
        <v>-0.25</v>
      </c>
      <c r="J13" s="3203"/>
      <c r="K13" s="3204">
        <f t="shared" si="5"/>
        <v>9.7000000000000003E-3</v>
      </c>
      <c r="L13" s="3205">
        <f t="shared" si="5"/>
        <v>1.6000000000000001E-3</v>
      </c>
      <c r="M13" s="3205">
        <f>F13/100</f>
        <v>-2.5000000000000001E-3</v>
      </c>
      <c r="N13" s="3205">
        <f t="shared" si="5"/>
        <v>1.11E-2</v>
      </c>
      <c r="O13" s="3205">
        <f t="shared" si="5"/>
        <v>3.5999999999999999E-3</v>
      </c>
      <c r="P13" s="3205">
        <f t="shared" si="8"/>
        <v>-2.5000000000000001E-3</v>
      </c>
      <c r="Q13" s="3203"/>
      <c r="R13" s="3206">
        <v>1</v>
      </c>
      <c r="S13" s="3206">
        <v>1</v>
      </c>
      <c r="T13" s="3206">
        <v>1</v>
      </c>
      <c r="U13" s="3206">
        <v>1</v>
      </c>
      <c r="V13" s="3206">
        <v>1</v>
      </c>
      <c r="W13" s="3206">
        <f t="shared" si="9"/>
        <v>1</v>
      </c>
      <c r="X13" s="3203"/>
      <c r="Y13" s="3205">
        <f>IF(D13=0,0,ROUND(AVERAGE(D13:D13)/100,4))</f>
        <v>9.7000000000000003E-3</v>
      </c>
      <c r="Z13" s="3205">
        <f>IF(E13=0,0,ROUND(AVERAGE(E13:E13)/100,4))</f>
        <v>1.6000000000000001E-3</v>
      </c>
      <c r="AA13" s="3205">
        <f>IF(F13=0,0,ROUND(AVERAGE(F13:F13)/100,4))</f>
        <v>-2.5000000000000001E-3</v>
      </c>
      <c r="AB13" s="3205">
        <f>IF(G13=0,0,ROUND(AVERAGE(G13:G13)/100,4))</f>
        <v>1.11E-2</v>
      </c>
      <c r="AC13" s="3205">
        <f>IF(H13=0,0,ROUND(AVERAGE(H13:H13)/100,4))</f>
        <v>3.5999999999999999E-3</v>
      </c>
      <c r="AD13" s="3205">
        <f>AA13</f>
        <v>-2.5000000000000001E-3</v>
      </c>
    </row>
    <row r="14" spans="1:30" s="3008" customFormat="1" ht="14.25" thickTop="1"/>
    <row r="15" spans="1:30" s="3008" customFormat="1"/>
    <row r="16" spans="1:30" s="3008" customFormat="1">
      <c r="I16" s="3208" t="s">
        <v>2829</v>
      </c>
    </row>
    <row r="17" spans="1:30" s="3008" customFormat="1"/>
    <row r="18" spans="1:30" s="3209" customFormat="1" ht="12.75">
      <c r="B18" s="3210" t="s">
        <v>2830</v>
      </c>
      <c r="C18" s="3211"/>
      <c r="D18" s="3211"/>
      <c r="E18" s="3211"/>
      <c r="F18" s="3211"/>
      <c r="G18" s="3211"/>
      <c r="H18" s="3211"/>
      <c r="I18" s="3211"/>
      <c r="J18" s="3164"/>
      <c r="K18" s="3211" t="s">
        <v>2831</v>
      </c>
      <c r="L18" s="3211"/>
      <c r="M18" s="3211"/>
      <c r="N18" s="3211"/>
      <c r="O18" s="3211"/>
      <c r="P18" s="3211"/>
      <c r="Q18" s="3164"/>
      <c r="R18" s="3807" t="s">
        <v>2832</v>
      </c>
      <c r="S18" s="3808"/>
      <c r="T18" s="3808"/>
      <c r="U18" s="3808"/>
      <c r="V18" s="3808"/>
      <c r="W18" s="3808"/>
      <c r="X18" s="3164"/>
      <c r="Y18" s="3807" t="s">
        <v>2833</v>
      </c>
      <c r="Z18" s="3808"/>
      <c r="AA18" s="3808"/>
      <c r="AB18" s="3808"/>
      <c r="AC18" s="3808"/>
      <c r="AD18" s="3808"/>
    </row>
    <row r="19" spans="1:30" s="3142" customFormat="1" ht="14.25" thickBot="1">
      <c r="B19" s="3143"/>
      <c r="C19" s="3144"/>
      <c r="D19" s="3145" t="s">
        <v>2834</v>
      </c>
      <c r="E19" s="3146" t="s">
        <v>2835</v>
      </c>
      <c r="F19" s="3146" t="s">
        <v>2836</v>
      </c>
      <c r="G19" s="3146" t="s">
        <v>2837</v>
      </c>
      <c r="H19" s="3146"/>
      <c r="I19" s="3146" t="s">
        <v>2838</v>
      </c>
      <c r="J19" s="3147"/>
      <c r="K19" s="3145" t="s">
        <v>2834</v>
      </c>
      <c r="L19" s="3146" t="s">
        <v>2835</v>
      </c>
      <c r="M19" s="3146" t="s">
        <v>2836</v>
      </c>
      <c r="N19" s="3146" t="s">
        <v>2837</v>
      </c>
      <c r="O19" s="3146"/>
      <c r="P19" s="3146" t="s">
        <v>2838</v>
      </c>
      <c r="Q19" s="3147"/>
      <c r="R19" s="3145" t="s">
        <v>2834</v>
      </c>
      <c r="S19" s="3146" t="s">
        <v>2835</v>
      </c>
      <c r="T19" s="3146" t="s">
        <v>2836</v>
      </c>
      <c r="U19" s="3146" t="s">
        <v>2837</v>
      </c>
      <c r="V19" s="3146"/>
      <c r="W19" s="3146" t="s">
        <v>2838</v>
      </c>
      <c r="X19" s="3147"/>
      <c r="Y19" s="3145" t="s">
        <v>2834</v>
      </c>
      <c r="Z19" s="3146" t="s">
        <v>2835</v>
      </c>
      <c r="AA19" s="3146" t="s">
        <v>2836</v>
      </c>
      <c r="AB19" s="3146" t="s">
        <v>2837</v>
      </c>
      <c r="AC19" s="3146"/>
      <c r="AD19" s="3146" t="s">
        <v>2838</v>
      </c>
    </row>
    <row r="20" spans="1:30" s="3160" customFormat="1" ht="12.75">
      <c r="A20" s="3148" t="s">
        <v>2839</v>
      </c>
      <c r="B20" s="3149"/>
      <c r="C20" s="3150"/>
      <c r="D20" s="3150"/>
      <c r="E20" s="3150">
        <f t="shared" ref="E20:G20" si="15">ROUND(AVERAGEIF(E21:E30,"&lt;&gt;0"),2)</f>
        <v>0.39</v>
      </c>
      <c r="F20" s="3150">
        <f t="shared" si="15"/>
        <v>0.27</v>
      </c>
      <c r="G20" s="3150">
        <f t="shared" si="15"/>
        <v>0.79</v>
      </c>
      <c r="H20" s="3150"/>
      <c r="I20" s="3150">
        <f>F20</f>
        <v>0.27</v>
      </c>
      <c r="J20" s="3151"/>
      <c r="K20" s="3152"/>
      <c r="L20" s="3153">
        <f t="shared" ref="L20:N20" si="16">ROUND(AVERAGEIF(L21:L30,"&lt;&gt;0"),4)</f>
        <v>3.8999999999999998E-3</v>
      </c>
      <c r="M20" s="3153">
        <f t="shared" si="16"/>
        <v>2.7000000000000001E-3</v>
      </c>
      <c r="N20" s="3153">
        <f t="shared" si="16"/>
        <v>7.9000000000000008E-3</v>
      </c>
      <c r="O20" s="3153"/>
      <c r="P20" s="3153">
        <f>M20</f>
        <v>2.7000000000000001E-3</v>
      </c>
      <c r="Q20" s="3151"/>
      <c r="R20" s="3154"/>
      <c r="S20" s="3155">
        <f>ROUND(SUMPRODUCT(PRODUCT(1+L21:L30)),4)</f>
        <v>1.0277000000000001</v>
      </c>
      <c r="T20" s="3155">
        <f t="shared" ref="T20:U20" si="17">ROUND(SUMPRODUCT(PRODUCT(1+M21:M30)),4)</f>
        <v>1.0192000000000001</v>
      </c>
      <c r="U20" s="3155">
        <f t="shared" si="17"/>
        <v>1.0569</v>
      </c>
      <c r="V20" s="3155"/>
      <c r="W20" s="3154">
        <f>T20</f>
        <v>1.0192000000000001</v>
      </c>
      <c r="X20" s="3151"/>
      <c r="Y20" s="3156"/>
      <c r="Z20" s="3157">
        <f t="shared" ref="Z20:AB20" si="18">ROUND(AVERAGEIF(Z21:Z30,"&lt;&gt;0"),4)</f>
        <v>4.4000000000000003E-3</v>
      </c>
      <c r="AA20" s="3158">
        <f t="shared" si="18"/>
        <v>3.7000000000000002E-3</v>
      </c>
      <c r="AB20" s="3156">
        <f t="shared" si="18"/>
        <v>9.1000000000000004E-3</v>
      </c>
      <c r="AC20" s="3159"/>
      <c r="AD20" s="3156">
        <f>AA20</f>
        <v>3.7000000000000002E-3</v>
      </c>
    </row>
    <row r="21" spans="1:30" s="3161" customFormat="1" ht="12.75">
      <c r="B21" s="3162"/>
      <c r="C21" s="3163"/>
      <c r="D21" s="3163"/>
      <c r="E21" s="3163"/>
      <c r="F21" s="3163"/>
      <c r="G21" s="3163"/>
      <c r="H21" s="3163"/>
      <c r="I21" s="3163"/>
      <c r="J21" s="3164"/>
      <c r="K21" s="3165"/>
      <c r="L21" s="3166"/>
      <c r="M21" s="3166"/>
      <c r="N21" s="3166"/>
      <c r="O21" s="3166"/>
      <c r="P21" s="3166"/>
      <c r="Q21" s="3164"/>
      <c r="R21" s="3167"/>
      <c r="S21" s="3168"/>
      <c r="T21" s="3169"/>
      <c r="U21" s="3167"/>
      <c r="V21" s="3170"/>
      <c r="W21" s="3167"/>
      <c r="X21" s="3164"/>
      <c r="Y21" s="3171"/>
      <c r="Z21" s="3172"/>
      <c r="AA21" s="3173"/>
      <c r="AB21" s="3171"/>
      <c r="AC21" s="3174"/>
      <c r="AD21" s="3171"/>
    </row>
    <row r="22" spans="1:30" s="3184" customFormat="1" ht="12.75">
      <c r="A22" s="3175" t="s">
        <v>2840</v>
      </c>
      <c r="B22" s="3176">
        <v>2023</v>
      </c>
      <c r="C22" s="3177">
        <v>1</v>
      </c>
      <c r="D22" s="3178"/>
      <c r="E22" s="3178">
        <v>0</v>
      </c>
      <c r="F22" s="3178">
        <v>0</v>
      </c>
      <c r="G22" s="3178">
        <v>0</v>
      </c>
      <c r="H22" s="3178"/>
      <c r="I22" s="3179">
        <f t="shared" ref="I22:I30" si="19">F22</f>
        <v>0</v>
      </c>
      <c r="J22" s="3180"/>
      <c r="K22" s="3181"/>
      <c r="L22" s="3171">
        <f t="shared" ref="L22:N30" si="20">E22/100</f>
        <v>0</v>
      </c>
      <c r="M22" s="3171">
        <f t="shared" si="20"/>
        <v>0</v>
      </c>
      <c r="N22" s="3171">
        <f t="shared" si="20"/>
        <v>0</v>
      </c>
      <c r="O22" s="3171"/>
      <c r="P22" s="3171">
        <f>M22</f>
        <v>0</v>
      </c>
      <c r="Q22" s="3180"/>
      <c r="R22" s="3182"/>
      <c r="S22" s="3182">
        <f>ROUND(IF([2]项目基本情况!$B$8="出让",SUMPRODUCT(PRODUCT(1+L22:L$30)),SUMPRODUCT(PRODUCT(1+L22:L$29))),4)</f>
        <v>1.0241</v>
      </c>
      <c r="T22" s="3182">
        <f>ROUND(IF([2]项目基本情况!$B$8="出让",SUMPRODUCT(PRODUCT(1+M22:M$30)),SUMPRODUCT(PRODUCT(1+M22:M$29))),4)</f>
        <v>1.0144</v>
      </c>
      <c r="U22" s="3182">
        <f>ROUND(IF([2]项目基本情况!$B$8="出让",SUMPRODUCT(PRODUCT(1+N22:N$30)),SUMPRODUCT(PRODUCT(1+N22:N$29))),4)</f>
        <v>1.0467</v>
      </c>
      <c r="V22" s="3182"/>
      <c r="W22" s="3182">
        <f>T22</f>
        <v>1.0144</v>
      </c>
      <c r="X22" s="3180"/>
      <c r="Y22" s="3183"/>
      <c r="Z22" s="3212">
        <f>IF(E22=0,0,ROUND(AVERAGE(E22:E30)/100,4))</f>
        <v>0</v>
      </c>
      <c r="AA22" s="3212">
        <f>IF(F22=0,0,ROUND(AVERAGE(F22:F30)/100,4))</f>
        <v>0</v>
      </c>
      <c r="AB22" s="3212">
        <f>IF(G22=0,0,ROUND(AVERAGE(G22:G30)/100,4))</f>
        <v>0</v>
      </c>
      <c r="AC22" s="3213"/>
      <c r="AD22" s="3183">
        <f>IF(I22=0,0,ROUND(AVERAGE(I22:I30)/100,4))</f>
        <v>0</v>
      </c>
    </row>
    <row r="23" spans="1:30" s="3185" customFormat="1" ht="12.75">
      <c r="A23" s="3175" t="s">
        <v>2841</v>
      </c>
      <c r="B23" s="3176">
        <v>2022</v>
      </c>
      <c r="C23" s="3177">
        <v>4</v>
      </c>
      <c r="D23" s="3178"/>
      <c r="E23" s="3178">
        <v>0</v>
      </c>
      <c r="F23" s="3178">
        <v>0</v>
      </c>
      <c r="G23" s="3178">
        <v>0</v>
      </c>
      <c r="H23" s="3178"/>
      <c r="I23" s="3179">
        <f t="shared" si="19"/>
        <v>0</v>
      </c>
      <c r="J23" s="3180"/>
      <c r="K23" s="3181"/>
      <c r="L23" s="3171">
        <f t="shared" si="20"/>
        <v>0</v>
      </c>
      <c r="M23" s="3171">
        <f t="shared" si="20"/>
        <v>0</v>
      </c>
      <c r="N23" s="3171">
        <f t="shared" si="20"/>
        <v>0</v>
      </c>
      <c r="O23" s="3171"/>
      <c r="P23" s="3171">
        <f t="shared" ref="P23:P30" si="21">M23</f>
        <v>0</v>
      </c>
      <c r="Q23" s="3180"/>
      <c r="R23" s="3182"/>
      <c r="S23" s="3182">
        <f>ROUND(IF([2]项目基本情况!$B$8="出让",SUMPRODUCT(PRODUCT(1+L23:L$30)),SUMPRODUCT(PRODUCT(1+L23:L$29))),4)</f>
        <v>1.0241</v>
      </c>
      <c r="T23" s="3182">
        <f>ROUND(IF([2]项目基本情况!$B$8="出让",SUMPRODUCT(PRODUCT(1+M23:M$30)),SUMPRODUCT(PRODUCT(1+M23:M$29))),4)</f>
        <v>1.0144</v>
      </c>
      <c r="U23" s="3182">
        <f>ROUND(IF([2]项目基本情况!$B$8="出让",SUMPRODUCT(PRODUCT(1+N23:N$30)),SUMPRODUCT(PRODUCT(1+N23:N$29))),4)</f>
        <v>1.0467</v>
      </c>
      <c r="V23" s="3182"/>
      <c r="W23" s="3182">
        <f t="shared" ref="W23:W30" si="22">T23</f>
        <v>1.0144</v>
      </c>
      <c r="X23" s="3180"/>
      <c r="Y23" s="3183"/>
      <c r="Z23" s="3212">
        <f t="shared" ref="Z23:AD30" si="23">IF(E23=0,0,ROUND(AVERAGE(E23:E31)/100,4))</f>
        <v>0</v>
      </c>
      <c r="AA23" s="3214">
        <f t="shared" si="23"/>
        <v>0</v>
      </c>
      <c r="AB23" s="3183">
        <f t="shared" si="23"/>
        <v>0</v>
      </c>
      <c r="AC23" s="3213"/>
      <c r="AD23" s="3183">
        <f t="shared" si="23"/>
        <v>0</v>
      </c>
    </row>
    <row r="24" spans="1:30" s="3195" customFormat="1" ht="12.75">
      <c r="A24" s="3186" t="s">
        <v>3365</v>
      </c>
      <c r="B24" s="3187">
        <v>2022</v>
      </c>
      <c r="C24" s="3188">
        <v>3</v>
      </c>
      <c r="D24" s="3189"/>
      <c r="E24" s="3189">
        <v>0.3</v>
      </c>
      <c r="F24" s="3189">
        <v>0.28999999999999998</v>
      </c>
      <c r="G24" s="3189">
        <v>0.83</v>
      </c>
      <c r="H24" s="3190"/>
      <c r="I24" s="3191">
        <f t="shared" si="19"/>
        <v>0.28999999999999998</v>
      </c>
      <c r="J24" s="3192"/>
      <c r="K24" s="3193"/>
      <c r="L24" s="3194">
        <f t="shared" si="20"/>
        <v>3.0000000000000001E-3</v>
      </c>
      <c r="M24" s="3194">
        <f t="shared" si="20"/>
        <v>2.8999999999999998E-3</v>
      </c>
      <c r="N24" s="3194">
        <f t="shared" si="20"/>
        <v>8.3000000000000001E-3</v>
      </c>
      <c r="O24" s="3194"/>
      <c r="P24" s="3194">
        <f t="shared" si="21"/>
        <v>2.8999999999999998E-3</v>
      </c>
      <c r="Q24" s="3192"/>
      <c r="R24" s="3192"/>
      <c r="S24" s="3192">
        <f>ROUND(IF([2]项目基本情况!$B$8="出让",SUMPRODUCT(PRODUCT(1+L24:L$30)),SUMPRODUCT(PRODUCT(1+L24:L$29))),4)</f>
        <v>1.0241</v>
      </c>
      <c r="T24" s="3192">
        <f>ROUND(IF([2]项目基本情况!$B$8="出让",SUMPRODUCT(PRODUCT(1+M24:M$30)),SUMPRODUCT(PRODUCT(1+M24:M$29))),4)</f>
        <v>1.0144</v>
      </c>
      <c r="U24" s="3192">
        <f>ROUND(IF([2]项目基本情况!$B$8="出让",SUMPRODUCT(PRODUCT(1+N24:N$30)),SUMPRODUCT(PRODUCT(1+N24:N$29))),4)</f>
        <v>1.0467</v>
      </c>
      <c r="V24" s="3192"/>
      <c r="W24" s="3192">
        <f t="shared" si="22"/>
        <v>1.0144</v>
      </c>
      <c r="X24" s="3192"/>
      <c r="Y24" s="3194"/>
      <c r="Z24" s="3215">
        <f t="shared" si="23"/>
        <v>3.8999999999999998E-3</v>
      </c>
      <c r="AA24" s="3216">
        <f t="shared" si="23"/>
        <v>2.7000000000000001E-3</v>
      </c>
      <c r="AB24" s="3194">
        <f t="shared" si="23"/>
        <v>7.9000000000000008E-3</v>
      </c>
      <c r="AC24" s="3217"/>
      <c r="AD24" s="3194">
        <f t="shared" si="23"/>
        <v>2.7000000000000001E-3</v>
      </c>
    </row>
    <row r="25" spans="1:30" s="3184" customFormat="1" ht="12.75">
      <c r="A25" s="3175" t="s">
        <v>3364</v>
      </c>
      <c r="B25" s="3176">
        <v>2022</v>
      </c>
      <c r="C25" s="3177">
        <v>2</v>
      </c>
      <c r="D25" s="3178"/>
      <c r="E25" s="3178">
        <v>-0.11</v>
      </c>
      <c r="F25" s="3178">
        <v>-0.13</v>
      </c>
      <c r="G25" s="3178">
        <v>0.53</v>
      </c>
      <c r="H25" s="3196"/>
      <c r="I25" s="3179">
        <f t="shared" si="19"/>
        <v>-0.13</v>
      </c>
      <c r="J25" s="3180"/>
      <c r="K25" s="3181"/>
      <c r="L25" s="3171">
        <f t="shared" si="20"/>
        <v>-1.1000000000000001E-3</v>
      </c>
      <c r="M25" s="3171">
        <f t="shared" si="20"/>
        <v>-1.2999999999999999E-3</v>
      </c>
      <c r="N25" s="3171">
        <f t="shared" si="20"/>
        <v>5.3E-3</v>
      </c>
      <c r="O25" s="3171"/>
      <c r="P25" s="3171">
        <f t="shared" si="21"/>
        <v>-1.2999999999999999E-3</v>
      </c>
      <c r="Q25" s="3180"/>
      <c r="R25" s="3182"/>
      <c r="S25" s="3182">
        <f>ROUND(IF([2]项目基本情况!$B$8="出让",SUMPRODUCT(PRODUCT(1+L25:L$30)),SUMPRODUCT(PRODUCT(1+L25:L$29))),4)</f>
        <v>1.0210999999999999</v>
      </c>
      <c r="T25" s="3182">
        <f>ROUND(IF([2]项目基本情况!$B$8="出让",SUMPRODUCT(PRODUCT(1+M25:M$30)),SUMPRODUCT(PRODUCT(1+M25:M$29))),4)</f>
        <v>1.0114000000000001</v>
      </c>
      <c r="U25" s="3182">
        <f>ROUND(IF([2]项目基本情况!$B$8="出让",SUMPRODUCT(PRODUCT(1+N25:N$30)),SUMPRODUCT(PRODUCT(1+N25:N$29))),4)</f>
        <v>1.0381</v>
      </c>
      <c r="V25" s="3182"/>
      <c r="W25" s="3182">
        <f t="shared" si="22"/>
        <v>1.0114000000000001</v>
      </c>
      <c r="X25" s="3180"/>
      <c r="Y25" s="3183"/>
      <c r="Z25" s="3212">
        <f t="shared" si="23"/>
        <v>4.1000000000000003E-3</v>
      </c>
      <c r="AA25" s="3214">
        <f t="shared" si="23"/>
        <v>2.7000000000000001E-3</v>
      </c>
      <c r="AB25" s="3183">
        <f t="shared" si="23"/>
        <v>7.9000000000000008E-3</v>
      </c>
      <c r="AC25" s="3213"/>
      <c r="AD25" s="3183">
        <f t="shared" si="23"/>
        <v>2.7000000000000001E-3</v>
      </c>
    </row>
    <row r="26" spans="1:30" s="3184" customFormat="1" ht="12.75">
      <c r="A26" s="3175" t="s">
        <v>2842</v>
      </c>
      <c r="B26" s="3176">
        <v>2022</v>
      </c>
      <c r="C26" s="3177">
        <v>1</v>
      </c>
      <c r="D26" s="3178"/>
      <c r="E26" s="3178">
        <v>0.6</v>
      </c>
      <c r="F26" s="3178">
        <v>0.45</v>
      </c>
      <c r="G26" s="3178">
        <v>0.53</v>
      </c>
      <c r="H26" s="3196"/>
      <c r="I26" s="3179">
        <f t="shared" si="19"/>
        <v>0.45</v>
      </c>
      <c r="J26" s="3180"/>
      <c r="K26" s="3181"/>
      <c r="L26" s="3171">
        <f t="shared" si="20"/>
        <v>6.0000000000000001E-3</v>
      </c>
      <c r="M26" s="3171">
        <f t="shared" si="20"/>
        <v>4.5000000000000005E-3</v>
      </c>
      <c r="N26" s="3171">
        <f t="shared" si="20"/>
        <v>5.3E-3</v>
      </c>
      <c r="O26" s="3171"/>
      <c r="P26" s="3171">
        <f t="shared" si="21"/>
        <v>4.5000000000000005E-3</v>
      </c>
      <c r="Q26" s="3180"/>
      <c r="R26" s="3182"/>
      <c r="S26" s="3182">
        <f>ROUND(IF([2]项目基本情况!$B$8="出让",SUMPRODUCT(PRODUCT(1+L26:L$30)),SUMPRODUCT(PRODUCT(1+L26:L$29))),4)</f>
        <v>1.0222</v>
      </c>
      <c r="T26" s="3182">
        <f>ROUND(IF([2]项目基本情况!$B$8="出让",SUMPRODUCT(PRODUCT(1+M26:M$30)),SUMPRODUCT(PRODUCT(1+M26:M$29))),4)</f>
        <v>1.0127999999999999</v>
      </c>
      <c r="U26" s="3182">
        <f>ROUND(IF([2]项目基本情况!$B$8="出让",SUMPRODUCT(PRODUCT(1+N26:N$30)),SUMPRODUCT(PRODUCT(1+N26:N$29))),4)</f>
        <v>1.0326</v>
      </c>
      <c r="V26" s="3182"/>
      <c r="W26" s="3182">
        <f t="shared" si="22"/>
        <v>1.0127999999999999</v>
      </c>
      <c r="X26" s="3180"/>
      <c r="Y26" s="3183"/>
      <c r="Z26" s="3212">
        <f t="shared" si="23"/>
        <v>5.1000000000000004E-3</v>
      </c>
      <c r="AA26" s="3214">
        <f t="shared" si="23"/>
        <v>3.5000000000000001E-3</v>
      </c>
      <c r="AB26" s="3183">
        <f t="shared" si="23"/>
        <v>8.3999999999999995E-3</v>
      </c>
      <c r="AC26" s="3213"/>
      <c r="AD26" s="3183">
        <f t="shared" si="23"/>
        <v>3.5000000000000001E-3</v>
      </c>
    </row>
    <row r="27" spans="1:30" s="3184" customFormat="1" ht="12.75">
      <c r="A27" s="3175" t="s">
        <v>2843</v>
      </c>
      <c r="B27" s="3176">
        <v>2021</v>
      </c>
      <c r="C27" s="3177">
        <v>4</v>
      </c>
      <c r="D27" s="3178"/>
      <c r="E27" s="3178">
        <v>0.57999999999999996</v>
      </c>
      <c r="F27" s="3178">
        <v>0.08</v>
      </c>
      <c r="G27" s="3178">
        <v>0.68</v>
      </c>
      <c r="H27" s="3196"/>
      <c r="I27" s="3179">
        <f t="shared" si="19"/>
        <v>0.08</v>
      </c>
      <c r="J27" s="3180"/>
      <c r="K27" s="3181"/>
      <c r="L27" s="3171">
        <f t="shared" si="20"/>
        <v>5.7999999999999996E-3</v>
      </c>
      <c r="M27" s="3171">
        <f t="shared" si="20"/>
        <v>8.0000000000000004E-4</v>
      </c>
      <c r="N27" s="3171">
        <f t="shared" si="20"/>
        <v>6.8000000000000005E-3</v>
      </c>
      <c r="O27" s="3171"/>
      <c r="P27" s="3171">
        <f t="shared" si="21"/>
        <v>8.0000000000000004E-4</v>
      </c>
      <c r="Q27" s="3180"/>
      <c r="R27" s="3182"/>
      <c r="S27" s="3182">
        <f>ROUND(IF([2]项目基本情况!$B$8="出让",SUMPRODUCT(PRODUCT(1+L27:L$30)),SUMPRODUCT(PRODUCT(1+L27:L$29))),4)</f>
        <v>1.0161</v>
      </c>
      <c r="T27" s="3182">
        <f>ROUND(IF([2]项目基本情况!$B$8="出让",SUMPRODUCT(PRODUCT(1+M27:M$30)),SUMPRODUCT(PRODUCT(1+M27:M$29))),4)</f>
        <v>1.0082</v>
      </c>
      <c r="U27" s="3182">
        <f>ROUND(IF([2]项目基本情况!$B$8="出让",SUMPRODUCT(PRODUCT(1+N27:N$30)),SUMPRODUCT(PRODUCT(1+N27:N$29))),4)</f>
        <v>1.0270999999999999</v>
      </c>
      <c r="V27" s="3182"/>
      <c r="W27" s="3182">
        <f t="shared" si="22"/>
        <v>1.0082</v>
      </c>
      <c r="X27" s="3180"/>
      <c r="Y27" s="3183"/>
      <c r="Z27" s="3212">
        <f t="shared" si="23"/>
        <v>4.8999999999999998E-3</v>
      </c>
      <c r="AA27" s="3214">
        <f t="shared" si="23"/>
        <v>3.3E-3</v>
      </c>
      <c r="AB27" s="3183">
        <f t="shared" si="23"/>
        <v>9.1999999999999998E-3</v>
      </c>
      <c r="AC27" s="3213"/>
      <c r="AD27" s="3183">
        <f t="shared" si="23"/>
        <v>3.3E-3</v>
      </c>
    </row>
    <row r="28" spans="1:30" s="3184" customFormat="1" ht="12.75">
      <c r="A28" s="3175" t="s">
        <v>2844</v>
      </c>
      <c r="B28" s="3176">
        <v>2021</v>
      </c>
      <c r="C28" s="3177">
        <v>3</v>
      </c>
      <c r="D28" s="3178"/>
      <c r="E28" s="3178">
        <v>0.47</v>
      </c>
      <c r="F28" s="3178">
        <v>0.28000000000000003</v>
      </c>
      <c r="G28" s="3178">
        <v>0.91</v>
      </c>
      <c r="H28" s="3196"/>
      <c r="I28" s="3179">
        <f t="shared" si="19"/>
        <v>0.28000000000000003</v>
      </c>
      <c r="J28" s="3180"/>
      <c r="K28" s="3181"/>
      <c r="L28" s="3171">
        <f t="shared" si="20"/>
        <v>4.6999999999999993E-3</v>
      </c>
      <c r="M28" s="3171">
        <f t="shared" si="20"/>
        <v>2.8000000000000004E-3</v>
      </c>
      <c r="N28" s="3171">
        <f t="shared" si="20"/>
        <v>9.1000000000000004E-3</v>
      </c>
      <c r="O28" s="3171"/>
      <c r="P28" s="3171">
        <f t="shared" si="21"/>
        <v>2.8000000000000004E-3</v>
      </c>
      <c r="Q28" s="3180"/>
      <c r="R28" s="3182"/>
      <c r="S28" s="3182">
        <f>ROUND(IF([2]项目基本情况!$B$8="出让",SUMPRODUCT(PRODUCT(1+L28:L$30)),SUMPRODUCT(PRODUCT(1+L28:L$29))),4)</f>
        <v>1.0102</v>
      </c>
      <c r="T28" s="3182">
        <f>ROUND(IF([2]项目基本情况!$B$8="出让",SUMPRODUCT(PRODUCT(1+M28:M$30)),SUMPRODUCT(PRODUCT(1+M28:M$29))),4)</f>
        <v>1.0074000000000001</v>
      </c>
      <c r="U28" s="3182">
        <f>ROUND(IF([2]项目基本情况!$B$8="出让",SUMPRODUCT(PRODUCT(1+N28:N$30)),SUMPRODUCT(PRODUCT(1+N28:N$29))),4)</f>
        <v>1.0202</v>
      </c>
      <c r="V28" s="3182"/>
      <c r="W28" s="3182">
        <f t="shared" si="22"/>
        <v>1.0074000000000001</v>
      </c>
      <c r="X28" s="3180"/>
      <c r="Y28" s="3183"/>
      <c r="Z28" s="3212">
        <f t="shared" si="23"/>
        <v>4.5999999999999999E-3</v>
      </c>
      <c r="AA28" s="3214">
        <f t="shared" si="23"/>
        <v>4.1000000000000003E-3</v>
      </c>
      <c r="AB28" s="3183">
        <f t="shared" si="23"/>
        <v>0.01</v>
      </c>
      <c r="AC28" s="3213"/>
      <c r="AD28" s="3183">
        <f t="shared" si="23"/>
        <v>4.1000000000000003E-3</v>
      </c>
    </row>
    <row r="29" spans="1:30" s="3184" customFormat="1" ht="12.75">
      <c r="A29" s="3175" t="s">
        <v>2845</v>
      </c>
      <c r="B29" s="3176">
        <v>2021</v>
      </c>
      <c r="C29" s="3177">
        <v>2</v>
      </c>
      <c r="D29" s="3178"/>
      <c r="E29" s="3178">
        <v>0.55000000000000004</v>
      </c>
      <c r="F29" s="3178">
        <v>0.46</v>
      </c>
      <c r="G29" s="3178">
        <v>1.1000000000000001</v>
      </c>
      <c r="H29" s="3196"/>
      <c r="I29" s="3179">
        <f t="shared" si="19"/>
        <v>0.46</v>
      </c>
      <c r="J29" s="3180"/>
      <c r="K29" s="3181"/>
      <c r="L29" s="3171">
        <f t="shared" si="20"/>
        <v>5.5000000000000005E-3</v>
      </c>
      <c r="M29" s="3171">
        <f t="shared" si="20"/>
        <v>4.5999999999999999E-3</v>
      </c>
      <c r="N29" s="3171">
        <f t="shared" si="20"/>
        <v>1.1000000000000001E-2</v>
      </c>
      <c r="O29" s="3171"/>
      <c r="P29" s="3171">
        <f t="shared" si="21"/>
        <v>4.5999999999999999E-3</v>
      </c>
      <c r="Q29" s="3180"/>
      <c r="R29" s="3182"/>
      <c r="S29" s="3182">
        <f>ROUND(IF([2]项目基本情况!$B$8="出让",SUMPRODUCT(PRODUCT(1+L29:L$30)),SUMPRODUCT(PRODUCT(1+L29:L$29))),4)</f>
        <v>1.0055000000000001</v>
      </c>
      <c r="T29" s="3182">
        <f>ROUND(IF([2]项目基本情况!$B$8="出让",SUMPRODUCT(PRODUCT(1+M29:M$30)),SUMPRODUCT(PRODUCT(1+M29:M$29))),4)</f>
        <v>1.0045999999999999</v>
      </c>
      <c r="U29" s="3182">
        <f>ROUND(IF([2]项目基本情况!$B$8="出让",SUMPRODUCT(PRODUCT(1+N29:N$30)),SUMPRODUCT(PRODUCT(1+N29:N$29))),4)</f>
        <v>1.0109999999999999</v>
      </c>
      <c r="V29" s="3182"/>
      <c r="W29" s="3182">
        <f t="shared" si="22"/>
        <v>1.0045999999999999</v>
      </c>
      <c r="X29" s="3180"/>
      <c r="Y29" s="3183"/>
      <c r="Z29" s="3212">
        <f t="shared" si="23"/>
        <v>4.4999999999999997E-3</v>
      </c>
      <c r="AA29" s="3214">
        <f t="shared" si="23"/>
        <v>4.7000000000000002E-3</v>
      </c>
      <c r="AB29" s="3183">
        <f t="shared" si="23"/>
        <v>1.04E-2</v>
      </c>
      <c r="AC29" s="3213"/>
      <c r="AD29" s="3183">
        <f t="shared" si="23"/>
        <v>4.7000000000000002E-3</v>
      </c>
    </row>
    <row r="30" spans="1:30" s="3207" customFormat="1" thickBot="1">
      <c r="A30" s="3197" t="s">
        <v>2828</v>
      </c>
      <c r="B30" s="3198">
        <v>2021</v>
      </c>
      <c r="C30" s="3199">
        <v>1</v>
      </c>
      <c r="D30" s="3200"/>
      <c r="E30" s="3200">
        <v>0.35</v>
      </c>
      <c r="F30" s="3200">
        <v>0.48</v>
      </c>
      <c r="G30" s="3200">
        <v>0.98</v>
      </c>
      <c r="H30" s="3201"/>
      <c r="I30" s="3202">
        <f t="shared" si="19"/>
        <v>0.48</v>
      </c>
      <c r="J30" s="3203"/>
      <c r="K30" s="3204"/>
      <c r="L30" s="3205">
        <f t="shared" si="20"/>
        <v>3.4999999999999996E-3</v>
      </c>
      <c r="M30" s="3205">
        <f>F30/100</f>
        <v>4.7999999999999996E-3</v>
      </c>
      <c r="N30" s="3205">
        <f t="shared" si="20"/>
        <v>9.7999999999999997E-3</v>
      </c>
      <c r="O30" s="3205"/>
      <c r="P30" s="3205">
        <f t="shared" si="21"/>
        <v>4.7999999999999996E-3</v>
      </c>
      <c r="Q30" s="3203"/>
      <c r="R30" s="3206"/>
      <c r="S30" s="3206">
        <v>1</v>
      </c>
      <c r="T30" s="3206">
        <v>1</v>
      </c>
      <c r="U30" s="3206">
        <v>1</v>
      </c>
      <c r="V30" s="3206"/>
      <c r="W30" s="3206">
        <f t="shared" si="22"/>
        <v>1</v>
      </c>
      <c r="X30" s="3203"/>
      <c r="Y30" s="3205"/>
      <c r="Z30" s="3218">
        <f t="shared" si="23"/>
        <v>3.5000000000000001E-3</v>
      </c>
      <c r="AA30" s="3219">
        <f t="shared" si="23"/>
        <v>4.7999999999999996E-3</v>
      </c>
      <c r="AB30" s="3205">
        <f t="shared" si="23"/>
        <v>9.7999999999999997E-3</v>
      </c>
      <c r="AC30" s="3220"/>
      <c r="AD30" s="3205">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14" t="s">
        <v>452</v>
      </c>
      <c r="C1" s="3814"/>
      <c r="D1" s="3814"/>
      <c r="E1" s="3814"/>
      <c r="F1" s="3814"/>
      <c r="G1" s="3813" t="s">
        <v>453</v>
      </c>
      <c r="H1" s="3813"/>
      <c r="I1" s="3813"/>
      <c r="J1" s="3813"/>
      <c r="K1" s="3813"/>
      <c r="L1" s="3813"/>
      <c r="N1" s="3813" t="s">
        <v>454</v>
      </c>
      <c r="O1" s="3813"/>
      <c r="P1" s="3813"/>
      <c r="Q1" s="3813"/>
      <c r="S1" s="3813" t="s">
        <v>455</v>
      </c>
      <c r="T1" s="3813"/>
      <c r="U1" s="3813"/>
      <c r="V1" s="3813"/>
      <c r="X1" s="3812" t="s">
        <v>456</v>
      </c>
      <c r="Y1" s="3813"/>
      <c r="Z1" s="3813"/>
      <c r="AA1" s="3813"/>
      <c r="AB1" s="3813"/>
      <c r="AD1" s="3812" t="s">
        <v>457</v>
      </c>
      <c r="AE1" s="3813"/>
      <c r="AF1" s="3813"/>
      <c r="AG1" s="3813"/>
      <c r="AH1" s="3813"/>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7">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3370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7">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3371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7">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3372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7">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1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1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1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0">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11">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0">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11">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44939</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2312</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7"/>
  <sheetViews>
    <sheetView workbookViewId="0">
      <selection activeCell="B32" sqref="B32"/>
    </sheetView>
  </sheetViews>
  <sheetFormatPr defaultRowHeight="13.5"/>
  <cols>
    <col min="7" max="7" width="4.625" customWidth="1"/>
    <col min="8" max="8" width="32.25" customWidth="1"/>
    <col min="9" max="9" width="27.125" customWidth="1"/>
    <col min="10" max="10" width="7" customWidth="1"/>
    <col min="11" max="11" width="5.5" customWidth="1"/>
  </cols>
  <sheetData>
    <row r="2" spans="2:12">
      <c r="G2" s="3464" t="s">
        <v>3380</v>
      </c>
      <c r="H2" s="3464" t="s">
        <v>3381</v>
      </c>
      <c r="I2" s="3464" t="s">
        <v>3382</v>
      </c>
      <c r="J2" s="3464" t="s">
        <v>3383</v>
      </c>
      <c r="K2" s="3464" t="s">
        <v>3384</v>
      </c>
      <c r="L2" s="3465" t="s">
        <v>3385</v>
      </c>
    </row>
    <row r="3" spans="2:12">
      <c r="B3">
        <v>901</v>
      </c>
      <c r="C3">
        <v>229.53</v>
      </c>
      <c r="G3" s="3464">
        <v>1</v>
      </c>
      <c r="H3" s="3464" t="s">
        <v>3386</v>
      </c>
      <c r="I3" s="3464" t="s">
        <v>3387</v>
      </c>
      <c r="J3" s="3464">
        <f>C3</f>
        <v>229.53</v>
      </c>
      <c r="K3" s="3464" t="s">
        <v>3388</v>
      </c>
      <c r="L3" s="3466"/>
    </row>
    <row r="4" spans="2:12">
      <c r="B4">
        <v>902</v>
      </c>
      <c r="C4">
        <v>89.91</v>
      </c>
      <c r="G4" s="3464">
        <v>2</v>
      </c>
      <c r="H4" s="3464" t="s">
        <v>3389</v>
      </c>
      <c r="I4" s="3464" t="s">
        <v>3390</v>
      </c>
      <c r="J4" s="3465">
        <f t="shared" ref="J4:J18" si="0">C4</f>
        <v>89.91</v>
      </c>
      <c r="K4" s="3464" t="s">
        <v>3391</v>
      </c>
      <c r="L4" s="3466"/>
    </row>
    <row r="5" spans="2:12">
      <c r="B5">
        <v>903</v>
      </c>
      <c r="C5">
        <v>111.32</v>
      </c>
      <c r="G5" s="3464">
        <v>3</v>
      </c>
      <c r="H5" s="3464" t="s">
        <v>3392</v>
      </c>
      <c r="I5" s="3464" t="s">
        <v>3393</v>
      </c>
      <c r="J5" s="3464">
        <f t="shared" si="0"/>
        <v>111.32</v>
      </c>
      <c r="K5" s="3464" t="s">
        <v>3391</v>
      </c>
      <c r="L5" s="3466"/>
    </row>
    <row r="6" spans="2:12">
      <c r="B6">
        <v>904</v>
      </c>
      <c r="C6">
        <v>92.76</v>
      </c>
      <c r="G6" s="3464">
        <v>4</v>
      </c>
      <c r="H6" s="3464" t="s">
        <v>3394</v>
      </c>
      <c r="I6" s="3464" t="s">
        <v>3395</v>
      </c>
      <c r="J6" s="3464">
        <f t="shared" si="0"/>
        <v>92.76</v>
      </c>
      <c r="K6" s="3464" t="s">
        <v>3391</v>
      </c>
      <c r="L6" s="3466"/>
    </row>
    <row r="7" spans="2:12">
      <c r="B7">
        <v>905</v>
      </c>
      <c r="C7">
        <v>111.44</v>
      </c>
      <c r="G7" s="3464">
        <v>5</v>
      </c>
      <c r="H7" s="3464" t="s">
        <v>3396</v>
      </c>
      <c r="I7" s="3464" t="s">
        <v>3397</v>
      </c>
      <c r="J7" s="3464">
        <f t="shared" si="0"/>
        <v>111.44</v>
      </c>
      <c r="K7" s="3464" t="s">
        <v>3391</v>
      </c>
      <c r="L7" s="3466"/>
    </row>
    <row r="8" spans="2:12">
      <c r="B8">
        <v>906</v>
      </c>
      <c r="C8">
        <v>91.17</v>
      </c>
      <c r="G8" s="3464">
        <v>6</v>
      </c>
      <c r="H8" s="3464" t="s">
        <v>3398</v>
      </c>
      <c r="I8" s="3464" t="s">
        <v>3399</v>
      </c>
      <c r="J8" s="3464">
        <f t="shared" si="0"/>
        <v>91.17</v>
      </c>
      <c r="K8" s="3464" t="s">
        <v>3391</v>
      </c>
      <c r="L8" s="3466"/>
    </row>
    <row r="9" spans="2:12">
      <c r="B9">
        <v>907</v>
      </c>
      <c r="C9">
        <v>111.05</v>
      </c>
      <c r="G9" s="3464">
        <v>7</v>
      </c>
      <c r="H9" s="3464" t="s">
        <v>3400</v>
      </c>
      <c r="I9" s="3464" t="s">
        <v>3401</v>
      </c>
      <c r="J9" s="3464">
        <f t="shared" si="0"/>
        <v>111.05</v>
      </c>
      <c r="K9" s="3464" t="s">
        <v>3391</v>
      </c>
      <c r="L9" s="3466"/>
    </row>
    <row r="10" spans="2:12">
      <c r="B10">
        <v>908</v>
      </c>
      <c r="C10">
        <v>91.97</v>
      </c>
      <c r="G10" s="3464">
        <v>8</v>
      </c>
      <c r="H10" s="3464" t="s">
        <v>3402</v>
      </c>
      <c r="I10" s="3464" t="s">
        <v>3403</v>
      </c>
      <c r="J10" s="3464">
        <f t="shared" si="0"/>
        <v>91.97</v>
      </c>
      <c r="K10" s="3464" t="s">
        <v>3391</v>
      </c>
      <c r="L10" s="3466"/>
    </row>
    <row r="11" spans="2:12">
      <c r="B11">
        <v>909</v>
      </c>
      <c r="C11">
        <v>113.63</v>
      </c>
      <c r="G11" s="3464">
        <v>9</v>
      </c>
      <c r="H11" s="3464" t="s">
        <v>3404</v>
      </c>
      <c r="I11" s="3464" t="s">
        <v>3405</v>
      </c>
      <c r="J11" s="3464">
        <f t="shared" si="0"/>
        <v>113.63</v>
      </c>
      <c r="K11" s="3464" t="s">
        <v>3391</v>
      </c>
      <c r="L11" s="3466"/>
    </row>
    <row r="12" spans="2:12">
      <c r="B12">
        <v>910</v>
      </c>
      <c r="C12">
        <v>91.97</v>
      </c>
      <c r="G12" s="3464">
        <v>10</v>
      </c>
      <c r="H12" s="3464" t="s">
        <v>3406</v>
      </c>
      <c r="I12" s="3464" t="s">
        <v>3407</v>
      </c>
      <c r="J12" s="3464">
        <f t="shared" si="0"/>
        <v>91.97</v>
      </c>
      <c r="K12" s="3464" t="s">
        <v>3391</v>
      </c>
      <c r="L12" s="3466"/>
    </row>
    <row r="13" spans="2:12">
      <c r="B13">
        <v>911</v>
      </c>
      <c r="C13">
        <v>104.95</v>
      </c>
      <c r="G13" s="3464">
        <v>11</v>
      </c>
      <c r="H13" s="3464" t="s">
        <v>3408</v>
      </c>
      <c r="I13" s="3464" t="s">
        <v>3409</v>
      </c>
      <c r="J13" s="3464">
        <f t="shared" si="0"/>
        <v>104.95</v>
      </c>
      <c r="K13" s="3464" t="s">
        <v>3391</v>
      </c>
      <c r="L13" s="3466"/>
    </row>
    <row r="14" spans="2:12">
      <c r="B14">
        <v>912</v>
      </c>
      <c r="C14">
        <v>88.79</v>
      </c>
      <c r="G14" s="3464">
        <v>12</v>
      </c>
      <c r="H14" s="3464" t="s">
        <v>3410</v>
      </c>
      <c r="I14" s="3464" t="s">
        <v>3411</v>
      </c>
      <c r="J14" s="3464">
        <f t="shared" si="0"/>
        <v>88.79</v>
      </c>
      <c r="K14" s="3464" t="s">
        <v>3391</v>
      </c>
      <c r="L14" s="3466"/>
    </row>
    <row r="15" spans="2:12">
      <c r="B15">
        <v>913</v>
      </c>
      <c r="C15">
        <v>84.75</v>
      </c>
      <c r="G15" s="3464">
        <v>13</v>
      </c>
      <c r="H15" s="3464" t="s">
        <v>3412</v>
      </c>
      <c r="I15" s="3464" t="s">
        <v>3413</v>
      </c>
      <c r="J15" s="3464">
        <f t="shared" si="0"/>
        <v>84.75</v>
      </c>
      <c r="K15" s="3464" t="s">
        <v>3391</v>
      </c>
      <c r="L15" s="3466"/>
    </row>
    <row r="16" spans="2:12">
      <c r="B16">
        <v>914</v>
      </c>
      <c r="C16">
        <v>77.17</v>
      </c>
      <c r="G16" s="3464">
        <v>14</v>
      </c>
      <c r="H16" s="3464" t="s">
        <v>3414</v>
      </c>
      <c r="I16" s="3464" t="s">
        <v>3415</v>
      </c>
      <c r="J16" s="3464">
        <f t="shared" si="0"/>
        <v>77.17</v>
      </c>
      <c r="K16" s="3464" t="s">
        <v>3391</v>
      </c>
      <c r="L16" s="3466"/>
    </row>
    <row r="17" spans="2:12">
      <c r="B17">
        <v>915</v>
      </c>
      <c r="C17">
        <v>84.11</v>
      </c>
      <c r="G17" s="3464">
        <v>15</v>
      </c>
      <c r="H17" s="3464" t="s">
        <v>3416</v>
      </c>
      <c r="I17" s="3464" t="s">
        <v>3417</v>
      </c>
      <c r="J17" s="3464">
        <f t="shared" si="0"/>
        <v>84.11</v>
      </c>
      <c r="K17" s="3464" t="s">
        <v>3391</v>
      </c>
      <c r="L17" s="3466"/>
    </row>
    <row r="18" spans="2:12">
      <c r="B18">
        <v>916</v>
      </c>
      <c r="C18">
        <v>67.489999999999995</v>
      </c>
      <c r="G18" s="3464">
        <v>16</v>
      </c>
      <c r="H18" s="3464" t="s">
        <v>3418</v>
      </c>
      <c r="I18" s="3464" t="s">
        <v>3419</v>
      </c>
      <c r="J18" s="3464">
        <f t="shared" si="0"/>
        <v>67.489999999999995</v>
      </c>
      <c r="K18" s="3464" t="s">
        <v>3391</v>
      </c>
      <c r="L18" s="3466"/>
    </row>
    <row r="19" spans="2:12">
      <c r="B19" s="3467" t="s">
        <v>3420</v>
      </c>
      <c r="C19">
        <f>SUM(C3:C18)</f>
        <v>1642.01</v>
      </c>
      <c r="G19" s="3820" t="s">
        <v>3420</v>
      </c>
      <c r="H19" s="3820"/>
      <c r="I19" s="3820"/>
      <c r="J19" s="3464">
        <f>C19</f>
        <v>1642.01</v>
      </c>
      <c r="K19" s="3464"/>
      <c r="L19" s="3466"/>
    </row>
    <row r="25" spans="2:12">
      <c r="B25" s="3468">
        <v>1</v>
      </c>
    </row>
    <row r="26" spans="2:12">
      <c r="B26" s="3468">
        <v>2</v>
      </c>
    </row>
    <row r="27" spans="2:12">
      <c r="B27" s="3468">
        <v>3</v>
      </c>
    </row>
    <row r="28" spans="2:12">
      <c r="B28" s="3468">
        <v>4</v>
      </c>
    </row>
    <row r="29" spans="2:12">
      <c r="B29">
        <v>5</v>
      </c>
    </row>
    <row r="30" spans="2:12">
      <c r="B30">
        <v>6</v>
      </c>
    </row>
    <row r="31" spans="2:12">
      <c r="B31">
        <v>7</v>
      </c>
    </row>
    <row r="32" spans="2:12">
      <c r="B32">
        <v>8</v>
      </c>
    </row>
    <row r="33" spans="2:2">
      <c r="B33" s="3468">
        <v>9</v>
      </c>
    </row>
    <row r="34" spans="2:2">
      <c r="B34" s="3468">
        <v>10</v>
      </c>
    </row>
    <row r="35" spans="2:2">
      <c r="B35" s="3468">
        <v>11</v>
      </c>
    </row>
    <row r="36" spans="2:2">
      <c r="B36" s="3469"/>
    </row>
    <row r="37" spans="2:2">
      <c r="B37" s="3469"/>
    </row>
  </sheetData>
  <mergeCells count="1">
    <mergeCell ref="G19:I19"/>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4:L7"/>
  <sheetViews>
    <sheetView workbookViewId="0">
      <selection activeCell="F33" sqref="F33"/>
    </sheetView>
  </sheetViews>
  <sheetFormatPr defaultRowHeight="13.5"/>
  <sheetData>
    <row r="4" spans="8:12">
      <c r="I4" s="3467" t="s">
        <v>3435</v>
      </c>
      <c r="J4" s="3467" t="s">
        <v>3436</v>
      </c>
      <c r="K4" s="3467" t="s">
        <v>3437</v>
      </c>
      <c r="L4">
        <v>0.85</v>
      </c>
    </row>
    <row r="5" spans="8:12">
      <c r="H5" s="3467" t="s">
        <v>3434</v>
      </c>
      <c r="I5">
        <v>229.53</v>
      </c>
      <c r="J5">
        <v>43088</v>
      </c>
      <c r="K5" s="3467" t="s">
        <v>3438</v>
      </c>
      <c r="L5">
        <f>ROUND(J5*$L$4,0)</f>
        <v>36625</v>
      </c>
    </row>
    <row r="6" spans="8:12">
      <c r="H6" t="str">
        <f>H5</f>
        <v>果栋loft</v>
      </c>
      <c r="I6">
        <v>89.91</v>
      </c>
      <c r="J6">
        <v>38928</v>
      </c>
      <c r="K6" s="3467" t="s">
        <v>3438</v>
      </c>
      <c r="L6">
        <f t="shared" ref="L6:L7" si="0">ROUND(J6*$L$4,0)</f>
        <v>33089</v>
      </c>
    </row>
    <row r="7" spans="8:12">
      <c r="H7" t="str">
        <f>H5</f>
        <v>果栋loft</v>
      </c>
      <c r="I7">
        <v>111.32</v>
      </c>
      <c r="J7">
        <v>39077</v>
      </c>
      <c r="K7" s="3467" t="s">
        <v>3438</v>
      </c>
      <c r="L7">
        <f t="shared" si="0"/>
        <v>33215</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N26"/>
  <sheetViews>
    <sheetView workbookViewId="0">
      <selection activeCell="A26" sqref="A26"/>
    </sheetView>
  </sheetViews>
  <sheetFormatPr defaultRowHeight="13.5"/>
  <cols>
    <col min="4" max="4" width="34.375" bestFit="1" customWidth="1"/>
  </cols>
  <sheetData>
    <row r="3" spans="4:14">
      <c r="D3" s="3476"/>
      <c r="E3" s="3476"/>
      <c r="F3" s="3477">
        <v>5.0000000000000001E-4</v>
      </c>
      <c r="G3" s="3476"/>
      <c r="H3" s="3476"/>
      <c r="I3" s="3476"/>
      <c r="J3" s="3476"/>
      <c r="K3" s="3476"/>
      <c r="L3" s="3476"/>
    </row>
    <row r="4" spans="4:14">
      <c r="D4" s="3478" t="s">
        <v>3447</v>
      </c>
      <c r="E4" s="3479" t="s">
        <v>3448</v>
      </c>
      <c r="F4" s="3479" t="s">
        <v>3449</v>
      </c>
      <c r="G4" s="3479" t="s">
        <v>3450</v>
      </c>
      <c r="H4" s="3480" t="s">
        <v>3451</v>
      </c>
      <c r="I4" s="3480" t="s">
        <v>3452</v>
      </c>
      <c r="J4" s="3476"/>
      <c r="K4" s="3480" t="s">
        <v>3453</v>
      </c>
      <c r="L4" s="3476"/>
    </row>
    <row r="5" spans="4:14">
      <c r="D5" s="3478" t="str">
        <f>[3]面积清单!H3</f>
        <v>北京市昌平区回南路9号院28号楼9层901号</v>
      </c>
      <c r="E5" s="3478">
        <f ca="1">ROUND(典型户型修正!R24*典型户型修正!B24/10000,2)</f>
        <v>656.04</v>
      </c>
      <c r="F5" s="3478">
        <f ca="1">ROUND(E5*$F$3,2)</f>
        <v>0.33</v>
      </c>
      <c r="G5" s="3478">
        <f ca="1">E5-F5</f>
        <v>655.70999999999992</v>
      </c>
      <c r="H5" s="3476">
        <f ca="1">ROUND(G5/[3]典型户型修正!B27*10000,0)</f>
        <v>28568</v>
      </c>
      <c r="I5" s="3476">
        <f ca="1">典型户型修正!R24</f>
        <v>28582</v>
      </c>
      <c r="J5" s="3476"/>
      <c r="K5" s="3476">
        <v>683.90250000000003</v>
      </c>
      <c r="L5" s="3476">
        <f ca="1">E5-K5</f>
        <v>-27.862500000000068</v>
      </c>
      <c r="M5">
        <f>面积清单!J3</f>
        <v>229.53</v>
      </c>
      <c r="N5">
        <f>ROUND(K5/M5*10000,2)</f>
        <v>29795.78</v>
      </c>
    </row>
    <row r="6" spans="4:14">
      <c r="D6" s="3478" t="str">
        <f>[3]面积清单!H4</f>
        <v>北京市昌平区回南路9号院28号楼9层902号</v>
      </c>
      <c r="E6" s="3478">
        <f ca="1">ROUND(典型户型修正!R25*典型户型修正!B25/10000,2)</f>
        <v>262.12</v>
      </c>
      <c r="F6" s="3478">
        <f t="shared" ref="F6:F20" ca="1" si="0">ROUND(E6*$F$3,2)</f>
        <v>0.13</v>
      </c>
      <c r="G6" s="3478">
        <f t="shared" ref="G6:G20" ca="1" si="1">E6-F6</f>
        <v>261.99</v>
      </c>
      <c r="H6" s="3476">
        <f ca="1">ROUND(G6/[3]典型户型修正!B28*10000,0)</f>
        <v>29139</v>
      </c>
      <c r="I6" s="3476">
        <f ca="1">典型户型修正!R25</f>
        <v>29154</v>
      </c>
      <c r="J6" s="3476"/>
      <c r="K6" s="3476">
        <v>265.04250000000002</v>
      </c>
      <c r="L6" s="3476">
        <f t="shared" ref="L6:L20" ca="1" si="2">E6-K6</f>
        <v>-2.9225000000000136</v>
      </c>
      <c r="M6">
        <f>面积清单!J4</f>
        <v>89.91</v>
      </c>
      <c r="N6">
        <f t="shared" ref="N6:N20" si="3">ROUND(K6/M6*10000,2)</f>
        <v>29478.65</v>
      </c>
    </row>
    <row r="7" spans="4:14">
      <c r="D7" s="3478" t="str">
        <f>[3]面积清单!H5</f>
        <v>北京市昌平区回南路9号院28号楼9层903号</v>
      </c>
      <c r="E7" s="3478">
        <f ca="1">ROUND(典型户型修正!R26*典型户型修正!B26/10000,2)</f>
        <v>321.36</v>
      </c>
      <c r="F7" s="3478">
        <f t="shared" ca="1" si="0"/>
        <v>0.16</v>
      </c>
      <c r="G7" s="3478">
        <f t="shared" ca="1" si="1"/>
        <v>321.2</v>
      </c>
      <c r="H7" s="3476">
        <f ca="1">ROUND(G7/[3]典型户型修正!B29*10000,0)</f>
        <v>28854</v>
      </c>
      <c r="I7" s="3476">
        <f ca="1">典型户型修正!R26</f>
        <v>28868</v>
      </c>
      <c r="J7" s="3476"/>
      <c r="K7" s="3476">
        <v>329.27249999999998</v>
      </c>
      <c r="L7" s="3476">
        <f t="shared" ca="1" si="2"/>
        <v>-7.9124999999999659</v>
      </c>
      <c r="M7">
        <f>面积清单!J5</f>
        <v>111.32</v>
      </c>
      <c r="N7">
        <f t="shared" si="3"/>
        <v>29578.92</v>
      </c>
    </row>
    <row r="8" spans="4:14">
      <c r="D8" s="3478" t="str">
        <f>[3]面积清单!H6</f>
        <v>北京市昌平区回南路9号院28号楼9层904号</v>
      </c>
      <c r="E8" s="3478">
        <f ca="1">ROUND(典型户型修正!R27*典型户型修正!B27/10000,2)</f>
        <v>270.43</v>
      </c>
      <c r="F8" s="3478">
        <f t="shared" ca="1" si="0"/>
        <v>0.14000000000000001</v>
      </c>
      <c r="G8" s="3478">
        <f t="shared" ca="1" si="1"/>
        <v>270.29000000000002</v>
      </c>
      <c r="H8" s="3476">
        <f ca="1">ROUND(G8/[3]典型户型修正!B30*10000,0)</f>
        <v>29139</v>
      </c>
      <c r="I8" s="3476">
        <f ca="1">典型户型修正!R27</f>
        <v>29154</v>
      </c>
      <c r="J8" s="3476"/>
      <c r="K8" s="3476">
        <v>273.59249999999997</v>
      </c>
      <c r="L8" s="3476">
        <f t="shared" ca="1" si="2"/>
        <v>-3.1624999999999659</v>
      </c>
      <c r="M8">
        <f>面积清单!J6</f>
        <v>92.76</v>
      </c>
      <c r="N8">
        <f t="shared" si="3"/>
        <v>29494.66</v>
      </c>
    </row>
    <row r="9" spans="4:14">
      <c r="D9" s="3478" t="str">
        <f>[3]面积清单!H7</f>
        <v>北京市昌平区回南路9号院28号楼9层905号</v>
      </c>
      <c r="E9" s="3478">
        <f ca="1">ROUND(典型户型修正!R28*典型户型修正!B28/10000,2)</f>
        <v>321.7</v>
      </c>
      <c r="F9" s="3478">
        <f t="shared" ca="1" si="0"/>
        <v>0.16</v>
      </c>
      <c r="G9" s="3478">
        <f t="shared" ca="1" si="1"/>
        <v>321.53999999999996</v>
      </c>
      <c r="H9" s="3476">
        <f ca="1">ROUND(G9/[3]典型户型修正!B31*10000,0)</f>
        <v>28853</v>
      </c>
      <c r="I9" s="3476">
        <f ca="1">典型户型修正!R28</f>
        <v>28868</v>
      </c>
      <c r="J9" s="3476"/>
      <c r="K9" s="3476">
        <v>329.63249999999999</v>
      </c>
      <c r="L9" s="3476">
        <f t="shared" ca="1" si="2"/>
        <v>-7.9325000000000045</v>
      </c>
      <c r="M9">
        <f>面积清单!J7</f>
        <v>111.44</v>
      </c>
      <c r="N9">
        <f t="shared" si="3"/>
        <v>29579.37</v>
      </c>
    </row>
    <row r="10" spans="4:14">
      <c r="D10" s="3478" t="str">
        <f>[3]面积清单!H8</f>
        <v>北京市昌平区回南路9号院28号楼9层906号</v>
      </c>
      <c r="E10" s="3478">
        <f ca="1">ROUND(典型户型修正!R29*典型户型修正!B29/10000,2)</f>
        <v>265.8</v>
      </c>
      <c r="F10" s="3478">
        <f t="shared" ca="1" si="0"/>
        <v>0.13</v>
      </c>
      <c r="G10" s="3478">
        <f t="shared" ca="1" si="1"/>
        <v>265.67</v>
      </c>
      <c r="H10" s="3476">
        <f ca="1">ROUND(G10/[3]典型户型修正!B32*10000,0)</f>
        <v>29140</v>
      </c>
      <c r="I10" s="3476">
        <f ca="1">典型户型修正!R29</f>
        <v>29154</v>
      </c>
      <c r="J10" s="3476"/>
      <c r="K10" s="3476">
        <v>268.82249999999999</v>
      </c>
      <c r="L10" s="3476">
        <f t="shared" ca="1" si="2"/>
        <v>-3.0224999999999795</v>
      </c>
      <c r="M10">
        <f>面积清单!J8</f>
        <v>91.17</v>
      </c>
      <c r="N10">
        <f t="shared" si="3"/>
        <v>29485.85</v>
      </c>
    </row>
    <row r="11" spans="4:14">
      <c r="D11" s="3478" t="str">
        <f>[3]面积清单!H9</f>
        <v>北京市昌平区回南路9号院28号楼9层907号</v>
      </c>
      <c r="E11" s="3478">
        <f ca="1">ROUND(典型户型修正!R30*典型户型修正!B30/10000,2)</f>
        <v>320.58</v>
      </c>
      <c r="F11" s="3478">
        <f t="shared" ca="1" si="0"/>
        <v>0.16</v>
      </c>
      <c r="G11" s="3478">
        <f t="shared" ca="1" si="1"/>
        <v>320.41999999999996</v>
      </c>
      <c r="H11" s="3476">
        <f ca="1">ROUND(G11/[3]典型户型修正!B33*10000,0)</f>
        <v>28854</v>
      </c>
      <c r="I11" s="3476">
        <f ca="1">典型户型修正!R30</f>
        <v>28868</v>
      </c>
      <c r="J11" s="3476"/>
      <c r="K11" s="3476">
        <v>328.46249999999998</v>
      </c>
      <c r="L11" s="3476">
        <f t="shared" ca="1" si="2"/>
        <v>-7.8824999999999932</v>
      </c>
      <c r="M11">
        <f>面积清单!J9</f>
        <v>111.05</v>
      </c>
      <c r="N11">
        <f t="shared" si="3"/>
        <v>29577.89</v>
      </c>
    </row>
    <row r="12" spans="4:14">
      <c r="D12" s="3478" t="str">
        <f>[3]面积清单!H10</f>
        <v>北京市昌平区回南路9号院28号楼9层908号</v>
      </c>
      <c r="E12" s="3478">
        <f ca="1">ROUND(典型户型修正!R31*典型户型修正!B31/10000,2)</f>
        <v>268.13</v>
      </c>
      <c r="F12" s="3478">
        <f t="shared" ca="1" si="0"/>
        <v>0.13</v>
      </c>
      <c r="G12" s="3478">
        <f t="shared" ca="1" si="1"/>
        <v>268</v>
      </c>
      <c r="H12" s="3476">
        <f ca="1">ROUND(G12/[3]典型户型修正!B34*10000,0)</f>
        <v>29140</v>
      </c>
      <c r="I12" s="3476">
        <f ca="1">典型户型修正!R31</f>
        <v>29154</v>
      </c>
      <c r="J12" s="3476"/>
      <c r="K12" s="3476">
        <v>271.22250000000003</v>
      </c>
      <c r="L12" s="3476">
        <f t="shared" ca="1" si="2"/>
        <v>-3.0925000000000296</v>
      </c>
      <c r="M12">
        <f>面积清单!J10</f>
        <v>91.97</v>
      </c>
      <c r="N12">
        <f t="shared" si="3"/>
        <v>29490.32</v>
      </c>
    </row>
    <row r="13" spans="4:14">
      <c r="D13" s="3478" t="str">
        <f>[3]面积清单!H11</f>
        <v>北京市昌平区回南路9号院28号楼9层909号</v>
      </c>
      <c r="E13" s="3478">
        <f ca="1">ROUND(典型户型修正!R32*典型户型修正!B32/10000,2)</f>
        <v>328.03</v>
      </c>
      <c r="F13" s="3478">
        <f t="shared" ca="1" si="0"/>
        <v>0.16</v>
      </c>
      <c r="G13" s="3478">
        <f t="shared" ca="1" si="1"/>
        <v>327.86999999999995</v>
      </c>
      <c r="H13" s="3476">
        <f ca="1">ROUND(G13/[3]典型户型修正!B35*10000,0)</f>
        <v>28854</v>
      </c>
      <c r="I13" s="3476">
        <f ca="1">典型户型修正!R32</f>
        <v>28868</v>
      </c>
      <c r="J13" s="3476"/>
      <c r="K13" s="3476">
        <v>336.20249999999999</v>
      </c>
      <c r="L13" s="3476">
        <f t="shared" ca="1" si="2"/>
        <v>-8.1725000000000136</v>
      </c>
      <c r="M13">
        <f>面积清单!J11</f>
        <v>113.63</v>
      </c>
      <c r="N13">
        <f t="shared" si="3"/>
        <v>29587.48</v>
      </c>
    </row>
    <row r="14" spans="4:14">
      <c r="D14" s="3478" t="str">
        <f>[3]面积清单!H12</f>
        <v>北京市昌平区回南路9号院28号楼9层910号</v>
      </c>
      <c r="E14" s="3478">
        <f ca="1">ROUND(典型户型修正!R33*典型户型修正!B33/10000,2)</f>
        <v>268.13</v>
      </c>
      <c r="F14" s="3478">
        <f t="shared" ca="1" si="0"/>
        <v>0.13</v>
      </c>
      <c r="G14" s="3478">
        <f t="shared" ca="1" si="1"/>
        <v>268</v>
      </c>
      <c r="H14" s="3476">
        <f ca="1">ROUND(G14/[3]典型户型修正!B36*10000,0)</f>
        <v>29140</v>
      </c>
      <c r="I14" s="3476">
        <f ca="1">典型户型修正!R33</f>
        <v>29154</v>
      </c>
      <c r="J14" s="3476"/>
      <c r="K14" s="3476">
        <v>271.22250000000003</v>
      </c>
      <c r="L14" s="3476">
        <f t="shared" ca="1" si="2"/>
        <v>-3.0925000000000296</v>
      </c>
      <c r="M14">
        <f>面积清单!J12</f>
        <v>91.97</v>
      </c>
      <c r="N14">
        <f t="shared" si="3"/>
        <v>29490.32</v>
      </c>
    </row>
    <row r="15" spans="4:14">
      <c r="D15" s="3478" t="str">
        <f>[3]面积清单!H13</f>
        <v>北京市昌平区回南路9号院28号楼9层911号</v>
      </c>
      <c r="E15" s="3478">
        <f ca="1">ROUND(典型户型修正!R34*典型户型修正!B34/10000,2)</f>
        <v>302.97000000000003</v>
      </c>
      <c r="F15" s="3478">
        <f t="shared" ca="1" si="0"/>
        <v>0.15</v>
      </c>
      <c r="G15" s="3478">
        <f t="shared" ca="1" si="1"/>
        <v>302.82000000000005</v>
      </c>
      <c r="H15" s="3476">
        <f ca="1">ROUND(G15/[3]典型户型修正!B37*10000,0)</f>
        <v>28854</v>
      </c>
      <c r="I15" s="3476">
        <f ca="1">典型户型修正!R34</f>
        <v>28868</v>
      </c>
      <c r="J15" s="3476"/>
      <c r="K15" s="3476">
        <v>310.16250000000002</v>
      </c>
      <c r="L15" s="3476">
        <f t="shared" ca="1" si="2"/>
        <v>-7.1924999999999955</v>
      </c>
      <c r="M15">
        <f>面积清单!J13</f>
        <v>104.95</v>
      </c>
      <c r="N15">
        <f t="shared" si="3"/>
        <v>29553.360000000001</v>
      </c>
    </row>
    <row r="16" spans="4:14">
      <c r="D16" s="3478" t="str">
        <f>[3]面积清单!H14</f>
        <v>北京市昌平区回南路9号院28号楼9层912号</v>
      </c>
      <c r="E16" s="3478">
        <f ca="1">ROUND(典型户型修正!R35*典型户型修正!B35/10000,2)</f>
        <v>258.86</v>
      </c>
      <c r="F16" s="3478">
        <f t="shared" ca="1" si="0"/>
        <v>0.13</v>
      </c>
      <c r="G16" s="3478">
        <f t="shared" ca="1" si="1"/>
        <v>258.73</v>
      </c>
      <c r="H16" s="3476">
        <f ca="1">ROUND(G16/[3]典型户型修正!B38*10000,0)</f>
        <v>29140</v>
      </c>
      <c r="I16" s="3476">
        <f ca="1">典型户型修正!R35</f>
        <v>29154</v>
      </c>
      <c r="J16" s="3476"/>
      <c r="K16" s="3476">
        <v>261.6825</v>
      </c>
      <c r="L16" s="3476">
        <f t="shared" ca="1" si="2"/>
        <v>-2.8224999999999909</v>
      </c>
      <c r="M16">
        <f>面积清单!J14</f>
        <v>88.79</v>
      </c>
      <c r="N16">
        <f t="shared" si="3"/>
        <v>29472.07</v>
      </c>
    </row>
    <row r="17" spans="4:14">
      <c r="D17" s="3478" t="str">
        <f>[3]面积清单!H15</f>
        <v>北京市昌平区回南路9号院28号楼9层913号</v>
      </c>
      <c r="E17" s="3478">
        <f ca="1">ROUND(典型户型修正!R36*典型户型修正!B36/10000,2)</f>
        <v>247.08</v>
      </c>
      <c r="F17" s="3478">
        <f t="shared" ca="1" si="0"/>
        <v>0.12</v>
      </c>
      <c r="G17" s="3478">
        <f t="shared" ca="1" si="1"/>
        <v>246.96</v>
      </c>
      <c r="H17" s="3476">
        <f ca="1">ROUND(G17/[3]典型户型修正!B39*10000,0)</f>
        <v>29140</v>
      </c>
      <c r="I17" s="3476">
        <f ca="1">典型户型修正!R36</f>
        <v>29154</v>
      </c>
      <c r="J17" s="3476"/>
      <c r="K17" s="3476">
        <v>249.5625</v>
      </c>
      <c r="L17" s="3476">
        <f t="shared" ca="1" si="2"/>
        <v>-2.4824999999999875</v>
      </c>
      <c r="M17">
        <f>面积清单!J15</f>
        <v>84.75</v>
      </c>
      <c r="N17">
        <f t="shared" si="3"/>
        <v>29446.9</v>
      </c>
    </row>
    <row r="18" spans="4:14">
      <c r="D18" s="3478" t="str">
        <f>[3]面积清单!H16</f>
        <v>北京市昌平区回南路9号院28号楼9层914号</v>
      </c>
      <c r="E18" s="3478">
        <f ca="1">ROUND(典型户型修正!R37*典型户型修正!B37/10000,2)</f>
        <v>224.98</v>
      </c>
      <c r="F18" s="3478">
        <f t="shared" ca="1" si="0"/>
        <v>0.11</v>
      </c>
      <c r="G18" s="3478">
        <f t="shared" ca="1" si="1"/>
        <v>224.86999999999998</v>
      </c>
      <c r="H18" s="3476">
        <f ca="1">ROUND(G18/[3]典型户型修正!B40*10000,0)</f>
        <v>29140</v>
      </c>
      <c r="I18" s="3476">
        <f ca="1">典型户型修正!R37</f>
        <v>29154</v>
      </c>
      <c r="J18" s="3476"/>
      <c r="K18" s="3476">
        <v>226.82249999999999</v>
      </c>
      <c r="L18" s="3476">
        <f t="shared" ca="1" si="2"/>
        <v>-1.8425000000000011</v>
      </c>
      <c r="M18">
        <f>面积清单!J16</f>
        <v>77.17</v>
      </c>
      <c r="N18">
        <f t="shared" si="3"/>
        <v>29392.57</v>
      </c>
    </row>
    <row r="19" spans="4:14">
      <c r="D19" s="3478" t="str">
        <f>[3]面积清单!H17</f>
        <v>北京市昌平区回南路9号院28号楼9层915号</v>
      </c>
      <c r="E19" s="3478">
        <f ca="1">ROUND(典型户型修正!R38*典型户型修正!B38/10000,2)</f>
        <v>245.21</v>
      </c>
      <c r="F19" s="3478">
        <f t="shared" ca="1" si="0"/>
        <v>0.12</v>
      </c>
      <c r="G19" s="3478">
        <f t="shared" ca="1" si="1"/>
        <v>245.09</v>
      </c>
      <c r="H19" s="3476">
        <f ca="1">ROUND(G19/[3]典型户型修正!B41*10000,0)</f>
        <v>29139</v>
      </c>
      <c r="I19" s="3476">
        <f ca="1">典型户型修正!R38</f>
        <v>29154</v>
      </c>
      <c r="J19" s="3476"/>
      <c r="K19" s="3476">
        <v>247.64250000000001</v>
      </c>
      <c r="L19" s="3476">
        <f t="shared" ca="1" si="2"/>
        <v>-2.4325000000000045</v>
      </c>
      <c r="M19">
        <f>面积清单!J17</f>
        <v>84.11</v>
      </c>
      <c r="N19">
        <f t="shared" si="3"/>
        <v>29442.69</v>
      </c>
    </row>
    <row r="20" spans="4:14">
      <c r="D20" s="3478" t="str">
        <f>[3]面积清单!H18</f>
        <v>北京市昌平区回南路9号院28号楼9层916号</v>
      </c>
      <c r="E20" s="3478">
        <f ca="1">ROUND(典型户型修正!R39*典型户型修正!B39/10000,2)</f>
        <v>196.76</v>
      </c>
      <c r="F20" s="3478">
        <f t="shared" ca="1" si="0"/>
        <v>0.1</v>
      </c>
      <c r="G20" s="3478">
        <f t="shared" ca="1" si="1"/>
        <v>196.66</v>
      </c>
      <c r="H20" s="3476">
        <f ca="1">ROUND(G20/[3]典型户型修正!B42*10000,0)</f>
        <v>29139</v>
      </c>
      <c r="I20" s="3476">
        <f ca="1">典型户型修正!R39</f>
        <v>29154</v>
      </c>
      <c r="J20" s="3476"/>
      <c r="K20" s="3476">
        <v>197.7825</v>
      </c>
      <c r="L20" s="3476">
        <f t="shared" ca="1" si="2"/>
        <v>-1.022500000000008</v>
      </c>
      <c r="M20">
        <f>面积清单!J18</f>
        <v>67.489999999999995</v>
      </c>
      <c r="N20">
        <f t="shared" si="3"/>
        <v>29305.45</v>
      </c>
    </row>
    <row r="21" spans="4:14">
      <c r="D21" s="3478" t="s">
        <v>3454</v>
      </c>
      <c r="E21" s="3478">
        <f t="shared" ref="E21:F21" ca="1" si="4">SUM(E5:E20)</f>
        <v>4758.1800000000012</v>
      </c>
      <c r="F21" s="3478">
        <f t="shared" ca="1" si="4"/>
        <v>2.36</v>
      </c>
      <c r="G21" s="3478">
        <f ca="1">SUM(G5:G20)</f>
        <v>4755.82</v>
      </c>
      <c r="H21" s="3480">
        <f ca="1">ROUND(G21/J26*10000,0)</f>
        <v>28963</v>
      </c>
      <c r="I21" s="3476">
        <f ca="1">ROUND(E21/J26*10000,0)</f>
        <v>28978</v>
      </c>
      <c r="J21" s="3476"/>
      <c r="K21" s="3476"/>
      <c r="L21" s="3476"/>
    </row>
    <row r="26" spans="4:14">
      <c r="J26">
        <f>典型户型修正!B22</f>
        <v>1642.01</v>
      </c>
    </row>
  </sheetData>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7" zoomScale="70" zoomScaleNormal="100" zoomScaleSheetLayoutView="70" zoomScalePageLayoutView="80" workbookViewId="0">
      <selection activeCell="L74" sqref="L7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04" t="str">
        <f>项目基本情况!S2</f>
        <v>北京市房地产</v>
      </c>
      <c r="B2" s="3605"/>
      <c r="C2" s="3605"/>
      <c r="D2" s="3605"/>
      <c r="E2" s="3605"/>
      <c r="F2" s="3605"/>
      <c r="G2" s="3605"/>
      <c r="H2" s="3605"/>
      <c r="I2" s="3606"/>
    </row>
    <row r="3" spans="1:12" ht="12.75">
      <c r="A3" s="3608" t="s">
        <v>1264</v>
      </c>
      <c r="B3" s="3609"/>
      <c r="C3" s="3609"/>
      <c r="D3" s="3609"/>
      <c r="E3" s="3609"/>
      <c r="F3" s="3609"/>
      <c r="G3" s="3609"/>
      <c r="H3" s="3609"/>
      <c r="I3" s="3609"/>
    </row>
    <row r="4" spans="1:12" ht="14.25">
      <c r="A4" s="1753" t="s">
        <v>1265</v>
      </c>
      <c r="B4" s="1754" t="s">
        <v>1266</v>
      </c>
      <c r="C4" s="1755" t="s">
        <v>3433</v>
      </c>
      <c r="D4" s="1755" t="s">
        <v>3422</v>
      </c>
      <c r="E4" s="3610" t="s">
        <v>1267</v>
      </c>
      <c r="F4" s="3611"/>
      <c r="G4" s="3611"/>
      <c r="H4" s="3611"/>
      <c r="I4" s="3612"/>
      <c r="K4" s="146" t="str">
        <f>IF(ISNUMBER(FIND("比较法",'结果表-916净值'!C4)),"比较法",IF(ISNUMBER(FIND("成本法",'结果表-916净值'!C4)),"成本法",IF(ISNUMBER(FIND("假设开发法",'结果表-916净值'!C4)),"假设开发法",IF(ISNUMBER(FIND("收益法",'结果表-916净值'!C4)),"收益法","基准地价系数修正法"))))</f>
        <v>比较法</v>
      </c>
      <c r="L4" s="146" t="str">
        <f>IF(ISNUMBER(FIND("比较法",'结果表-916净值'!D4)),"比较法",IF(ISNUMBER(FIND("成本法",'结果表-916净值'!D4)),"成本法",IF(ISNUMBER(FIND("假设开发法",'结果表-916净值'!D4)),"假设开发法",IF(ISNUMBER(FIND("收益法",'结果表-916净值'!D4)),"收益法","基准地价系数修正法"))))</f>
        <v>收益法</v>
      </c>
    </row>
    <row r="5" spans="1:12" ht="12.75">
      <c r="A5" s="3584" t="s">
        <v>1268</v>
      </c>
      <c r="B5" s="3571">
        <v>25</v>
      </c>
      <c r="C5" s="3587"/>
      <c r="D5" s="3607"/>
      <c r="E5" s="131" t="s">
        <v>1269</v>
      </c>
      <c r="F5" s="1756"/>
      <c r="G5" s="1756"/>
      <c r="H5" s="1756"/>
      <c r="I5" s="1372"/>
    </row>
    <row r="6" spans="1:12" ht="12.75">
      <c r="A6" s="3584"/>
      <c r="B6" s="3571"/>
      <c r="C6" s="3588"/>
      <c r="D6" s="3607"/>
      <c r="E6" s="131" t="s">
        <v>1270</v>
      </c>
      <c r="F6" s="1756"/>
      <c r="G6" s="1756"/>
      <c r="H6" s="1756"/>
      <c r="I6" s="1372"/>
    </row>
    <row r="7" spans="1:12" ht="12.75">
      <c r="A7" s="3584"/>
      <c r="B7" s="3571"/>
      <c r="C7" s="3589"/>
      <c r="D7" s="3607"/>
      <c r="E7" s="131" t="s">
        <v>1271</v>
      </c>
      <c r="F7" s="1756"/>
      <c r="G7" s="1756"/>
      <c r="H7" s="1756"/>
      <c r="I7" s="1372"/>
    </row>
    <row r="8" spans="1:12" ht="12.75">
      <c r="A8" s="3584" t="s">
        <v>1272</v>
      </c>
      <c r="B8" s="3571">
        <v>15</v>
      </c>
      <c r="C8" s="3587"/>
      <c r="D8" s="3607"/>
      <c r="E8" s="131" t="s">
        <v>1273</v>
      </c>
      <c r="F8" s="1756"/>
      <c r="G8" s="1756"/>
      <c r="H8" s="1756"/>
      <c r="I8" s="1372"/>
    </row>
    <row r="9" spans="1:12" ht="12.75">
      <c r="A9" s="3584"/>
      <c r="B9" s="3571"/>
      <c r="C9" s="3589"/>
      <c r="D9" s="3607"/>
      <c r="E9" s="131" t="s">
        <v>1274</v>
      </c>
      <c r="F9" s="1756"/>
      <c r="G9" s="1756"/>
      <c r="H9" s="1756"/>
      <c r="I9" s="1372"/>
    </row>
    <row r="10" spans="1:12" ht="12.75">
      <c r="A10" s="3584" t="s">
        <v>1275</v>
      </c>
      <c r="B10" s="3571">
        <v>15</v>
      </c>
      <c r="C10" s="3587"/>
      <c r="D10" s="3607"/>
      <c r="E10" s="131" t="s">
        <v>1276</v>
      </c>
      <c r="F10" s="1756"/>
      <c r="G10" s="1756"/>
      <c r="H10" s="1756"/>
      <c r="I10" s="1372"/>
    </row>
    <row r="11" spans="1:12" ht="12.75">
      <c r="A11" s="3584"/>
      <c r="B11" s="3571"/>
      <c r="C11" s="3589"/>
      <c r="D11" s="3607"/>
      <c r="E11" s="131" t="s">
        <v>1277</v>
      </c>
      <c r="F11" s="1756"/>
      <c r="G11" s="1756"/>
      <c r="H11" s="1756"/>
      <c r="I11" s="1372"/>
    </row>
    <row r="12" spans="1:12" ht="12.75">
      <c r="A12" s="3584" t="s">
        <v>1278</v>
      </c>
      <c r="B12" s="3571">
        <v>15</v>
      </c>
      <c r="C12" s="3587"/>
      <c r="D12" s="3607"/>
      <c r="E12" s="131" t="s">
        <v>1279</v>
      </c>
      <c r="F12" s="1756"/>
      <c r="G12" s="1756"/>
      <c r="H12" s="1756"/>
      <c r="I12" s="1372"/>
    </row>
    <row r="13" spans="1:12" ht="12.75">
      <c r="A13" s="3584"/>
      <c r="B13" s="3571"/>
      <c r="C13" s="3589"/>
      <c r="D13" s="3607"/>
      <c r="E13" s="131" t="s">
        <v>1280</v>
      </c>
      <c r="F13" s="1756"/>
      <c r="G13" s="1756"/>
      <c r="H13" s="1756"/>
      <c r="I13" s="1372"/>
    </row>
    <row r="14" spans="1:12" ht="12.75">
      <c r="A14" s="3584" t="s">
        <v>1281</v>
      </c>
      <c r="B14" s="3571">
        <v>30</v>
      </c>
      <c r="C14" s="3587">
        <v>6</v>
      </c>
      <c r="D14" s="3607">
        <v>4</v>
      </c>
      <c r="E14" s="131" t="s">
        <v>1282</v>
      </c>
      <c r="F14" s="1756"/>
      <c r="G14" s="1756"/>
      <c r="H14" s="1756"/>
      <c r="I14" s="1372"/>
    </row>
    <row r="15" spans="1:12" ht="12.75">
      <c r="A15" s="3584"/>
      <c r="B15" s="3571"/>
      <c r="C15" s="3588"/>
      <c r="D15" s="3607"/>
      <c r="E15" s="131" t="s">
        <v>1283</v>
      </c>
      <c r="F15" s="1756"/>
      <c r="G15" s="1756"/>
      <c r="H15" s="1756"/>
      <c r="I15" s="1372"/>
    </row>
    <row r="16" spans="1:12" ht="12.75">
      <c r="A16" s="3584"/>
      <c r="B16" s="3571"/>
      <c r="C16" s="3589"/>
      <c r="D16" s="3607"/>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94" t="s">
        <v>2130</v>
      </c>
      <c r="F18" s="3595"/>
      <c r="G18" s="3595"/>
      <c r="H18" s="3595"/>
      <c r="I18" s="3595"/>
      <c r="K18" s="302" t="s">
        <v>1289</v>
      </c>
      <c r="L18" s="302">
        <f>IF(C1="",'数据-汇总表'!E3,SUMIF(项目类型,C1,'数据-汇总表'!E17:E26)+SUMIF(项目类型,C1,'数据-汇总表'!I17:I26))</f>
        <v>91.97</v>
      </c>
      <c r="M18" s="302">
        <f>IF(C1="",'数据-汇总表'!E3,SUMIF(项目类型,C1,'数据-汇总表'!E17:E26))</f>
        <v>91.97</v>
      </c>
    </row>
    <row r="19" spans="1:36" ht="15">
      <c r="A19" s="1760" t="s">
        <v>1290</v>
      </c>
      <c r="B19" s="1761" t="s">
        <v>1291</v>
      </c>
      <c r="C19" s="134">
        <f ca="1">SUMIF(INDIRECT("'"&amp;C4&amp;"'"&amp;"!A:A"),'结果表-916净值'!B19,INDIRECT("'"&amp;C4&amp;"'"&amp;"!B:B"))</f>
        <v>323.03539999999998</v>
      </c>
      <c r="D19" s="135">
        <f ca="1">SUMIF(INDIRECT("'"&amp;D4&amp;"'"&amp;"!A:A"),'结果表-916净值'!B19,INDIRECT("'"&amp;D4&amp;"'"&amp;"!B:B"))</f>
        <v>172.6267</v>
      </c>
      <c r="E19" s="1760" t="s">
        <v>1292</v>
      </c>
      <c r="F19" s="1761" t="s">
        <v>1291</v>
      </c>
      <c r="G19" s="136">
        <f ca="1">ROUND(C19*$C$18+D19*$D$18,0)</f>
        <v>263</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SUMIF(INDIRECT("'"&amp;C4&amp;"'"&amp;"!A:A"),'结果表-916净值'!B20,INDIRECT("'"&amp;C4&amp;"'"&amp;"!B:B"))</f>
        <v>35124</v>
      </c>
      <c r="D20" s="138">
        <f ca="1">SUMIF(INDIRECT("'"&amp;D4&amp;"'"&amp;"!A:A"),'结果表-916净值'!B20,INDIRECT("'"&amp;D4&amp;"'"&amp;"!B:B"))</f>
        <v>18770</v>
      </c>
      <c r="E20" s="1763"/>
      <c r="F20" s="1025" t="s">
        <v>1295</v>
      </c>
      <c r="G20" s="139">
        <f ca="1">ROUND(C20*$C$18+D20*$D$18,0)</f>
        <v>28582</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0.87129453323269224</v>
      </c>
      <c r="E22" s="129"/>
      <c r="F22" s="129"/>
      <c r="G22" s="129"/>
      <c r="H22" s="129"/>
      <c r="I22" s="129"/>
    </row>
    <row r="23" spans="1:36" ht="13.5" thickBot="1">
      <c r="A23" s="1746"/>
      <c r="B23" s="1746"/>
      <c r="C23" s="1746"/>
      <c r="D23" s="1746"/>
      <c r="E23" s="129"/>
      <c r="F23" s="129"/>
      <c r="G23" s="129"/>
      <c r="H23" s="129"/>
      <c r="I23" s="129"/>
    </row>
    <row r="24" spans="1:36" ht="14.25">
      <c r="A24" s="3578" t="s">
        <v>1299</v>
      </c>
      <c r="B24" s="1761" t="s">
        <v>1291</v>
      </c>
      <c r="C24" s="136">
        <f>IF(B30=0,0,D30)</f>
        <v>0</v>
      </c>
      <c r="D24" s="1768"/>
      <c r="E24" s="129"/>
      <c r="F24" s="129"/>
      <c r="G24" s="129"/>
      <c r="H24" s="129"/>
      <c r="I24" s="129"/>
    </row>
    <row r="25" spans="1:36" ht="14.25">
      <c r="A25" s="3579"/>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28582</v>
      </c>
      <c r="D32" s="1774" t="s">
        <v>3432</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98" t="s">
        <v>1312</v>
      </c>
      <c r="B36" s="1786" t="s">
        <v>1313</v>
      </c>
      <c r="C36" s="145"/>
      <c r="D36" s="1787"/>
      <c r="E36" s="1788"/>
      <c r="F36" s="1789"/>
      <c r="G36" s="129"/>
      <c r="H36" s="129"/>
      <c r="I36" s="129"/>
    </row>
    <row r="37" spans="1:15" ht="15.75" thickBot="1">
      <c r="A37" s="3599"/>
      <c r="B37" s="1673" t="s">
        <v>1314</v>
      </c>
      <c r="C37" s="147"/>
      <c r="D37" s="1138"/>
      <c r="E37" s="1138"/>
      <c r="F37" s="1789"/>
      <c r="G37" s="129"/>
      <c r="H37" s="129"/>
      <c r="I37" s="129"/>
    </row>
    <row r="38" spans="1:15" ht="15.75" thickBot="1">
      <c r="A38" s="3600"/>
      <c r="B38" s="1790" t="s">
        <v>1315</v>
      </c>
      <c r="C38" s="673"/>
      <c r="D38" s="1791" t="s">
        <v>1316</v>
      </c>
      <c r="E38" s="1138"/>
      <c r="F38" s="1789"/>
      <c r="G38" s="129"/>
      <c r="H38" s="129"/>
      <c r="I38" s="129"/>
    </row>
    <row r="39" spans="1:15" ht="15">
      <c r="A39" s="1763" t="s">
        <v>1317</v>
      </c>
      <c r="B39" s="1792" t="s">
        <v>1301</v>
      </c>
      <c r="C39" s="1793" t="s">
        <v>1302</v>
      </c>
      <c r="D39" s="1793" t="s">
        <v>1320</v>
      </c>
      <c r="E39" s="1794" t="s">
        <v>1303</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75" t="s">
        <v>1326</v>
      </c>
      <c r="B45" s="3576"/>
      <c r="C45" s="3577"/>
      <c r="D45" s="155">
        <f ca="1">Sheet2!E20</f>
        <v>196.76</v>
      </c>
      <c r="E45" s="156" t="s">
        <v>1327</v>
      </c>
      <c r="F45" s="157">
        <v>1</v>
      </c>
      <c r="G45" s="158" t="s">
        <v>1328</v>
      </c>
      <c r="H45" s="129"/>
      <c r="I45" s="129"/>
      <c r="J45" s="3653" t="s">
        <v>1329</v>
      </c>
      <c r="K45" s="3653"/>
      <c r="L45" s="3653"/>
      <c r="M45" s="3653"/>
      <c r="N45" s="3653"/>
      <c r="O45" s="3653"/>
    </row>
    <row r="46" spans="1:15" ht="14.25" customHeight="1">
      <c r="A46" s="3572" t="s">
        <v>1330</v>
      </c>
      <c r="B46" s="3573"/>
      <c r="C46" s="3573"/>
      <c r="D46" s="3573"/>
      <c r="E46" s="3573"/>
      <c r="F46" s="3573"/>
      <c r="G46" s="3574"/>
      <c r="H46" s="1805"/>
      <c r="I46" s="159"/>
      <c r="J46" s="3452">
        <v>1</v>
      </c>
      <c r="K46" s="3634" t="s">
        <v>1331</v>
      </c>
      <c r="L46" s="3634"/>
      <c r="M46" s="3654"/>
      <c r="N46" s="3654"/>
      <c r="O46" s="3654"/>
    </row>
    <row r="47" spans="1:15" ht="12" customHeight="1">
      <c r="A47" s="160" t="s">
        <v>1332</v>
      </c>
      <c r="B47" s="161"/>
      <c r="C47" s="162"/>
      <c r="D47" s="1086" t="s">
        <v>1333</v>
      </c>
      <c r="E47" s="302" t="s">
        <v>1334</v>
      </c>
      <c r="F47" s="163" t="s">
        <v>1335</v>
      </c>
      <c r="G47" s="2545" t="s">
        <v>1336</v>
      </c>
      <c r="H47" s="2546"/>
      <c r="I47" s="159"/>
      <c r="J47" s="3452">
        <v>2</v>
      </c>
      <c r="K47" s="3634" t="s">
        <v>1337</v>
      </c>
      <c r="L47" s="3634"/>
      <c r="M47" s="3655">
        <f>'数据-取费表'!B2</f>
        <v>44939</v>
      </c>
      <c r="N47" s="3655"/>
      <c r="O47" s="3655"/>
    </row>
    <row r="48" spans="1:15" ht="25.5">
      <c r="A48" s="3603" t="s">
        <v>1338</v>
      </c>
      <c r="B48" s="3586"/>
      <c r="C48" s="3586"/>
      <c r="D48" s="3449">
        <f ca="1">IF(H48="情况1",0,IF(H48="情况2",D52,IF(H48="情况3",D53,IF(H48="情况4",D54))))</f>
        <v>0</v>
      </c>
      <c r="E48" s="3462" t="str">
        <f>IF(H48="情况4","(销售额-原购置价)×税（费）率","销售额×税（费）率")</f>
        <v>(销售额-原购置价)×税（费）率</v>
      </c>
      <c r="F48" s="2547">
        <f>IF(H48="情况1","免征",'数据-取费表'!B41)</f>
        <v>5.5000000000000007E-2</v>
      </c>
      <c r="G48" s="2548" t="s">
        <v>1339</v>
      </c>
      <c r="H48" s="2549" t="s">
        <v>3455</v>
      </c>
      <c r="I48" s="1805"/>
      <c r="J48" s="3452">
        <v>3</v>
      </c>
      <c r="K48" s="3634" t="s">
        <v>1340</v>
      </c>
      <c r="L48" s="3634"/>
      <c r="M48" s="3656">
        <f ca="1">H101</f>
        <v>263</v>
      </c>
      <c r="N48" s="3656"/>
      <c r="O48" s="3656"/>
    </row>
    <row r="49" spans="1:35" ht="25.5" customHeight="1">
      <c r="A49" s="3461" t="s">
        <v>1341</v>
      </c>
      <c r="B49" s="3570" t="s">
        <v>1342</v>
      </c>
      <c r="C49" s="3570"/>
      <c r="D49" s="1589">
        <v>0</v>
      </c>
      <c r="E49" s="324" t="s">
        <v>1343</v>
      </c>
      <c r="F49" s="3447" t="s">
        <v>28</v>
      </c>
      <c r="G49" s="3640"/>
      <c r="H49" s="2309" t="s">
        <v>2133</v>
      </c>
      <c r="I49" s="2310"/>
      <c r="J49" s="3452">
        <v>4</v>
      </c>
      <c r="K49" s="3634" t="str">
        <f>IF(项目基本情况!E8="房地产抵押价值","房地产抵押价值","抵押担保权已注销时的房地产抵押价值")</f>
        <v>房地产抵押价值</v>
      </c>
      <c r="L49" s="3634"/>
      <c r="M49" s="3656">
        <f ca="1">IF(项目基本情况!E8="房地产抵押价值",H107,H109)</f>
        <v>263</v>
      </c>
      <c r="N49" s="3656"/>
      <c r="O49" s="3656"/>
    </row>
    <row r="50" spans="1:35" ht="25.5" customHeight="1">
      <c r="A50" s="2550"/>
      <c r="B50" s="3570" t="s">
        <v>1344</v>
      </c>
      <c r="C50" s="3570"/>
      <c r="D50" s="2551"/>
      <c r="E50" s="332"/>
      <c r="F50" s="3447"/>
      <c r="G50" s="3641"/>
      <c r="H50" s="2311" t="s">
        <v>2134</v>
      </c>
      <c r="I50" s="2310"/>
      <c r="J50" s="3653" t="s">
        <v>1345</v>
      </c>
      <c r="K50" s="3653"/>
      <c r="L50" s="3653"/>
      <c r="M50" s="3653"/>
      <c r="N50" s="3653"/>
      <c r="O50" s="3653"/>
    </row>
    <row r="51" spans="1:35" ht="20.45" customHeight="1">
      <c r="A51" s="2552"/>
      <c r="B51" s="3570" t="s">
        <v>1346</v>
      </c>
      <c r="C51" s="3570"/>
      <c r="D51" s="1086"/>
      <c r="E51" s="327"/>
      <c r="F51" s="3447"/>
      <c r="G51" s="3642"/>
      <c r="H51" s="2311" t="s">
        <v>2135</v>
      </c>
      <c r="I51" s="2310"/>
      <c r="J51" s="3448" t="s">
        <v>1347</v>
      </c>
      <c r="K51" s="3634" t="s">
        <v>1348</v>
      </c>
      <c r="L51" s="3634"/>
      <c r="M51" s="3448" t="s">
        <v>1349</v>
      </c>
      <c r="N51" s="3448" t="s">
        <v>1350</v>
      </c>
      <c r="O51" s="3448" t="s">
        <v>1351</v>
      </c>
    </row>
    <row r="52" spans="1:35" ht="24" customHeight="1">
      <c r="A52" s="3463" t="s">
        <v>1352</v>
      </c>
      <c r="B52" s="3570" t="s">
        <v>1353</v>
      </c>
      <c r="C52" s="3570"/>
      <c r="D52" s="1086">
        <f ca="1">ROUND(D45*'数据-取费表'!B41/(1+'数据-取费表'!C42),0)</f>
        <v>10</v>
      </c>
      <c r="E52" s="3462" t="s">
        <v>1354</v>
      </c>
      <c r="F52" s="2553">
        <f>'数据-取费表'!B41</f>
        <v>5.5000000000000007E-2</v>
      </c>
      <c r="G52" s="2554"/>
      <c r="H52" s="2543"/>
      <c r="I52" s="1806"/>
      <c r="J52" s="3452">
        <v>1</v>
      </c>
      <c r="K52" s="3635" t="s">
        <v>1355</v>
      </c>
      <c r="L52" s="3635"/>
      <c r="M52" s="2524">
        <f ca="1">D48</f>
        <v>0</v>
      </c>
      <c r="N52" s="3452" t="str">
        <f>E48</f>
        <v>(销售额-原购置价)×税（费）率</v>
      </c>
      <c r="O52" s="2525">
        <f>F48</f>
        <v>5.5000000000000007E-2</v>
      </c>
    </row>
    <row r="53" spans="1:35" ht="12" customHeight="1">
      <c r="A53" s="3463" t="s">
        <v>1356</v>
      </c>
      <c r="B53" s="3596" t="s">
        <v>2290</v>
      </c>
      <c r="C53" s="3597"/>
      <c r="D53" s="1086">
        <f ca="1">ROUND(D45*'数据-取费表'!B41/(1+'数据-取费表'!C42),0)</f>
        <v>10</v>
      </c>
      <c r="E53" s="3462" t="s">
        <v>1354</v>
      </c>
      <c r="F53" s="2553">
        <f>'数据-取费表'!B41</f>
        <v>5.5000000000000007E-2</v>
      </c>
      <c r="G53" s="2554"/>
      <c r="H53" s="2543"/>
      <c r="I53" s="1806"/>
      <c r="J53" s="3452">
        <v>2</v>
      </c>
      <c r="K53" s="3635" t="s">
        <v>1357</v>
      </c>
      <c r="L53" s="3635"/>
      <c r="M53" s="2524">
        <f t="shared" ref="M53:O54" ca="1" si="0">D55</f>
        <v>0</v>
      </c>
      <c r="N53" s="3452" t="str">
        <f t="shared" si="0"/>
        <v>销售额×税（费）率</v>
      </c>
      <c r="O53" s="2525">
        <f t="shared" si="0"/>
        <v>5.0000000000000001E-4</v>
      </c>
    </row>
    <row r="54" spans="1:35" ht="12" customHeight="1">
      <c r="A54" s="3463" t="s">
        <v>1358</v>
      </c>
      <c r="B54" s="3596" t="s">
        <v>2291</v>
      </c>
      <c r="C54" s="3597"/>
      <c r="D54" s="1086">
        <f ca="1">C68</f>
        <v>0</v>
      </c>
      <c r="E54" s="327" t="s">
        <v>1359</v>
      </c>
      <c r="F54" s="2553">
        <f>'数据-取费表'!B41</f>
        <v>5.5000000000000007E-2</v>
      </c>
      <c r="G54" s="2554"/>
      <c r="H54" s="2555"/>
      <c r="I54" s="1806"/>
      <c r="J54" s="3452">
        <v>3</v>
      </c>
      <c r="K54" s="3635" t="s">
        <v>1360</v>
      </c>
      <c r="L54" s="3635"/>
      <c r="M54" s="2524">
        <f t="shared" ca="1" si="0"/>
        <v>0</v>
      </c>
      <c r="N54" s="3452" t="str">
        <f t="shared" si="0"/>
        <v>增值额×税（费）率</v>
      </c>
      <c r="O54" s="2526" t="str">
        <f t="shared" si="0"/>
        <v>——</v>
      </c>
    </row>
    <row r="55" spans="1:35" ht="24" customHeight="1">
      <c r="A55" s="3585" t="s">
        <v>1361</v>
      </c>
      <c r="B55" s="3586"/>
      <c r="C55" s="3586"/>
      <c r="D55" s="3449">
        <f ca="1">IF(H55="个人住宅",0,ROUND(D45*I55,0))</f>
        <v>0</v>
      </c>
      <c r="E55" s="3462" t="s">
        <v>1362</v>
      </c>
      <c r="F55" s="2553">
        <f>IF(H55="正常",I55,"免征")</f>
        <v>5.0000000000000001E-4</v>
      </c>
      <c r="G55" s="2554"/>
      <c r="H55" s="2549" t="s">
        <v>3427</v>
      </c>
      <c r="I55" s="165">
        <f>'数据-取费表'!B49</f>
        <v>5.0000000000000001E-4</v>
      </c>
      <c r="J55" s="3452" t="str">
        <f>IF(H59="非个人房产","",4)</f>
        <v/>
      </c>
      <c r="K55" s="3635" t="str">
        <f>IF(H59="非个人房产","——","个人所得税")</f>
        <v>——</v>
      </c>
      <c r="L55" s="3635"/>
      <c r="M55" s="2527" t="str">
        <f>D59</f>
        <v>——</v>
      </c>
      <c r="N55" s="3453" t="str">
        <f>E59</f>
        <v>——</v>
      </c>
      <c r="O55" s="2528" t="str">
        <f>F59</f>
        <v>——</v>
      </c>
    </row>
    <row r="56" spans="1:35" ht="24.75">
      <c r="A56" s="3585" t="s">
        <v>1363</v>
      </c>
      <c r="B56" s="3586"/>
      <c r="C56" s="3586"/>
      <c r="D56" s="3449">
        <f ca="1">IF(H56="个人住宅",D57,D58)</f>
        <v>0</v>
      </c>
      <c r="E56" s="3462" t="s">
        <v>1364</v>
      </c>
      <c r="F56" s="2553" t="str">
        <f>IF(H56="正常",F58,"免征")</f>
        <v>——</v>
      </c>
      <c r="G56" s="2556" t="s">
        <v>1365</v>
      </c>
      <c r="H56" s="2557" t="s">
        <v>3427</v>
      </c>
      <c r="I56" s="1807"/>
      <c r="J56" s="3452" t="str">
        <f>IF(项目基本情况!K6="上海银行",IF(J55="",4,J55+1),"")</f>
        <v/>
      </c>
      <c r="K56" s="3658" t="str">
        <f>IF(项目基本情况!K6="上海银行","其他处置费用","")</f>
        <v/>
      </c>
      <c r="L56" s="3659"/>
      <c r="M56" s="2524" t="str">
        <f>IF(项目基本情况!K6="上海银行",M69,"")</f>
        <v/>
      </c>
      <c r="N56" s="3658" t="str">
        <f>IF(项目基本情况!K6="上海银行","包含处置中涉及的律师、诉讼、拍卖、评估等费用","")</f>
        <v/>
      </c>
      <c r="O56" s="3661"/>
    </row>
    <row r="57" spans="1:35" ht="12.75">
      <c r="A57" s="3463" t="s">
        <v>1341</v>
      </c>
      <c r="B57" s="3596" t="s">
        <v>1366</v>
      </c>
      <c r="C57" s="3597"/>
      <c r="D57" s="1589">
        <v>0</v>
      </c>
      <c r="E57" s="324" t="s">
        <v>1343</v>
      </c>
      <c r="F57" s="302"/>
      <c r="G57" s="2554"/>
      <c r="H57" s="2558"/>
      <c r="I57" s="1807"/>
      <c r="J57" s="3635">
        <f>IF(AND(J55="",J56=""),4,IF(项目基本情况!K6="上海银行",'结果表-916净值'!J56+1,'结果表-916净值'!J55+1))</f>
        <v>4</v>
      </c>
      <c r="K57" s="3635" t="s">
        <v>1367</v>
      </c>
      <c r="L57" s="2529" t="s">
        <v>1368</v>
      </c>
      <c r="M57" s="2530"/>
      <c r="N57" s="2531">
        <f ca="1">SUMIF(M52:M56,"&lt;9e307")</f>
        <v>0</v>
      </c>
      <c r="O57" s="2532"/>
      <c r="P57" s="2689">
        <f ca="1">N57/M49</f>
        <v>0</v>
      </c>
    </row>
    <row r="58" spans="1:35" ht="24.75">
      <c r="A58" s="3463" t="s">
        <v>1352</v>
      </c>
      <c r="B58" s="3596" t="s">
        <v>1369</v>
      </c>
      <c r="C58" s="3570"/>
      <c r="D58" s="3449">
        <f ca="1">IF(H58="转让取得",C81,C97)</f>
        <v>0</v>
      </c>
      <c r="E58" s="3462" t="s">
        <v>1364</v>
      </c>
      <c r="F58" s="302" t="s">
        <v>28</v>
      </c>
      <c r="G58" s="2554"/>
      <c r="H58" s="2557" t="s">
        <v>3456</v>
      </c>
      <c r="I58" s="1807"/>
      <c r="J58" s="3635"/>
      <c r="K58" s="3635"/>
      <c r="L58" s="2529" t="s">
        <v>1370</v>
      </c>
      <c r="M58" s="2533"/>
      <c r="N58" s="2534" t="str">
        <f ca="1">NUMBERSTRING(INT(N57*10000),2)&amp;"元整"</f>
        <v>零元整</v>
      </c>
      <c r="O58" s="2535"/>
    </row>
    <row r="59" spans="1:35" ht="24.75" thickBot="1">
      <c r="A59" s="3638" t="s">
        <v>1371</v>
      </c>
      <c r="B59" s="3639"/>
      <c r="C59" s="3639"/>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3457</v>
      </c>
      <c r="I59" s="2312" t="s">
        <v>2136</v>
      </c>
      <c r="J59" s="3636">
        <f>J57+1</f>
        <v>5</v>
      </c>
      <c r="K59" s="3635" t="s">
        <v>1372</v>
      </c>
      <c r="L59" s="3452" t="s">
        <v>1368</v>
      </c>
      <c r="M59" s="2536"/>
      <c r="N59" s="2537">
        <f ca="1">M49-N57</f>
        <v>263</v>
      </c>
      <c r="O59" s="2538"/>
    </row>
    <row r="60" spans="1:35" ht="12" customHeight="1">
      <c r="A60" s="1808"/>
      <c r="B60" s="1746"/>
      <c r="C60" s="1746"/>
      <c r="D60" s="1746"/>
      <c r="E60" s="1577"/>
      <c r="F60" s="1807"/>
      <c r="G60" s="1807"/>
      <c r="H60" s="1809"/>
      <c r="I60" s="129"/>
      <c r="J60" s="3637"/>
      <c r="K60" s="3635"/>
      <c r="L60" s="2529" t="s">
        <v>1370</v>
      </c>
      <c r="M60" s="2533"/>
      <c r="N60" s="2534" t="str">
        <f ca="1">NUMBERSTRING(INT(N59*10000),2)&amp;"元整"</f>
        <v>贰佰陆拾叁万元整</v>
      </c>
      <c r="O60" s="2535"/>
    </row>
    <row r="61" spans="1:35" ht="13.5" thickBot="1">
      <c r="A61" s="3583" t="s">
        <v>1373</v>
      </c>
      <c r="B61" s="3583"/>
      <c r="C61" s="3583"/>
      <c r="D61" s="3583"/>
      <c r="E61" s="3583"/>
      <c r="F61" s="1807"/>
      <c r="G61" s="1807"/>
      <c r="H61" s="1809"/>
      <c r="I61" s="129"/>
      <c r="J61" s="3452">
        <f>J59+1</f>
        <v>6</v>
      </c>
      <c r="K61" s="3635" t="s">
        <v>1374</v>
      </c>
      <c r="L61" s="3635"/>
      <c r="M61" s="2539"/>
      <c r="N61" s="2540">
        <f ca="1">ROUND(N59*10000/'数据-汇总表'!E3,0)</f>
        <v>28596</v>
      </c>
      <c r="O61" s="2541"/>
    </row>
    <row r="62" spans="1:35" ht="12.75">
      <c r="A62" s="3601" t="s">
        <v>1375</v>
      </c>
      <c r="B62" s="3602"/>
      <c r="C62" s="3457"/>
      <c r="D62" s="3457" t="s">
        <v>1376</v>
      </c>
      <c r="E62" s="166" t="s">
        <v>1377</v>
      </c>
      <c r="F62" s="1807"/>
      <c r="G62" s="1807"/>
      <c r="H62" s="1809"/>
      <c r="I62" s="129"/>
    </row>
    <row r="63" spans="1:35" ht="12.75">
      <c r="A63" s="173" t="s">
        <v>330</v>
      </c>
      <c r="B63" s="167" t="s">
        <v>1378</v>
      </c>
      <c r="C63" s="2563">
        <f ca="1">ROUND((C64+C65)/(1+'数据-取费表'!C42),0)</f>
        <v>187</v>
      </c>
      <c r="D63" s="167"/>
      <c r="E63" s="168"/>
      <c r="F63" s="1807"/>
      <c r="G63" s="1807"/>
      <c r="H63" s="1809"/>
      <c r="I63" s="129"/>
      <c r="J63" s="3660" t="s">
        <v>1379</v>
      </c>
      <c r="K63" s="3450" t="s">
        <v>1380</v>
      </c>
      <c r="L63" s="3450">
        <f ca="1">IF(M49&gt;10000,M49*0.5%,IF(AND(M49&gt;1000,M49&lt;=10000),M49*1%,IF(AND(M49&gt;100,M49&lt;=1000),M49*3%,IF(AND(M49&gt;10,M49&lt;=100),M49*5%,M49*8%))))</f>
        <v>7.89</v>
      </c>
      <c r="M63" s="302">
        <f ca="1">ROUND(L63,1)</f>
        <v>7.9</v>
      </c>
      <c r="N63" s="2542"/>
      <c r="Z63" s="1751"/>
      <c r="AI63" s="1752"/>
    </row>
    <row r="64" spans="1:35" ht="14.25" customHeight="1">
      <c r="A64" s="169" t="s">
        <v>325</v>
      </c>
      <c r="B64" s="170" t="s">
        <v>1381</v>
      </c>
      <c r="C64" s="2564">
        <f ca="1">D45</f>
        <v>196.76</v>
      </c>
      <c r="D64" s="170" t="s">
        <v>26</v>
      </c>
      <c r="E64" s="172"/>
      <c r="F64" s="1807"/>
      <c r="G64" s="1807"/>
      <c r="H64" s="1809"/>
      <c r="I64" s="129"/>
      <c r="J64" s="3660"/>
      <c r="K64" s="3450" t="s">
        <v>1382</v>
      </c>
      <c r="L64" s="3450">
        <f ca="1">IF(M49&gt;2000,M49*0.5%,IF(AND(M49&gt;1000,M49&lt;=2000),M49*0.6%,IF(AND(M49&gt;500,M49&lt;=1000),M49*0.7%,IF(AND(M49&gt;200,M49&lt;=500),M49*0.8%,IF(AND(M49&gt;100,M49&lt;=200),M49*0.9%,IF(AND(M49&gt;50,M49&lt;=100),M49*1%,IF(AND(M49&gt;20,M49&lt;=50),M49*1.5%,IF(AND(M49&gt;10,M49&lt;=20),M49*2%,IF(AND(M49&gt;1,M49&lt;=10),M49*2.5%)))))))))</f>
        <v>2.1040000000000001</v>
      </c>
      <c r="M64" s="302">
        <f t="shared" ref="M64:M65" ca="1" si="1">ROUND(L64,1)</f>
        <v>2.1</v>
      </c>
      <c r="N64" s="2543" t="s">
        <v>1383</v>
      </c>
      <c r="Z64" s="1751"/>
      <c r="AI64" s="1752"/>
    </row>
    <row r="65" spans="1:35" ht="14.25" customHeight="1">
      <c r="A65" s="169" t="s">
        <v>326</v>
      </c>
      <c r="B65" s="170" t="s">
        <v>1384</v>
      </c>
      <c r="C65" s="2565"/>
      <c r="D65" s="170"/>
      <c r="E65" s="172"/>
      <c r="F65" s="1807"/>
      <c r="G65" s="1807"/>
      <c r="H65" s="1809"/>
      <c r="I65" s="129"/>
      <c r="J65" s="3660"/>
      <c r="K65" s="3450" t="s">
        <v>1385</v>
      </c>
      <c r="L65" s="3450">
        <f ca="1">IF(M49&gt;1000,M49*0.1%,IF(AND(M49&gt;500,M49&lt;=1000),M49*0.5%,IF(AND(M49&gt;50,M49&lt;=500),M49*1%,IF(AND(M49&gt;1,M49&lt;=50),M49*1.5%))))</f>
        <v>2.63</v>
      </c>
      <c r="M65" s="302">
        <f t="shared" ca="1" si="1"/>
        <v>2.6</v>
      </c>
      <c r="N65" s="2543" t="s">
        <v>1383</v>
      </c>
      <c r="Z65" s="1751"/>
      <c r="AI65" s="1752"/>
    </row>
    <row r="66" spans="1:35" ht="14.25" customHeight="1">
      <c r="A66" s="173" t="s">
        <v>327</v>
      </c>
      <c r="B66" s="174" t="s">
        <v>1386</v>
      </c>
      <c r="C66" s="2566">
        <f>Sheet2!K20*1.05</f>
        <v>207.67162500000001</v>
      </c>
      <c r="D66" s="174" t="s">
        <v>26</v>
      </c>
      <c r="E66" s="1337" t="s">
        <v>671</v>
      </c>
      <c r="F66" s="1807"/>
      <c r="G66" s="1807"/>
      <c r="H66" s="1809"/>
      <c r="I66" s="129"/>
      <c r="J66" s="3660"/>
      <c r="K66" s="3450" t="s">
        <v>1387</v>
      </c>
      <c r="L66" s="3450">
        <f ca="1">M49*0.5%</f>
        <v>1.3149999999999999</v>
      </c>
      <c r="M66" s="302">
        <f ca="1">IF(L66&gt;0.5,0.5,ROUND(L66,0))</f>
        <v>0.5</v>
      </c>
      <c r="N66" s="2543" t="s">
        <v>1388</v>
      </c>
      <c r="Z66" s="1751"/>
      <c r="AI66" s="1752"/>
    </row>
    <row r="67" spans="1:35" ht="14.25" customHeight="1">
      <c r="A67" s="173" t="s">
        <v>328</v>
      </c>
      <c r="B67" s="174" t="s">
        <v>1389</v>
      </c>
      <c r="C67" s="2567">
        <f ca="1">C63-C66</f>
        <v>-20.671625000000006</v>
      </c>
      <c r="D67" s="170" t="s">
        <v>26</v>
      </c>
      <c r="E67" s="172"/>
      <c r="F67" s="1807"/>
      <c r="G67" s="1807"/>
      <c r="H67" s="1809"/>
      <c r="I67" s="129"/>
      <c r="J67" s="3660"/>
      <c r="K67" s="3450" t="s">
        <v>1390</v>
      </c>
      <c r="L67" s="3450">
        <f ca="1">IF(M49&gt;=10000,(8.25+(M49-10000)*0.01%),IF(AND(M49&gt;=8000,M49&lt;10000),(7.85+(M49-8000)*0.02%),IF(AND(M49&gt;=5000,M49&lt;8000),(6.65+(M49-5000)*0.04%),IF(AND(M49&gt;=2000,M49&lt;5000),(4.25+(PM49-2000)*0.08%),IF(AND(M49&gt;=1000,M49&lt;2000),(2.75+(M49-1000)*0.15%),IF(AND(M49&gt;=100,M49&lt;1000),(0.5+(M49-100)*0.25%),IF(AND(M49&gt;0,M49&lt;100),M49*0.5%)))))))</f>
        <v>0.90749999999999997</v>
      </c>
      <c r="M67" s="302">
        <f ca="1">ROUND(L67*0.9,1)</f>
        <v>0.8</v>
      </c>
      <c r="N67" s="2542"/>
      <c r="Z67" s="1751"/>
      <c r="AI67" s="1752"/>
    </row>
    <row r="68" spans="1:35" ht="14.25" customHeight="1" thickBot="1">
      <c r="A68" s="176" t="s">
        <v>329</v>
      </c>
      <c r="B68" s="177" t="s">
        <v>1391</v>
      </c>
      <c r="C68" s="2568">
        <f ca="1">IF(C67&lt;=0,0,ROUND(C67*D68,0))</f>
        <v>0</v>
      </c>
      <c r="D68" s="2569">
        <f>'数据-取费表'!B41</f>
        <v>5.5000000000000007E-2</v>
      </c>
      <c r="E68" s="178"/>
      <c r="F68" s="1807"/>
      <c r="G68" s="1807"/>
      <c r="H68" s="1809"/>
      <c r="I68" s="129"/>
      <c r="J68" s="3660"/>
      <c r="K68" s="3450" t="s">
        <v>1392</v>
      </c>
      <c r="L68" s="3450">
        <f ca="1">IF(M49&gt;10000,M49*0.5%,IF(AND(M49&gt;5000,M49&lt;=10000),M49*1%,IF(AND(M49&gt;1000,M49&lt;=5000),M49*2%,IF(AND(M49&gt;200,M49&lt;=1000),M49*3%,M49*5%))))</f>
        <v>7.89</v>
      </c>
      <c r="M68" s="302">
        <f ca="1">ROUND(L68,1)</f>
        <v>7.9</v>
      </c>
      <c r="N68" s="2542"/>
      <c r="Z68" s="1751"/>
      <c r="AI68" s="1752"/>
    </row>
    <row r="69" spans="1:35" s="1771" customFormat="1" ht="16.5" customHeight="1">
      <c r="A69" s="1810"/>
      <c r="B69" s="1811"/>
      <c r="C69" s="1812"/>
      <c r="D69" s="1813"/>
      <c r="E69" s="1814"/>
      <c r="F69" s="1577"/>
      <c r="G69" s="1577"/>
      <c r="H69" s="1576"/>
      <c r="I69" s="1746"/>
      <c r="J69" s="3660"/>
      <c r="K69" s="3450" t="s">
        <v>1393</v>
      </c>
      <c r="L69" s="3450"/>
      <c r="M69" s="302">
        <f ca="1">ROUND(SUM(M63:M68),0)</f>
        <v>22</v>
      </c>
      <c r="N69" s="2544">
        <f ca="1">M69/M49</f>
        <v>8.3650190114068435E-2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2" t="s">
        <v>1394</v>
      </c>
      <c r="B70" s="3623"/>
      <c r="C70" s="3623"/>
      <c r="D70" s="3623"/>
      <c r="E70" s="3623"/>
      <c r="F70" s="3623"/>
      <c r="G70" s="3623"/>
      <c r="H70" s="362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1" t="s">
        <v>1375</v>
      </c>
      <c r="B71" s="3602"/>
      <c r="C71" s="3457"/>
      <c r="D71" s="3457"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187</v>
      </c>
      <c r="D72" s="170" t="s">
        <v>26</v>
      </c>
      <c r="E72" s="3459"/>
      <c r="F72" s="3458"/>
      <c r="G72" s="3458"/>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195</v>
      </c>
      <c r="D73" s="170" t="s">
        <v>26</v>
      </c>
      <c r="E73" s="3459"/>
      <c r="F73" s="3458"/>
      <c r="G73" s="345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194</v>
      </c>
      <c r="D74" s="170" t="s">
        <v>26</v>
      </c>
      <c r="E74" s="3459"/>
      <c r="F74" s="3458"/>
      <c r="G74" s="345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f>Sheet2!K20</f>
        <v>197.7825</v>
      </c>
      <c r="D75" s="170" t="s">
        <v>26</v>
      </c>
      <c r="E75" s="184" t="s">
        <v>1399</v>
      </c>
      <c r="F75" s="2571" t="s">
        <v>3458</v>
      </c>
      <c r="G75" s="184" t="s">
        <v>1400</v>
      </c>
      <c r="H75" s="2572">
        <v>0</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6" t="s">
        <v>1402</v>
      </c>
      <c r="F76" s="3570"/>
      <c r="G76" s="3570"/>
      <c r="H76" s="362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6</v>
      </c>
      <c r="D77" s="2574">
        <f>'数据-取费表'!B48+'数据-取费表'!B49</f>
        <v>3.0499999999999999E-2</v>
      </c>
      <c r="E77" s="3449" t="s">
        <v>1404</v>
      </c>
      <c r="F77" s="186"/>
      <c r="G77" s="1821" t="s">
        <v>3459</v>
      </c>
      <c r="H77" s="346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5.000000000000001E-3</v>
      </c>
      <c r="E78" s="3580" t="s">
        <v>1406</v>
      </c>
      <c r="F78" s="3581"/>
      <c r="G78" s="3581"/>
      <c r="H78" s="359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328</v>
      </c>
      <c r="B79" s="174" t="s">
        <v>1407</v>
      </c>
      <c r="C79" s="2567">
        <f ca="1">C72-C73</f>
        <v>-8</v>
      </c>
      <c r="D79" s="170" t="s">
        <v>26</v>
      </c>
      <c r="E79" s="3459"/>
      <c r="F79" s="3458"/>
      <c r="G79" s="345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0</v>
      </c>
      <c r="D80" s="170" t="s">
        <v>26</v>
      </c>
      <c r="E80" s="3449" t="str">
        <f ca="1">IF(C80&gt;=200%,"增值额超过扣除项目金额200%",IF(C80&gt;=100%,"增值额超过扣除项目金额100%，未超过200%",IF(C80&gt;=50%,"增值额超过扣除项目金额50%，未超过100%",IF(C80&lt;50%,"增值额未超过扣除项目金额50%"))))</f>
        <v>增值额未超过扣除项目金额50%</v>
      </c>
      <c r="F80" s="3458"/>
      <c r="G80" s="345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2" t="s">
        <v>1410</v>
      </c>
      <c r="B83" s="3623"/>
      <c r="C83" s="3623"/>
      <c r="D83" s="3623"/>
      <c r="E83" s="3623"/>
      <c r="F83" s="3623"/>
      <c r="G83" s="3623"/>
      <c r="H83" s="362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1" t="s">
        <v>1375</v>
      </c>
      <c r="B84" s="3602"/>
      <c r="C84" s="3457"/>
      <c r="D84" s="345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187</v>
      </c>
      <c r="D85" s="170" t="s">
        <v>26</v>
      </c>
      <c r="E85" s="3459"/>
      <c r="F85" s="3458"/>
      <c r="G85" s="345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3459"/>
      <c r="F86" s="3458"/>
      <c r="G86" s="345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3454"/>
      <c r="F87" s="3455"/>
      <c r="G87" s="3455"/>
      <c r="H87" s="345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3455"/>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3455"/>
      <c r="G89" s="3455"/>
      <c r="H89" s="345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3455"/>
      <c r="G90" s="3662" t="s">
        <v>2128</v>
      </c>
      <c r="H90" s="3663"/>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80" t="s">
        <v>1419</v>
      </c>
      <c r="F91" s="3581"/>
      <c r="G91" s="358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80" t="s">
        <v>1422</v>
      </c>
      <c r="F92" s="3581"/>
      <c r="G92" s="3581"/>
      <c r="H92" s="3590"/>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5.000000000000001E-3</v>
      </c>
      <c r="E93" s="3580" t="s">
        <v>1406</v>
      </c>
      <c r="F93" s="3581"/>
      <c r="G93" s="3581"/>
      <c r="H93" s="359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91" t="s">
        <v>1426</v>
      </c>
      <c r="F94" s="3592"/>
      <c r="G94" s="3592"/>
      <c r="H94" s="359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328</v>
      </c>
      <c r="B95" s="174" t="s">
        <v>1407</v>
      </c>
      <c r="C95" s="2567">
        <f ca="1">ROUND(C85-C86,0)</f>
        <v>186</v>
      </c>
      <c r="D95" s="170" t="s">
        <v>26</v>
      </c>
      <c r="E95" s="3459"/>
      <c r="F95" s="3458"/>
      <c r="G95" s="345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186</v>
      </c>
      <c r="D96" s="170" t="s">
        <v>26</v>
      </c>
      <c r="E96" s="3449"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111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4" t="s">
        <v>1428</v>
      </c>
      <c r="B100" s="3565"/>
      <c r="C100" s="3565"/>
      <c r="D100" s="3582"/>
      <c r="E100" s="3565" t="s">
        <v>1429</v>
      </c>
      <c r="F100" s="3565"/>
      <c r="G100" s="3565"/>
      <c r="H100" s="3582"/>
      <c r="I100" s="129"/>
    </row>
    <row r="101" spans="1:35" ht="18.75" customHeight="1">
      <c r="A101" s="3643" t="s">
        <v>1430</v>
      </c>
      <c r="B101" s="3644"/>
      <c r="C101" s="2584" t="str">
        <f>C4</f>
        <v>比较法-办公</v>
      </c>
      <c r="D101" s="2585" t="str">
        <f>D4</f>
        <v>收益法 (元)</v>
      </c>
      <c r="E101" s="3657" t="s">
        <v>1431</v>
      </c>
      <c r="F101" s="3614"/>
      <c r="G101" s="1826" t="s">
        <v>1432</v>
      </c>
      <c r="H101" s="2594">
        <f ca="1">H118</f>
        <v>263</v>
      </c>
      <c r="I101" s="129"/>
    </row>
    <row r="102" spans="1:35" ht="18.75" customHeight="1">
      <c r="A102" s="3616" t="s">
        <v>1433</v>
      </c>
      <c r="B102" s="2583" t="s">
        <v>1432</v>
      </c>
      <c r="C102" s="2584">
        <f ca="1">IF(D32="楼面单价",ROUND(C19,0),C19)</f>
        <v>323</v>
      </c>
      <c r="D102" s="2585">
        <f ca="1">IF(D32="楼面单价",ROUND(D19,0),D19)</f>
        <v>173</v>
      </c>
      <c r="E102" s="3657"/>
      <c r="F102" s="3614"/>
      <c r="G102" s="1826" t="s">
        <v>1434</v>
      </c>
      <c r="H102" s="2554">
        <f ca="1">I118</f>
        <v>28582</v>
      </c>
      <c r="I102" s="129"/>
    </row>
    <row r="103" spans="1:35" ht="42.75" customHeight="1">
      <c r="A103" s="3616"/>
      <c r="B103" s="2583" t="s">
        <v>1434</v>
      </c>
      <c r="C103" s="2586">
        <f ca="1">C20</f>
        <v>35124</v>
      </c>
      <c r="D103" s="2587">
        <f ca="1">D20</f>
        <v>18770</v>
      </c>
      <c r="E103" s="3651" t="s">
        <v>1435</v>
      </c>
      <c r="F103" s="3652"/>
      <c r="G103" s="1827" t="s">
        <v>1436</v>
      </c>
      <c r="H103" s="2594">
        <f>IF(D36="正常操作",H104+H105+H106,H105+H106)</f>
        <v>0</v>
      </c>
      <c r="I103" s="129"/>
    </row>
    <row r="104" spans="1:35" ht="18.75" customHeight="1">
      <c r="A104" s="3616" t="s">
        <v>1437</v>
      </c>
      <c r="B104" s="2588" t="s">
        <v>1432</v>
      </c>
      <c r="C104" s="2589">
        <f ca="1">H118</f>
        <v>263</v>
      </c>
      <c r="D104" s="2590"/>
      <c r="E104" s="1673" t="s">
        <v>1438</v>
      </c>
      <c r="F104" s="1665"/>
      <c r="G104" s="1827" t="s">
        <v>1436</v>
      </c>
      <c r="H104" s="2595">
        <f>IF(D36="同一抵押权人同一抵押物续贷",C36&amp;"（续贷，未扣减，详见特别提示）",C36)</f>
        <v>0</v>
      </c>
      <c r="I104" s="129"/>
    </row>
    <row r="105" spans="1:35" ht="18.75" customHeight="1" thickBot="1">
      <c r="A105" s="3617"/>
      <c r="B105" s="2591" t="s">
        <v>1434</v>
      </c>
      <c r="C105" s="2592">
        <f ca="1">I118</f>
        <v>28582</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13" t="str">
        <f>IF(项目基本情况!E8="已注销","——","3.房地产抵押价值")</f>
        <v>3.房地产抵押价值</v>
      </c>
      <c r="F107" s="3614"/>
      <c r="G107" s="1826" t="s">
        <v>1432</v>
      </c>
      <c r="H107" s="2594">
        <f ca="1">IF(E107="——","——",H101-H103)</f>
        <v>263</v>
      </c>
      <c r="I107" s="129"/>
    </row>
    <row r="108" spans="1:35" ht="18.75" customHeight="1">
      <c r="A108" s="129"/>
      <c r="B108" s="129"/>
      <c r="C108" s="129"/>
      <c r="D108" s="129"/>
      <c r="E108" s="3613"/>
      <c r="F108" s="3614"/>
      <c r="G108" s="1826" t="s">
        <v>1434</v>
      </c>
      <c r="H108" s="2554">
        <f ca="1">IF(H107=H101,H102,ROUND(H107*10000/'数据-汇总表'!E3,0))</f>
        <v>28582</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614"/>
      <c r="G109" s="1826" t="s">
        <v>1432</v>
      </c>
      <c r="H109" s="2597" t="str">
        <f>IF(E109="——","——",H101-H105-H106)</f>
        <v>——</v>
      </c>
      <c r="I109" s="129"/>
    </row>
    <row r="110" spans="1:35" ht="18.75" customHeight="1">
      <c r="A110" s="129"/>
      <c r="B110" s="129"/>
      <c r="C110" s="129"/>
      <c r="D110" s="129"/>
      <c r="E110" s="3613"/>
      <c r="F110" s="3614"/>
      <c r="G110" s="1826" t="s">
        <v>1434</v>
      </c>
      <c r="H110" s="2554"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4.抵押净值</v>
      </c>
      <c r="F111" s="3615"/>
      <c r="G111" s="1826" t="s">
        <v>1432</v>
      </c>
      <c r="H111" s="2594">
        <f ca="1">IF(E111="——","——",N59)</f>
        <v>263</v>
      </c>
      <c r="I111" s="129"/>
    </row>
    <row r="112" spans="1:35" ht="18.75" customHeight="1" thickBot="1">
      <c r="A112" s="129"/>
      <c r="B112" s="129"/>
      <c r="C112" s="129"/>
      <c r="D112" s="129"/>
      <c r="E112" s="3646"/>
      <c r="F112" s="3647"/>
      <c r="G112" s="1829" t="s">
        <v>1434</v>
      </c>
      <c r="H112" s="2598">
        <f ca="1">IF(E111="——","——",N61)</f>
        <v>28596</v>
      </c>
      <c r="I112" s="129"/>
    </row>
    <row r="113" spans="1:27" ht="18.75" customHeight="1">
      <c r="A113" s="129"/>
      <c r="B113" s="129"/>
      <c r="C113" s="129"/>
      <c r="D113" s="129"/>
      <c r="E113" s="3618" t="s">
        <v>1440</v>
      </c>
      <c r="F113" s="3618"/>
      <c r="G113" s="3618"/>
      <c r="H113" s="3618"/>
      <c r="I113" s="129"/>
    </row>
    <row r="114" spans="1:27" ht="3.75" customHeight="1">
      <c r="A114" s="1746"/>
      <c r="B114" s="1746"/>
      <c r="C114" s="1746"/>
      <c r="D114" s="1746"/>
      <c r="E114" s="1808"/>
      <c r="F114" s="1808"/>
      <c r="G114" s="1808"/>
      <c r="H114" s="1808"/>
      <c r="I114" s="1746"/>
    </row>
    <row r="115" spans="1:27" ht="18.75" customHeight="1">
      <c r="A115" s="3628" t="s">
        <v>1442</v>
      </c>
      <c r="B115" s="3629"/>
      <c r="C115" s="3629"/>
      <c r="D115" s="3629"/>
      <c r="E115" s="3629"/>
      <c r="F115" s="3629"/>
      <c r="G115" s="3629"/>
      <c r="H115" s="3629"/>
      <c r="I115" s="3630"/>
    </row>
    <row r="116" spans="1:27" ht="27" customHeight="1">
      <c r="A116" s="3584" t="s">
        <v>1443</v>
      </c>
      <c r="B116" s="3619" t="s">
        <v>1444</v>
      </c>
      <c r="C116" s="3619" t="s">
        <v>1445</v>
      </c>
      <c r="D116" s="3632" t="s">
        <v>1446</v>
      </c>
      <c r="E116" s="3633"/>
      <c r="F116" s="3627" t="s">
        <v>1447</v>
      </c>
      <c r="G116" s="3627"/>
      <c r="H116" s="3584" t="s">
        <v>1448</v>
      </c>
      <c r="I116" s="3584"/>
    </row>
    <row r="117" spans="1:27" ht="18.75" customHeight="1">
      <c r="A117" s="3584"/>
      <c r="B117" s="3620"/>
      <c r="C117" s="3620"/>
      <c r="D117" s="3451" t="s">
        <v>1449</v>
      </c>
      <c r="E117" s="3451" t="s">
        <v>1450</v>
      </c>
      <c r="F117" s="3451" t="s">
        <v>1449</v>
      </c>
      <c r="G117" s="3451" t="s">
        <v>1451</v>
      </c>
      <c r="H117" s="3451" t="s">
        <v>1449</v>
      </c>
      <c r="I117" s="3451" t="s">
        <v>1451</v>
      </c>
    </row>
    <row r="118" spans="1:27" ht="24.75" customHeight="1">
      <c r="A118" s="2599" t="str">
        <f>项目基本情况!S2</f>
        <v>北京市房地产</v>
      </c>
      <c r="B118" s="3451">
        <f>M18</f>
        <v>91.97</v>
      </c>
      <c r="C118" s="3451">
        <f>M19</f>
        <v>0</v>
      </c>
      <c r="D118" s="3451" t="e">
        <f ca="1">ROUND(IF(D32="总价",C34,E118*B118/10000),0)</f>
        <v>#REF!</v>
      </c>
      <c r="E118" s="3451" t="e">
        <f ca="1">ROUND(IF(C33="自定义",IF(D32="楼面单价",C34,D118*10000/B118),I118-G118),0)</f>
        <v>#REF!</v>
      </c>
      <c r="F118" s="3451" t="e">
        <f ca="1">ROUND(IF(D32="总价",C35,G118*B118/10000),0)</f>
        <v>#REF!</v>
      </c>
      <c r="G118" s="3451" t="e">
        <f ca="1">ROUND(IF(D32="楼面单价",C35,F118*10000/B118),0)</f>
        <v>#REF!</v>
      </c>
      <c r="H118" s="3451">
        <f ca="1">ROUND(IF(D32="总价",C32,I118*B118/10000),0)</f>
        <v>263</v>
      </c>
      <c r="I118" s="3451">
        <f ca="1">ROUND(IF(D32="楼面单价",C32,H118*10000/B118),0)</f>
        <v>28582</v>
      </c>
    </row>
    <row r="119" spans="1:27" ht="18.75" customHeight="1">
      <c r="A119" s="3584" t="s">
        <v>1452</v>
      </c>
      <c r="B119" s="3584"/>
      <c r="C119" s="3584"/>
      <c r="D119" s="3624" t="e">
        <f ca="1">NUMBERSTRING(INT(D118*10000),2)&amp;"元整"</f>
        <v>#REF!</v>
      </c>
      <c r="E119" s="3626"/>
      <c r="F119" s="3624" t="e">
        <f ca="1">NUMBERSTRING(INT(F118*10000),2)&amp;"元整"</f>
        <v>#REF!</v>
      </c>
      <c r="G119" s="3626"/>
      <c r="H119" s="3624" t="str">
        <f ca="1">NUMBERSTRING(INT(H118*10000),2)&amp;"元整"</f>
        <v>贰佰陆拾叁万元整</v>
      </c>
      <c r="I119" s="3626"/>
    </row>
    <row r="120" spans="1:27" ht="18.75" customHeight="1">
      <c r="A120" s="3648" t="str">
        <f>IF(项目基本情况!B9="房地产市场价值","",MID(E103,3,LEN(E103)-2))</f>
        <v>估价师知悉的法定优先受偿款</v>
      </c>
      <c r="B120" s="3649"/>
      <c r="C120" s="3650"/>
      <c r="D120" s="3648">
        <f>H103</f>
        <v>0</v>
      </c>
      <c r="E120" s="3649"/>
      <c r="F120" s="3649"/>
      <c r="G120" s="3649"/>
      <c r="H120" s="3649"/>
      <c r="I120" s="365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4" t="s">
        <v>1452</v>
      </c>
      <c r="B121" s="3625"/>
      <c r="C121" s="3626"/>
      <c r="D121" s="3624" t="str">
        <f>IF(D120=0,"零元整",NUMBERSTRING(INT(D120*10000),2)&amp;"元整")</f>
        <v>零元整</v>
      </c>
      <c r="E121" s="3625"/>
      <c r="F121" s="3625"/>
      <c r="G121" s="3625"/>
      <c r="H121" s="3625"/>
      <c r="I121" s="3626"/>
      <c r="AA121" s="724"/>
    </row>
    <row r="122" spans="1:27" ht="18.75" customHeight="1">
      <c r="A122" s="3615" t="str">
        <f>IF(项目基本情况!B9="房地产市场价值","",MID(E107,3,LEN(E107)-2))</f>
        <v>房地产抵押价值</v>
      </c>
      <c r="B122" s="3615"/>
      <c r="C122" s="3615"/>
      <c r="D122" s="3648">
        <f ca="1">H107</f>
        <v>263</v>
      </c>
      <c r="E122" s="3649"/>
      <c r="F122" s="3649"/>
      <c r="G122" s="3649"/>
      <c r="H122" s="3649"/>
      <c r="I122" s="3650"/>
      <c r="AA122" s="724"/>
    </row>
    <row r="123" spans="1:27" ht="18.75" customHeight="1">
      <c r="A123" s="3584" t="s">
        <v>1452</v>
      </c>
      <c r="B123" s="3584"/>
      <c r="C123" s="3584"/>
      <c r="D123" s="3624" t="str">
        <f ca="1">NUMBERSTRING(INT(D122*10000),2)&amp;"元整"</f>
        <v>贰佰陆拾叁万元整</v>
      </c>
      <c r="E123" s="3625"/>
      <c r="F123" s="3625"/>
      <c r="G123" s="3625"/>
      <c r="H123" s="3625"/>
      <c r="I123" s="3626"/>
      <c r="AA123" s="724"/>
    </row>
    <row r="124" spans="1:27" ht="18.75" customHeight="1">
      <c r="A124" s="3615" t="str">
        <f>IF(项目基本情况!B9="房地产市场价值","",MID(E109,3,LEN(E109)-2))</f>
        <v/>
      </c>
      <c r="B124" s="3615"/>
      <c r="C124" s="3615"/>
      <c r="D124" s="3648" t="str">
        <f>H109</f>
        <v>——</v>
      </c>
      <c r="E124" s="3649"/>
      <c r="F124" s="3649"/>
      <c r="G124" s="3649"/>
      <c r="H124" s="3649"/>
      <c r="I124" s="3650"/>
      <c r="AA124" s="724"/>
    </row>
    <row r="125" spans="1:27" ht="18.75" customHeight="1">
      <c r="A125" s="3584" t="s">
        <v>1452</v>
      </c>
      <c r="B125" s="3584"/>
      <c r="C125" s="3584"/>
      <c r="D125" s="3624" t="e">
        <f>NUMBERSTRING(INT(D124*10000),2)&amp;"元整"</f>
        <v>#VALUE!</v>
      </c>
      <c r="E125" s="3625"/>
      <c r="F125" s="3625"/>
      <c r="G125" s="3625"/>
      <c r="H125" s="3625"/>
      <c r="I125" s="3626"/>
      <c r="AA125" s="724"/>
    </row>
    <row r="126" spans="1:27" ht="18.75" customHeight="1">
      <c r="A126" s="3615" t="str">
        <f>IF(项目基本情况!B9="房地产市场价值","",MID(E111,3,LEN(E111)-2))</f>
        <v>抵押净值</v>
      </c>
      <c r="B126" s="3615"/>
      <c r="C126" s="3615"/>
      <c r="D126" s="3648">
        <f ca="1">H111</f>
        <v>263</v>
      </c>
      <c r="E126" s="3649"/>
      <c r="F126" s="3649"/>
      <c r="G126" s="3649"/>
      <c r="H126" s="3649"/>
      <c r="I126" s="3650"/>
      <c r="AA126" s="724"/>
    </row>
    <row r="127" spans="1:27" ht="18.75" customHeight="1">
      <c r="A127" s="3584" t="s">
        <v>1452</v>
      </c>
      <c r="B127" s="3584"/>
      <c r="C127" s="3584"/>
      <c r="D127" s="3624" t="str">
        <f ca="1">NUMBERSTRING(INT(D126*10000),2)&amp;"元整"</f>
        <v>贰佰陆拾叁万元整</v>
      </c>
      <c r="E127" s="3625"/>
      <c r="F127" s="3625"/>
      <c r="G127" s="3625"/>
      <c r="H127" s="3625"/>
      <c r="I127" s="3626"/>
      <c r="AA127" s="724"/>
    </row>
    <row r="128" spans="1:27" ht="21.75" customHeight="1">
      <c r="A128" s="3631" t="s">
        <v>1453</v>
      </c>
      <c r="B128" s="3631"/>
      <c r="C128" s="3631"/>
      <c r="D128" s="3631"/>
      <c r="E128" s="3631"/>
      <c r="F128" s="3631"/>
      <c r="G128" s="3631"/>
      <c r="H128" s="3631"/>
      <c r="I128" s="3631"/>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495"/>
      <c r="B3" s="3495"/>
      <c r="C3" s="3495"/>
      <c r="D3" s="853" t="s">
        <v>925</v>
      </c>
      <c r="E3" s="853" t="s">
        <v>931</v>
      </c>
      <c r="F3" s="853" t="s">
        <v>925</v>
      </c>
      <c r="G3" s="853" t="s">
        <v>926</v>
      </c>
      <c r="H3" s="853" t="s">
        <v>925</v>
      </c>
      <c r="I3" s="853" t="s">
        <v>926</v>
      </c>
    </row>
    <row r="4" spans="1:9" ht="15">
      <c r="A4" s="1504" t="str">
        <f>项目基本情况!S2</f>
        <v>北京市房地产</v>
      </c>
      <c r="B4" s="853">
        <f>项目基本情况!C17</f>
        <v>91.97</v>
      </c>
      <c r="C4" s="853">
        <f>项目基本情况!C18</f>
        <v>0</v>
      </c>
      <c r="D4" s="853" t="e">
        <f ca="1">结果表!D118</f>
        <v>#REF!</v>
      </c>
      <c r="E4" s="853" t="e">
        <f ca="1">结果表!E118</f>
        <v>#REF!</v>
      </c>
      <c r="F4" s="853" t="e">
        <f ca="1">结果表!F118</f>
        <v>#REF!</v>
      </c>
      <c r="G4" s="853" t="e">
        <f ca="1">结果表!G118</f>
        <v>#REF!</v>
      </c>
      <c r="H4" s="853">
        <f ca="1">结果表!H118</f>
        <v>263</v>
      </c>
      <c r="I4" s="853">
        <f ca="1">结果表!I118</f>
        <v>28582</v>
      </c>
    </row>
    <row r="5" spans="1:9" ht="30" customHeight="1">
      <c r="A5" s="3495" t="s">
        <v>927</v>
      </c>
      <c r="B5" s="3495"/>
      <c r="C5" s="3495"/>
      <c r="D5" s="3495" t="e">
        <f ca="1">结果表!D119</f>
        <v>#REF!</v>
      </c>
      <c r="E5" s="3495"/>
      <c r="F5" s="3495" t="e">
        <f ca="1">结果表!F119</f>
        <v>#REF!</v>
      </c>
      <c r="G5" s="3495"/>
      <c r="H5" s="3495" t="str">
        <f ca="1">结果表!H119</f>
        <v>贰佰陆拾叁万元整</v>
      </c>
      <c r="I5" s="3495"/>
    </row>
    <row r="6" spans="1:9" ht="15.75">
      <c r="A6" s="3494" t="str">
        <f>结果表!A120</f>
        <v>估价师知悉的法定优先受偿款</v>
      </c>
      <c r="B6" s="3494"/>
      <c r="C6" s="3494"/>
      <c r="D6" s="3494">
        <f>结果表!D120</f>
        <v>0</v>
      </c>
      <c r="E6" s="3494"/>
      <c r="F6" s="3494"/>
      <c r="G6" s="3494"/>
      <c r="H6" s="3494"/>
      <c r="I6" s="3494"/>
    </row>
    <row r="7" spans="1:9" ht="15">
      <c r="A7" s="3495" t="s">
        <v>927</v>
      </c>
      <c r="B7" s="3495"/>
      <c r="C7" s="3495"/>
      <c r="D7" s="3496" t="str">
        <f>结果表!D121</f>
        <v>零元整</v>
      </c>
      <c r="E7" s="3497"/>
      <c r="F7" s="3497"/>
      <c r="G7" s="3497"/>
      <c r="H7" s="3497"/>
      <c r="I7" s="3498"/>
    </row>
    <row r="8" spans="1:9" ht="15.75">
      <c r="A8" s="3494" t="str">
        <f>结果表!A122</f>
        <v>房地产抵押价值</v>
      </c>
      <c r="B8" s="3494"/>
      <c r="C8" s="3494"/>
      <c r="D8" s="3494">
        <f ca="1">结果表!D122</f>
        <v>263</v>
      </c>
      <c r="E8" s="3494"/>
      <c r="F8" s="3494"/>
      <c r="G8" s="3494"/>
      <c r="H8" s="3494"/>
      <c r="I8" s="3494"/>
    </row>
    <row r="9" spans="1:9" ht="15">
      <c r="A9" s="3495" t="s">
        <v>927</v>
      </c>
      <c r="B9" s="3495"/>
      <c r="C9" s="3495"/>
      <c r="D9" s="3495" t="str">
        <f ca="1">结果表!D123</f>
        <v>贰佰陆拾叁万元整</v>
      </c>
      <c r="E9" s="3495"/>
      <c r="F9" s="3495"/>
      <c r="G9" s="3495"/>
      <c r="H9" s="3495"/>
      <c r="I9" s="3495"/>
    </row>
    <row r="10" spans="1:9" ht="15.75">
      <c r="A10" s="3494" t="str">
        <f>结果表!A124</f>
        <v/>
      </c>
      <c r="B10" s="3494"/>
      <c r="C10" s="3494"/>
      <c r="D10" s="3494" t="str">
        <f>结果表!D124</f>
        <v>——</v>
      </c>
      <c r="E10" s="3494"/>
      <c r="F10" s="3494"/>
      <c r="G10" s="3494"/>
      <c r="H10" s="3494"/>
      <c r="I10" s="3494"/>
    </row>
    <row r="11" spans="1:9" ht="15">
      <c r="A11" s="3495" t="s">
        <v>927</v>
      </c>
      <c r="B11" s="3495"/>
      <c r="C11" s="3495"/>
      <c r="D11" s="3495" t="e">
        <f>结果表!D125</f>
        <v>#VALUE!</v>
      </c>
      <c r="E11" s="3495"/>
      <c r="F11" s="3495"/>
      <c r="G11" s="3495"/>
      <c r="H11" s="3495"/>
      <c r="I11" s="3495"/>
    </row>
    <row r="12" spans="1:9" ht="15.75">
      <c r="A12" s="3494" t="str">
        <f>结果表!A126</f>
        <v>抵押净值</v>
      </c>
      <c r="B12" s="3494"/>
      <c r="C12" s="3494"/>
      <c r="D12" s="3494">
        <f ca="1">结果表!D126</f>
        <v>111</v>
      </c>
      <c r="E12" s="3494"/>
      <c r="F12" s="3494"/>
      <c r="G12" s="3494"/>
      <c r="H12" s="3494"/>
      <c r="I12" s="3494"/>
    </row>
    <row r="13" spans="1:9" ht="15.75" thickBot="1">
      <c r="A13" s="3492" t="s">
        <v>927</v>
      </c>
      <c r="B13" s="3492"/>
      <c r="C13" s="3492"/>
      <c r="D13" s="3492" t="str">
        <f ca="1">结果表!D127</f>
        <v>壹佰壹拾壹万元整</v>
      </c>
      <c r="E13" s="3492"/>
      <c r="F13" s="3492"/>
      <c r="G13" s="3492"/>
      <c r="H13" s="3492"/>
      <c r="I13" s="3492"/>
    </row>
    <row r="14" spans="1:9" ht="15" thickTop="1">
      <c r="A14" s="3493" t="s">
        <v>932</v>
      </c>
      <c r="B14" s="3493"/>
      <c r="C14" s="3493"/>
      <c r="D14" s="3493"/>
      <c r="E14" s="3493"/>
      <c r="F14" s="3493"/>
      <c r="G14" s="3493"/>
      <c r="H14" s="3493"/>
      <c r="I14" s="349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7" t="s">
        <v>949</v>
      </c>
      <c r="B1" s="3507"/>
      <c r="C1" s="3507"/>
      <c r="D1" s="3507"/>
    </row>
    <row r="2" spans="1:4" ht="18">
      <c r="A2" s="3508" t="s">
        <v>933</v>
      </c>
      <c r="B2" s="3508"/>
      <c r="C2" s="3508"/>
      <c r="D2" s="350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508" t="s">
        <v>939</v>
      </c>
      <c r="B6" s="3508"/>
      <c r="C6" s="3508"/>
      <c r="D6" s="350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9"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spans="1:4" ht="15.75" customHeight="1">
      <c r="A14" s="3501" t="str">
        <f>IF(项目基本情况!B8="抵押","4.本次评估估价师所知悉的法定优先受偿款情况说明如下：","——")</f>
        <v>4.本次评估估价师所知悉的法定优先受偿款情况说明如下：</v>
      </c>
      <c r="B14" s="3506"/>
      <c r="C14" s="3506"/>
      <c r="D14" s="3506"/>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3" t="s">
        <v>943</v>
      </c>
      <c r="B16" s="3503"/>
      <c r="C16" s="3503"/>
      <c r="D16" s="3503"/>
    </row>
    <row r="17" spans="1:4" ht="144" customHeight="1">
      <c r="A17" s="3503" t="s">
        <v>944</v>
      </c>
      <c r="B17" s="3503"/>
      <c r="C17" s="3503"/>
      <c r="D17" s="3503"/>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4"/>
      <c r="C21" s="3504"/>
      <c r="D21" s="3504"/>
    </row>
    <row r="22" spans="1:4" ht="18.75" customHeight="1">
      <c r="A22" s="3505" t="s">
        <v>945</v>
      </c>
      <c r="B22" s="3505"/>
      <c r="C22" s="3505"/>
      <c r="D22" s="350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2">
        <v>42551</v>
      </c>
      <c r="D31" s="35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5" t="s">
        <v>956</v>
      </c>
      <c r="B15" s="3510" t="s">
        <v>109</v>
      </c>
      <c r="C15" s="3511"/>
    </row>
    <row r="16" spans="1:7" ht="13.5">
      <c r="A16" s="3516"/>
      <c r="B16" s="3510" t="s">
        <v>42</v>
      </c>
      <c r="C16" s="3511"/>
    </row>
    <row r="17" spans="1:3" ht="13.5">
      <c r="A17" s="3516"/>
      <c r="B17" s="3513" t="s">
        <v>957</v>
      </c>
      <c r="C17" s="1531" t="s">
        <v>956</v>
      </c>
    </row>
    <row r="18" spans="1:3" ht="13.5">
      <c r="A18" s="3516"/>
      <c r="B18" s="3513"/>
      <c r="C18" s="1531" t="s">
        <v>958</v>
      </c>
    </row>
    <row r="19" spans="1:3" ht="13.5">
      <c r="A19" s="3516"/>
      <c r="B19" s="3513"/>
      <c r="C19" s="1531" t="s">
        <v>959</v>
      </c>
    </row>
    <row r="20" spans="1:3" ht="13.5">
      <c r="A20" s="3517"/>
      <c r="B20" s="3512" t="s">
        <v>960</v>
      </c>
      <c r="C20" s="3511"/>
    </row>
    <row r="21" spans="1:3" ht="13.5">
      <c r="A21" s="1532" t="s">
        <v>961</v>
      </c>
      <c r="B21" s="1533"/>
      <c r="C21" s="1534"/>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31" t="s">
        <v>967</v>
      </c>
    </row>
    <row r="26" spans="1:3" ht="13.5">
      <c r="A26" s="3514"/>
      <c r="B26" s="3513"/>
      <c r="C26" s="1531" t="s">
        <v>968</v>
      </c>
    </row>
    <row r="27" spans="1:3" ht="13.5">
      <c r="A27" s="3514"/>
      <c r="B27" s="3513"/>
      <c r="C27" s="1531" t="s">
        <v>969</v>
      </c>
    </row>
    <row r="28" spans="1:3" ht="13.5">
      <c r="A28" s="3514"/>
      <c r="B28" s="3513"/>
      <c r="C28" s="1531" t="s">
        <v>970</v>
      </c>
    </row>
    <row r="29" spans="1:3" ht="13.5">
      <c r="A29" s="3514"/>
      <c r="B29" s="3513"/>
      <c r="C29" s="1531" t="s">
        <v>971</v>
      </c>
    </row>
    <row r="30" spans="1:3" ht="13.5">
      <c r="A30" s="3514"/>
      <c r="B30" s="3513"/>
      <c r="C30" s="1531" t="s">
        <v>972</v>
      </c>
    </row>
    <row r="31" spans="1:3" ht="13.5">
      <c r="A31" s="3514"/>
      <c r="B31" s="3513"/>
      <c r="C31" s="1531" t="s">
        <v>973</v>
      </c>
    </row>
    <row r="32" spans="1:3" ht="13.5">
      <c r="A32" s="3514"/>
      <c r="B32" s="3513"/>
      <c r="C32" s="1531" t="s">
        <v>974</v>
      </c>
    </row>
    <row r="33" spans="1:3" ht="13.5">
      <c r="A33" s="3514"/>
      <c r="B33" s="351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44938</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f ca="1">IF(C14&lt;B2,"已过期",1119980106)</f>
        <v>1119980106</v>
      </c>
      <c r="C14" s="2349">
        <v>44969</v>
      </c>
      <c r="D14" s="2345" t="str">
        <f t="shared" ca="1" si="0"/>
        <v>刘俊财（注册号：1119980106）</v>
      </c>
      <c r="E14" s="2346" t="s">
        <v>2157</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8" t="s">
        <v>2159</v>
      </c>
      <c r="B17" s="3518"/>
      <c r="C17" s="3518"/>
      <c r="D17" s="3518"/>
      <c r="E17" s="3518"/>
      <c r="F17" s="3518"/>
      <c r="G17" s="3518"/>
      <c r="H17" s="3518"/>
    </row>
    <row r="18" spans="1:8" ht="24" customHeight="1">
      <c r="A18" s="3519" t="s">
        <v>2160</v>
      </c>
      <c r="B18" s="3519"/>
      <c r="C18" s="3519"/>
      <c r="D18" s="2342"/>
      <c r="E18" s="3520" t="s">
        <v>2161</v>
      </c>
      <c r="F18" s="3519"/>
      <c r="G18" s="3519"/>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面积清单</vt:lpstr>
      <vt:lpstr>Sheet1</vt:lpstr>
      <vt:lpstr>Sheet2</vt:lpstr>
      <vt:lpstr>结果表-916净值</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'结果表-916净值'!Print_Area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2023-01-12T07:28:55Z</dcterms:modified>
</cp:coreProperties>
</file>